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charlesltd-my.sharepoint.com/personal/gcorrea_charlesriver_com_br/Documents/Documentos/Faculdade/Monografia/"/>
    </mc:Choice>
  </mc:AlternateContent>
  <xr:revisionPtr revIDLastSave="283" documentId="8_{A3C9981C-9EDE-43D8-A36C-F9CFE7B172C5}" xr6:coauthVersionLast="47" xr6:coauthVersionMax="47" xr10:uidLastSave="{3009274A-ABB1-433F-9FB8-47470747100B}"/>
  <bookViews>
    <workbookView xWindow="-108" yWindow="-108" windowWidth="23256" windowHeight="12456" tabRatio="862" firstSheet="15" activeTab="17" xr2:uid="{2CAE9757-8D53-466D-B94A-520D1E90EF1E}"/>
  </bookViews>
  <sheets>
    <sheet name="__snloffice" sheetId="38" state="veryHidden" r:id="rId1"/>
    <sheet name="FRADE &amp; WAHOO TP" sheetId="18" r:id="rId2"/>
    <sheet name="FRADE &amp; WAHOO 2P" sheetId="19" r:id="rId3"/>
    <sheet name="FRADE &amp; WAHOO 3P" sheetId="20" r:id="rId4"/>
    <sheet name="Polvo &amp; TBMT TP" sheetId="28" r:id="rId5"/>
    <sheet name="Polvo &amp; TBMT 2P" sheetId="29" r:id="rId6"/>
    <sheet name="Polvo &amp; TBMT 3P" sheetId="30" r:id="rId7"/>
    <sheet name="Albacora Leste TP" sheetId="33" r:id="rId8"/>
    <sheet name="Albacora Leste 2P" sheetId="34" r:id="rId9"/>
    <sheet name="Albacora Leste 3P" sheetId="35" r:id="rId10"/>
    <sheet name="Receita Líquida - O&amp;G" sheetId="8" r:id="rId11"/>
    <sheet name="CAPEX, Impostos e Abandono ($)" sheetId="12" r:id="rId12"/>
    <sheet name="CAPEX, D&amp;A, Imob&amp;Intang" sheetId="37" r:id="rId13"/>
    <sheet name="_CIQHiddenCacheSheet" sheetId="57" state="veryHidden" r:id="rId14"/>
    <sheet name="Resultado Financeiro e Dívida" sheetId="36" r:id="rId15"/>
    <sheet name="Balanço Planilhado" sheetId="39" r:id="rId16"/>
    <sheet name="Fluxo de Caixa dos Acionistas" sheetId="40" r:id="rId17"/>
    <sheet name="Avaliação e Simulações" sheetId="15" r:id="rId18"/>
    <sheet name="Drivers Macroeconômico" sheetId="44" r:id="rId19"/>
    <sheet name="Dados para Ke Alternativo" sheetId="60" r:id="rId20"/>
    <sheet name="Ke Alternativo" sheetId="61" r:id="rId21"/>
    <sheet name="Gráficos - Monografia" sheetId="54" r:id="rId22"/>
    <sheet name="DRE - Economática" sheetId="58" r:id="rId23"/>
    <sheet name="Fluxo de Caixa Planilhado" sheetId="41" r:id="rId24"/>
    <sheet name="Infos - Release Operacional" sheetId="53" r:id="rId25"/>
  </sheets>
  <definedNames>
    <definedName name="\A" localSheetId="9">#REF!</definedName>
    <definedName name="\A">#REF!</definedName>
    <definedName name="\B" localSheetId="9">#REF!</definedName>
    <definedName name="\B" localSheetId="3">#REF!</definedName>
    <definedName name="\B" localSheetId="1">#REF!</definedName>
    <definedName name="\B" localSheetId="6">#REF!</definedName>
    <definedName name="\B" localSheetId="4">#REF!</definedName>
    <definedName name="\B">#REF!</definedName>
    <definedName name="\C" localSheetId="9">#REF!</definedName>
    <definedName name="\C" localSheetId="3">#REF!</definedName>
    <definedName name="\C" localSheetId="1">#REF!</definedName>
    <definedName name="\C" localSheetId="6">#REF!</definedName>
    <definedName name="\C" localSheetId="4">#REF!</definedName>
    <definedName name="\C">#REF!</definedName>
    <definedName name="\D" localSheetId="3">#REF!</definedName>
    <definedName name="\D" localSheetId="1">#REF!</definedName>
    <definedName name="\D" localSheetId="6">#REF!</definedName>
    <definedName name="\D" localSheetId="4">#REF!</definedName>
    <definedName name="\D">#REF!</definedName>
    <definedName name="\E" localSheetId="3">#REF!</definedName>
    <definedName name="\E" localSheetId="1">#REF!</definedName>
    <definedName name="\E" localSheetId="6">#REF!</definedName>
    <definedName name="\E" localSheetId="4">#REF!</definedName>
    <definedName name="\E">#REF!</definedName>
    <definedName name="\F" localSheetId="9">#REF!</definedName>
    <definedName name="\F">#REF!</definedName>
    <definedName name="\M" localSheetId="9">#REF!</definedName>
    <definedName name="\M" localSheetId="3">#REF!</definedName>
    <definedName name="\M" localSheetId="1">#REF!</definedName>
    <definedName name="\M" localSheetId="6">#REF!</definedName>
    <definedName name="\M" localSheetId="4">#REF!</definedName>
    <definedName name="\M">#REF!</definedName>
    <definedName name="\P">#REF!</definedName>
    <definedName name="\R" localSheetId="9">#REF!</definedName>
    <definedName name="\R" localSheetId="3">#REF!</definedName>
    <definedName name="\R" localSheetId="1">#REF!</definedName>
    <definedName name="\R" localSheetId="6">#REF!</definedName>
    <definedName name="\R" localSheetId="4">#REF!</definedName>
    <definedName name="\R">#REF!</definedName>
    <definedName name="\S" localSheetId="9">#REF!</definedName>
    <definedName name="\S" localSheetId="3">#REF!</definedName>
    <definedName name="\S" localSheetId="1">#REF!</definedName>
    <definedName name="\S" localSheetId="6">#REF!</definedName>
    <definedName name="\S" localSheetId="4">#REF!</definedName>
    <definedName name="\S">#REF!</definedName>
    <definedName name="\T" localSheetId="9">#REF!</definedName>
    <definedName name="\T" localSheetId="3">#REF!</definedName>
    <definedName name="\T" localSheetId="1">#REF!</definedName>
    <definedName name="\T" localSheetId="6">#REF!</definedName>
    <definedName name="\T" localSheetId="4">#REF!</definedName>
    <definedName name="\T">#REF!</definedName>
    <definedName name="\W" localSheetId="3">#REF!</definedName>
    <definedName name="\W" localSheetId="1">#REF!</definedName>
    <definedName name="\W" localSheetId="6">#REF!</definedName>
    <definedName name="\W" localSheetId="4">#REF!</definedName>
    <definedName name="\W">#REF!</definedName>
    <definedName name="\Z" localSheetId="3">#REF!</definedName>
    <definedName name="\Z" localSheetId="1">#REF!</definedName>
    <definedName name="\Z" localSheetId="6">#REF!</definedName>
    <definedName name="\Z" localSheetId="4">#REF!</definedName>
    <definedName name="\Z">#REF!</definedName>
    <definedName name="_____1111" localSheetId="9">#REF!</definedName>
    <definedName name="_____1111">#REF!</definedName>
    <definedName name="____2222" localSheetId="9">#REF!</definedName>
    <definedName name="____2222">#REF!</definedName>
    <definedName name="____TI1">#REF!</definedName>
    <definedName name="____TI2">#REF!</definedName>
    <definedName name="___1111" localSheetId="9">#REF!</definedName>
    <definedName name="___1111">#REF!</definedName>
    <definedName name="___2222" localSheetId="9">#REF!</definedName>
    <definedName name="___2222">#REF!</definedName>
    <definedName name="__1111" localSheetId="9">#REF!</definedName>
    <definedName name="__1111">#REF!</definedName>
    <definedName name="__123Graph_AFRQACIRR" hidden="1">#REF!</definedName>
    <definedName name="__123Graph_AFRQACNPV" hidden="1">#REF!</definedName>
    <definedName name="__123Graph_AFRQACRES" hidden="1">#REF!</definedName>
    <definedName name="__123Graph_AHSTGIRR" hidden="1">#REF!</definedName>
    <definedName name="__123Graph_AHSTGNPV" hidden="1">#REF!</definedName>
    <definedName name="__123Graph_AHSTGRES" hidden="1">#REF!</definedName>
    <definedName name="__123Graph_X" hidden="1">#REF!</definedName>
    <definedName name="__123Graph_XFRQACNPV" hidden="1">#REF!</definedName>
    <definedName name="__123Graph_XFRQACRES" hidden="1">#REF!</definedName>
    <definedName name="__2222" localSheetId="9">#REF!</definedName>
    <definedName name="__2222">#REF!</definedName>
    <definedName name="__TI1">#REF!</definedName>
    <definedName name="__TI2">#REF!</definedName>
    <definedName name="_0" localSheetId="9">#REF!</definedName>
    <definedName name="_0">#REF!</definedName>
    <definedName name="_1" localSheetId="9">#REF!</definedName>
    <definedName name="_1" localSheetId="3">#REF!</definedName>
    <definedName name="_1" localSheetId="1">#REF!</definedName>
    <definedName name="_1" localSheetId="6">#REF!</definedName>
    <definedName name="_1" localSheetId="4">#REF!</definedName>
    <definedName name="_1">#REF!</definedName>
    <definedName name="_1_0A635" localSheetId="3">#REF!</definedName>
    <definedName name="_1_0A635" localSheetId="1">#REF!</definedName>
    <definedName name="_1_0A635" localSheetId="6">#REF!</definedName>
    <definedName name="_1_0A635" localSheetId="4">#REF!</definedName>
    <definedName name="_1_0A635">#REF!</definedName>
    <definedName name="_1111" localSheetId="9">#REF!</definedName>
    <definedName name="_1111">#REF!</definedName>
    <definedName name="_12_323">#REF!</definedName>
    <definedName name="_2">#REF!</definedName>
    <definedName name="_2_1111" localSheetId="9">#REF!</definedName>
    <definedName name="_2_1111">#REF!</definedName>
    <definedName name="_2222" localSheetId="9">#REF!</definedName>
    <definedName name="_2222">#REF!</definedName>
    <definedName name="_2Módulo1_.Insertar">#N/A</definedName>
    <definedName name="_3">#REF!</definedName>
    <definedName name="_3_0_0_F" localSheetId="9" hidden="1">#REF!</definedName>
    <definedName name="_3_0_0_F" localSheetId="3" hidden="1">#REF!</definedName>
    <definedName name="_3_0_0_F" localSheetId="1" hidden="1">#REF!</definedName>
    <definedName name="_3_0_0_F" localSheetId="6" hidden="1">#REF!</definedName>
    <definedName name="_3_0_0_F" localSheetId="4" hidden="1">#REF!</definedName>
    <definedName name="_3_0_0_F" hidden="1">#REF!</definedName>
    <definedName name="_3_2222" localSheetId="9">#REF!</definedName>
    <definedName name="_3_2222">#REF!</definedName>
    <definedName name="_4_261">#REF!</definedName>
    <definedName name="_4PLANILLA_8B" localSheetId="9">#REF!</definedName>
    <definedName name="_4PLANILLA_8B">#REF!</definedName>
    <definedName name="_5PLANILLA_9B" localSheetId="9">#REF!</definedName>
    <definedName name="_5PLANILLA_9B">#REF!</definedName>
    <definedName name="_8_322">#REF!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ON1" localSheetId="9">#REF!</definedName>
    <definedName name="_BON1" localSheetId="3">#REF!</definedName>
    <definedName name="_BON1" localSheetId="1">#REF!</definedName>
    <definedName name="_BON1" localSheetId="6">#REF!</definedName>
    <definedName name="_BON1" localSheetId="4">#REF!</definedName>
    <definedName name="_BON1">#REF!</definedName>
    <definedName name="_BON2" localSheetId="9">#REF!</definedName>
    <definedName name="_BON2" localSheetId="3">#REF!</definedName>
    <definedName name="_BON2" localSheetId="1">#REF!</definedName>
    <definedName name="_BON2" localSheetId="6">#REF!</definedName>
    <definedName name="_BON2" localSheetId="4">#REF!</definedName>
    <definedName name="_BON2">#REF!</definedName>
    <definedName name="_BON3" localSheetId="9">#REF!</definedName>
    <definedName name="_BON3" localSheetId="3">#REF!</definedName>
    <definedName name="_BON3" localSheetId="1">#REF!</definedName>
    <definedName name="_BON3" localSheetId="6">#REF!</definedName>
    <definedName name="_BON3" localSheetId="4">#REF!</definedName>
    <definedName name="_BON3">#REF!</definedName>
    <definedName name="_BON4" localSheetId="9">#REF!</definedName>
    <definedName name="_BON4" localSheetId="3">#REF!</definedName>
    <definedName name="_BON4" localSheetId="1">#REF!</definedName>
    <definedName name="_BON4" localSheetId="6">#REF!</definedName>
    <definedName name="_BON4" localSheetId="4">#REF!</definedName>
    <definedName name="_BON4">#REF!</definedName>
    <definedName name="_BON5" localSheetId="9">#REF!</definedName>
    <definedName name="_BON5" localSheetId="3">#REF!</definedName>
    <definedName name="_BON5" localSheetId="1">#REF!</definedName>
    <definedName name="_BON5" localSheetId="6">#REF!</definedName>
    <definedName name="_BON5" localSheetId="4">#REF!</definedName>
    <definedName name="_BON5">#REF!</definedName>
    <definedName name="_BON6" localSheetId="9">#REF!</definedName>
    <definedName name="_BON6" localSheetId="3">#REF!</definedName>
    <definedName name="_BON6" localSheetId="1">#REF!</definedName>
    <definedName name="_BON6" localSheetId="6">#REF!</definedName>
    <definedName name="_BON6" localSheetId="4">#REF!</definedName>
    <definedName name="_BON6">#REF!</definedName>
    <definedName name="_CDR10" localSheetId="9">#REF!</definedName>
    <definedName name="_CDR10" localSheetId="3">#REF!</definedName>
    <definedName name="_CDR10" localSheetId="1">#REF!</definedName>
    <definedName name="_CDR10" localSheetId="6">#REF!</definedName>
    <definedName name="_CDR10" localSheetId="4">#REF!</definedName>
    <definedName name="_CDR10">#REF!</definedName>
    <definedName name="_CDR2" localSheetId="9">#REF!</definedName>
    <definedName name="_CDR2" localSheetId="3">#REF!</definedName>
    <definedName name="_CDR2" localSheetId="1">#REF!</definedName>
    <definedName name="_CDR2" localSheetId="6">#REF!</definedName>
    <definedName name="_CDR2" localSheetId="4">#REF!</definedName>
    <definedName name="_CDR2">#REF!</definedName>
    <definedName name="_CDR3" localSheetId="9">#REF!</definedName>
    <definedName name="_CDR3" localSheetId="3">#REF!</definedName>
    <definedName name="_CDR3" localSheetId="1">#REF!</definedName>
    <definedName name="_CDR3" localSheetId="6">#REF!</definedName>
    <definedName name="_CDR3" localSheetId="4">#REF!</definedName>
    <definedName name="_CDR3">#REF!</definedName>
    <definedName name="_CDR4" localSheetId="9">#REF!</definedName>
    <definedName name="_CDR4" localSheetId="3">#REF!</definedName>
    <definedName name="_CDR4" localSheetId="1">#REF!</definedName>
    <definedName name="_CDR4" localSheetId="6">#REF!</definedName>
    <definedName name="_CDR4" localSheetId="4">#REF!</definedName>
    <definedName name="_CDR4">#REF!</definedName>
    <definedName name="_CDR5" localSheetId="9">#REF!</definedName>
    <definedName name="_CDR5" localSheetId="3">#REF!</definedName>
    <definedName name="_CDR5" localSheetId="1">#REF!</definedName>
    <definedName name="_CDR5" localSheetId="6">#REF!</definedName>
    <definedName name="_CDR5" localSheetId="4">#REF!</definedName>
    <definedName name="_CDR5">#REF!</definedName>
    <definedName name="_CDR6" localSheetId="9">#REF!</definedName>
    <definedName name="_CDR6" localSheetId="3">#REF!</definedName>
    <definedName name="_CDR6" localSheetId="1">#REF!</definedName>
    <definedName name="_CDR6" localSheetId="6">#REF!</definedName>
    <definedName name="_CDR6" localSheetId="4">#REF!</definedName>
    <definedName name="_CDR6">#REF!</definedName>
    <definedName name="_CDR7" localSheetId="9">#REF!</definedName>
    <definedName name="_CDR7" localSheetId="3">#REF!</definedName>
    <definedName name="_CDR7" localSheetId="1">#REF!</definedName>
    <definedName name="_CDR7" localSheetId="6">#REF!</definedName>
    <definedName name="_CDR7" localSheetId="4">#REF!</definedName>
    <definedName name="_CDR7">#REF!</definedName>
    <definedName name="_CDR8" localSheetId="9">#REF!</definedName>
    <definedName name="_CDR8" localSheetId="3">#REF!</definedName>
    <definedName name="_CDR8" localSheetId="1">#REF!</definedName>
    <definedName name="_CDR8" localSheetId="6">#REF!</definedName>
    <definedName name="_CDR8" localSheetId="4">#REF!</definedName>
    <definedName name="_CDR8">#REF!</definedName>
    <definedName name="_CDR9" localSheetId="9">#REF!</definedName>
    <definedName name="_CDR9" localSheetId="3">#REF!</definedName>
    <definedName name="_CDR9" localSheetId="1">#REF!</definedName>
    <definedName name="_CDR9" localSheetId="6">#REF!</definedName>
    <definedName name="_CDR9" localSheetId="4">#REF!</definedName>
    <definedName name="_CDR9">#REF!</definedName>
    <definedName name="_DIF1">#REF!</definedName>
    <definedName name="_DIF2">#REF!</definedName>
    <definedName name="_DIF3">#REF!</definedName>
    <definedName name="_DIF4">#REF!</definedName>
    <definedName name="_Fill" localSheetId="9" hidden="1">#REF!</definedName>
    <definedName name="_Fill" localSheetId="3" hidden="1">#REF!</definedName>
    <definedName name="_Fill" localSheetId="1" hidden="1">#REF!</definedName>
    <definedName name="_Fill" localSheetId="6" hidden="1">#REF!</definedName>
    <definedName name="_Fill" localSheetId="4" hidden="1">#REF!</definedName>
    <definedName name="_Fill" hidden="1">#REF!</definedName>
    <definedName name="_xlnm._FilterDatabase" localSheetId="20" hidden="1">'Ke Alternativo'!$B$1:$I$1</definedName>
    <definedName name="_jpg2" localSheetId="9" hidden="1">{"fullwell,pg1",#N/A,FALSE,"Full-Wellstream";"fullwell,pg2+",#N/A,FALSE,"Full-Wellstream"}</definedName>
    <definedName name="_jpg2" hidden="1">{"fullwell,pg1",#N/A,FALSE,"Full-Wellstream";"fullwell,pg2+",#N/A,FALSE,"Full-Wellstream"}</definedName>
    <definedName name="_jpg3" localSheetId="9" hidden="1">{"param,pg1",#N/A,FALSE,"Parameters";"param,pg2",#N/A,FALSE,"Parameters"}</definedName>
    <definedName name="_jpg3" hidden="1">{"param,pg1",#N/A,FALSE,"Parameters";"param,pg2",#N/A,FALSE,"Parameters"}</definedName>
    <definedName name="_Key1" localSheetId="9" hidden="1">#REF!</definedName>
    <definedName name="_Key1" localSheetId="3" hidden="1">#REF!</definedName>
    <definedName name="_Key1" localSheetId="1" hidden="1">#REF!</definedName>
    <definedName name="_Key1" localSheetId="6" hidden="1">#REF!</definedName>
    <definedName name="_Key1" localSheetId="4" hidden="1">#REF!</definedName>
    <definedName name="_Key1" hidden="1">#REF!</definedName>
    <definedName name="_Key2" localSheetId="9" hidden="1">#REF!</definedName>
    <definedName name="_Key2" hidden="1">#REF!</definedName>
    <definedName name="_Nit2">#REF!</definedName>
    <definedName name="_NPV12">#REF!</definedName>
    <definedName name="_NPV15">#REF!</definedName>
    <definedName name="_NPV8">#REF!</definedName>
    <definedName name="_Order1" hidden="1">255</definedName>
    <definedName name="_Order2" hidden="1">255</definedName>
    <definedName name="_PR1" localSheetId="9">#REF!</definedName>
    <definedName name="_PR1" localSheetId="3">#REF!</definedName>
    <definedName name="_PR1" localSheetId="1">#REF!</definedName>
    <definedName name="_PR1" localSheetId="6">#REF!</definedName>
    <definedName name="_PR1" localSheetId="4">#REF!</definedName>
    <definedName name="_PR1">#REF!</definedName>
    <definedName name="_PSV1">#REF!</definedName>
    <definedName name="_PSV2">#REF!</definedName>
    <definedName name="_PSV3">#REF!</definedName>
    <definedName name="_PSV4">#REF!</definedName>
    <definedName name="_PSV5">#REF!</definedName>
    <definedName name="_PSV6">#REF!</definedName>
    <definedName name="_PTY1">#REF!</definedName>
    <definedName name="_PTY2">#REF!</definedName>
    <definedName name="_PTY3">#REF!</definedName>
    <definedName name="_PTY4">#REF!</definedName>
    <definedName name="_PTY5">#REF!</definedName>
    <definedName name="_Sort" localSheetId="9" hidden="1">#REF!</definedName>
    <definedName name="_Sort" localSheetId="3" hidden="1">#REF!</definedName>
    <definedName name="_Sort" localSheetId="1" hidden="1">#REF!</definedName>
    <definedName name="_Sort" localSheetId="6" hidden="1">#REF!</definedName>
    <definedName name="_Sort" localSheetId="4" hidden="1">#REF!</definedName>
    <definedName name="_Sort" hidden="1">#REF!</definedName>
    <definedName name="_TAB1">#REF!</definedName>
    <definedName name="_Table1_In1" hidden="1">#REF!</definedName>
    <definedName name="_Table1_Out" localSheetId="9" hidden="1">#REF!</definedName>
    <definedName name="_Table1_Out" localSheetId="3" hidden="1">#REF!</definedName>
    <definedName name="_Table1_Out" localSheetId="1" hidden="1">#REF!</definedName>
    <definedName name="_Table1_Out" localSheetId="6" hidden="1">#REF!</definedName>
    <definedName name="_Table1_Out" localSheetId="4" hidden="1">#REF!</definedName>
    <definedName name="_Table1_Out" hidden="1">#REF!</definedName>
    <definedName name="_Table2_In1" hidden="1">#REF!</definedName>
    <definedName name="_Table2_In2" hidden="1">#REF!</definedName>
    <definedName name="_Table2_Out" localSheetId="9" hidden="1">#REF!</definedName>
    <definedName name="_Table2_Out" localSheetId="3" hidden="1">#REF!</definedName>
    <definedName name="_Table2_Out" localSheetId="1" hidden="1">#REF!</definedName>
    <definedName name="_Table2_Out" localSheetId="6" hidden="1">#REF!</definedName>
    <definedName name="_Table2_Out" localSheetId="4" hidden="1">#REF!</definedName>
    <definedName name="_Table2_Out" hidden="1">#REF!</definedName>
    <definedName name="a">#REF!</definedName>
    <definedName name="a_a310">#REF!</definedName>
    <definedName name="a_g105">#REF!</definedName>
    <definedName name="a_g200">#REF!</definedName>
    <definedName name="A_impresión_IM" localSheetId="9">#REF!</definedName>
    <definedName name="A_impresión_IM" localSheetId="3">#REF!</definedName>
    <definedName name="A_impresión_IM" localSheetId="1">#REF!</definedName>
    <definedName name="A_impresión_IM" localSheetId="6">#REF!</definedName>
    <definedName name="A_impresión_IM" localSheetId="4">#REF!</definedName>
    <definedName name="A_impresión_IM">#REF!</definedName>
    <definedName name="aa" localSheetId="9">#REF!</definedName>
    <definedName name="aa">#REF!</definedName>
    <definedName name="AAA" localSheetId="9">#REF!</definedName>
    <definedName name="AAA" localSheetId="3">#REF!</definedName>
    <definedName name="AAA" localSheetId="1">#REF!</definedName>
    <definedName name="AAA" localSheetId="6">#REF!</definedName>
    <definedName name="AAA" localSheetId="4">#REF!</definedName>
    <definedName name="AAA">#REF!</definedName>
    <definedName name="ABBOT_P_P_P">#REF!</definedName>
    <definedName name="ABBOT_PROB">#REF!</definedName>
    <definedName name="AbreMemorias">#N/A</definedName>
    <definedName name="Acc">#REF!</definedName>
    <definedName name="AccessDatabase" hidden="1">"C:\Project\Qasr\PSumTops.mdb"</definedName>
    <definedName name="ACM" localSheetId="9">#REF!</definedName>
    <definedName name="ACM" localSheetId="3">#REF!</definedName>
    <definedName name="ACM" localSheetId="1">#REF!</definedName>
    <definedName name="ACM" localSheetId="6">#REF!</definedName>
    <definedName name="ACM" localSheetId="4">#REF!</definedName>
    <definedName name="ACM">#REF!</definedName>
    <definedName name="Acres">1</definedName>
    <definedName name="ACT_10" localSheetId="9">#REF!</definedName>
    <definedName name="ACT_10" localSheetId="3">#REF!</definedName>
    <definedName name="ACT_10" localSheetId="1">#REF!</definedName>
    <definedName name="ACT_10" localSheetId="6">#REF!</definedName>
    <definedName name="ACT_10" localSheetId="4">#REF!</definedName>
    <definedName name="ACT_10">#REF!</definedName>
    <definedName name="ACT_11" localSheetId="9">#REF!</definedName>
    <definedName name="ACT_11" localSheetId="3">#REF!</definedName>
    <definedName name="ACT_11" localSheetId="1">#REF!</definedName>
    <definedName name="ACT_11" localSheetId="6">#REF!</definedName>
    <definedName name="ACT_11" localSheetId="4">#REF!</definedName>
    <definedName name="ACT_11">#REF!</definedName>
    <definedName name="ACT_12" localSheetId="9">#REF!</definedName>
    <definedName name="ACT_12" localSheetId="3">#REF!</definedName>
    <definedName name="ACT_12" localSheetId="1">#REF!</definedName>
    <definedName name="ACT_12" localSheetId="6">#REF!</definedName>
    <definedName name="ACT_12" localSheetId="4">#REF!</definedName>
    <definedName name="ACT_12">#REF!</definedName>
    <definedName name="ACT_13" localSheetId="9">#REF!</definedName>
    <definedName name="ACT_13" localSheetId="3">#REF!</definedName>
    <definedName name="ACT_13" localSheetId="1">#REF!</definedName>
    <definedName name="ACT_13" localSheetId="6">#REF!</definedName>
    <definedName name="ACT_13" localSheetId="4">#REF!</definedName>
    <definedName name="ACT_13">#REF!</definedName>
    <definedName name="ACT_14" localSheetId="9">#REF!</definedName>
    <definedName name="ACT_14" localSheetId="3">#REF!</definedName>
    <definedName name="ACT_14" localSheetId="1">#REF!</definedName>
    <definedName name="ACT_14" localSheetId="6">#REF!</definedName>
    <definedName name="ACT_14" localSheetId="4">#REF!</definedName>
    <definedName name="ACT_14">#REF!</definedName>
    <definedName name="ACT_7" localSheetId="9">#REF!</definedName>
    <definedName name="ACT_7" localSheetId="3">#REF!</definedName>
    <definedName name="ACT_7" localSheetId="1">#REF!</definedName>
    <definedName name="ACT_7" localSheetId="6">#REF!</definedName>
    <definedName name="ACT_7" localSheetId="4">#REF!</definedName>
    <definedName name="ACT_7">#REF!</definedName>
    <definedName name="ACT_8" localSheetId="9">#REF!</definedName>
    <definedName name="ACT_8" localSheetId="3">#REF!</definedName>
    <definedName name="ACT_8" localSheetId="1">#REF!</definedName>
    <definedName name="ACT_8" localSheetId="6">#REF!</definedName>
    <definedName name="ACT_8" localSheetId="4">#REF!</definedName>
    <definedName name="ACT_8">#REF!</definedName>
    <definedName name="ACT_9" localSheetId="9">#REF!</definedName>
    <definedName name="ACT_9" localSheetId="3">#REF!</definedName>
    <definedName name="ACT_9" localSheetId="1">#REF!</definedName>
    <definedName name="ACT_9" localSheetId="6">#REF!</definedName>
    <definedName name="ACT_9" localSheetId="4">#REF!</definedName>
    <definedName name="ACT_9">#REF!</definedName>
    <definedName name="adf" hidden="1">#REF!</definedName>
    <definedName name="AGUAACUM" localSheetId="9">#REF!</definedName>
    <definedName name="AGUAACUM">#REF!</definedName>
    <definedName name="AGUAMES" localSheetId="9">#REF!</definedName>
    <definedName name="AGUAMES">#REF!</definedName>
    <definedName name="ai">#REF!</definedName>
    <definedName name="AINDIC" localSheetId="9">#REF!</definedName>
    <definedName name="AINDIC">#REF!</definedName>
    <definedName name="ALFA">#REF!</definedName>
    <definedName name="AMETHYST_PROB">#REF!</definedName>
    <definedName name="AMETHYST_PROVED">#REF!</definedName>
    <definedName name="Ang" localSheetId="9">#REF!</definedName>
    <definedName name="Ang" localSheetId="3">#REF!</definedName>
    <definedName name="Ang" localSheetId="1">#REF!</definedName>
    <definedName name="Ang" localSheetId="6">#REF!</definedName>
    <definedName name="Ang" localSheetId="4">#REF!</definedName>
    <definedName name="Ang">#REF!</definedName>
    <definedName name="ANGLIA_PROB_POS">#REF!</definedName>
    <definedName name="ANGLIA_PROVED">#REF!</definedName>
    <definedName name="ANIO" localSheetId="9">#REF!</definedName>
    <definedName name="ANIO">#REF!</definedName>
    <definedName name="Año">#REF!</definedName>
    <definedName name="Año_control">#REF!</definedName>
    <definedName name="Año_inicio">#REF!</definedName>
    <definedName name="años_recup">#REF!</definedName>
    <definedName name="aod" localSheetId="9">#REF!</definedName>
    <definedName name="aod">#REF!</definedName>
    <definedName name="APPLETON_POSS">#REF!</definedName>
    <definedName name="APPLETON_PROB">#REF!</definedName>
    <definedName name="ARBR_40_S_P_P_P">#REF!</definedName>
    <definedName name="ARBR_ZECH_P_P_P">#REF!</definedName>
    <definedName name="_xlnm.Extract">#REF!</definedName>
    <definedName name="_xlnm.Print_Area" localSheetId="8">'Albacora Leste 2P'!$A$1:$AI$75</definedName>
    <definedName name="_xlnm.Print_Area" localSheetId="9">'Albacora Leste 3P'!$A$1:$AE$75</definedName>
    <definedName name="_xlnm.Print_Area" localSheetId="7">'Albacora Leste TP'!$A$1:$AE$74</definedName>
    <definedName name="_xlnm.Print_Area" localSheetId="2">'FRADE &amp; WAHOO 2P'!$A$1:$AC$75</definedName>
    <definedName name="_xlnm.Print_Area" localSheetId="3">'FRADE &amp; WAHOO 3P'!$A$1:$AC$76</definedName>
    <definedName name="_xlnm.Print_Area" localSheetId="1">'FRADE &amp; WAHOO TP'!$A$1:$AC$74</definedName>
    <definedName name="_xlnm.Print_Area" localSheetId="5">'Polvo &amp; TBMT 2P'!$A$1:$AE$75</definedName>
    <definedName name="_xlnm.Print_Area" localSheetId="6">'Polvo &amp; TBMT 3P'!$A$1:$AE$75</definedName>
    <definedName name="_xlnm.Print_Area" localSheetId="4">'Polvo &amp; TBMT TP'!$A$1:$AE$74</definedName>
    <definedName name="_xlnm.Print_Area">#REF!</definedName>
    <definedName name="area_min">#REF!</definedName>
    <definedName name="arg" localSheetId="9">#REF!</definedName>
    <definedName name="arg" localSheetId="3">#REF!</definedName>
    <definedName name="arg" localSheetId="1">#REF!</definedName>
    <definedName name="arg" localSheetId="6">#REF!</definedName>
    <definedName name="arg" localSheetId="4">#REF!</definedName>
    <definedName name="arg">#REF!</definedName>
    <definedName name="ARKWRIGHT_P_P_P">#REF!</definedName>
    <definedName name="asd" hidden="1">{"param,pg1",#N/A,FALSE,"Parameters";"param,pg2",#N/A,FALSE,"Parameters"}</definedName>
    <definedName name="ASOC">#REF!</definedName>
    <definedName name="atm2psi">#REF!</definedName>
    <definedName name="b">#REF!</definedName>
    <definedName name="BadakIII_Debt返済" localSheetId="9">#REF!</definedName>
    <definedName name="BadakIII_Debt返済">#REF!</definedName>
    <definedName name="BadakIV_Debt返済" localSheetId="9">#REF!</definedName>
    <definedName name="BadakIV_Debt返済">#REF!</definedName>
    <definedName name="BadakV_Debt返済" localSheetId="9">#REF!</definedName>
    <definedName name="BadakV_Debt返済">#REF!</definedName>
    <definedName name="BadakVI_Debt返済" localSheetId="9">#REF!</definedName>
    <definedName name="BadakVI_Debt返済">#REF!</definedName>
    <definedName name="BAIRD_PVD_PROB">#REF!</definedName>
    <definedName name="_xlnm.Database" localSheetId="9">#REF!</definedName>
    <definedName name="_xlnm.Database" localSheetId="3">#REF!</definedName>
    <definedName name="_xlnm.Database" localSheetId="1">#REF!</definedName>
    <definedName name="_xlnm.Database" localSheetId="6">#REF!</definedName>
    <definedName name="_xlnm.Database" localSheetId="4">#REF!</definedName>
    <definedName name="_xlnm.Database">#REF!</definedName>
    <definedName name="BaseYear">1999</definedName>
    <definedName name="BEAUFORT_P_P_P">#REF!</definedName>
    <definedName name="BELL_PROB_POSS">#REF!</definedName>
    <definedName name="BELL_PROVED">#REF!</definedName>
    <definedName name="BERYL_A_POSS">#REF!</definedName>
    <definedName name="BERYL_A_PROB">#REF!</definedName>
    <definedName name="BERYL_A_PROVED">#REF!</definedName>
    <definedName name="BERYL_B_GC_POSS">#REF!</definedName>
    <definedName name="BERYL_B_GC_PROB">#REF!</definedName>
    <definedName name="BERYL_B_GC_PROV">#REF!</definedName>
    <definedName name="BERYL_B_POSS">#REF!</definedName>
    <definedName name="BERYL_B_PROB">#REF!</definedName>
    <definedName name="BERYL_B_PROVED">#REF!</definedName>
    <definedName name="BESSEMER_P_P_P">#REF!</definedName>
    <definedName name="bg">#REF!</definedName>
    <definedName name="Bga">#REF!</definedName>
    <definedName name="Bgi">#REF!</definedName>
    <definedName name="BHT">#REF!</definedName>
    <definedName name="BHT_F">#REF!</definedName>
    <definedName name="bit">#REF!</definedName>
    <definedName name="BLK_113_28_POSS">#REF!</definedName>
    <definedName name="BLK_211_23_POSS">#REF!</definedName>
    <definedName name="BLK_9_13_P_P_P">#REF!</definedName>
    <definedName name="bo">#REF!</definedName>
    <definedName name="BOEQ" localSheetId="9">#REF!</definedName>
    <definedName name="BOEQ" localSheetId="3">#REF!</definedName>
    <definedName name="BOEQ" localSheetId="1">#REF!</definedName>
    <definedName name="BOEQ" localSheetId="6">#REF!</definedName>
    <definedName name="BOEQ" localSheetId="4">#REF!</definedName>
    <definedName name="BOEQ">#REF!</definedName>
    <definedName name="bol" localSheetId="9">#REF!</definedName>
    <definedName name="bol" localSheetId="3">#REF!</definedName>
    <definedName name="bol" localSheetId="1">#REF!</definedName>
    <definedName name="bol" localSheetId="6">#REF!</definedName>
    <definedName name="bol" localSheetId="4">#REF!</definedName>
    <definedName name="bol">#REF!</definedName>
    <definedName name="boob" hidden="1">{"param,pg1",#N/A,FALSE,"Parameters";"param,pg2",#N/A,FALSE,"Parameters"}</definedName>
    <definedName name="Botón33_AlHacerClic">#N/A</definedName>
    <definedName name="Botón34_AlHacerClic">#N/A</definedName>
    <definedName name="Botón37_AlHacerClic">#N/A</definedName>
    <definedName name="BPR">#REF!</definedName>
    <definedName name="Buscar">#N/A</definedName>
    <definedName name="Button_1">"PSumTops_from_PLog_Tops_List"</definedName>
    <definedName name="C_1">#REF!</definedName>
    <definedName name="C_2">#REF!</definedName>
    <definedName name="C_3">#REF!</definedName>
    <definedName name="C_6">#REF!</definedName>
    <definedName name="C_7plus">#REF!</definedName>
    <definedName name="c_a310">#REF!</definedName>
    <definedName name="c_g115">#REF!</definedName>
    <definedName name="c_g220">#REF!</definedName>
    <definedName name="CalcGross">#REF!</definedName>
    <definedName name="CAPEX">#REF!</definedName>
    <definedName name="capex_des">#REF!</definedName>
    <definedName name="capex_exp">#REF!</definedName>
    <definedName name="capex_sen">#REF!</definedName>
    <definedName name="capex_sens">#REF!</definedName>
    <definedName name="CAPEX0">#REF!</definedName>
    <definedName name="CAPEX12">#REF!</definedName>
    <definedName name="CAPEX15">#REF!</definedName>
    <definedName name="CAPEX8">#REF!</definedName>
    <definedName name="CAPTAIN_POSS">#REF!</definedName>
    <definedName name="CarbO2">#REF!</definedName>
    <definedName name="caso">#REF!</definedName>
    <definedName name="CASOMAX" localSheetId="9">#REF!</definedName>
    <definedName name="CASOMAX" localSheetId="3">#REF!</definedName>
    <definedName name="CASOMAX" localSheetId="1">#REF!</definedName>
    <definedName name="CASOMAX" localSheetId="6">#REF!</definedName>
    <definedName name="CASOMAX" localSheetId="4">#REF!</definedName>
    <definedName name="CASOMAX">#REF!</definedName>
    <definedName name="CASOMED" localSheetId="9">#REF!</definedName>
    <definedName name="CASOMED" localSheetId="3">#REF!</definedName>
    <definedName name="CASOMED" localSheetId="1">#REF!</definedName>
    <definedName name="CASOMED" localSheetId="6">#REF!</definedName>
    <definedName name="CASOMED" localSheetId="4">#REF!</definedName>
    <definedName name="CASOMED">#REF!</definedName>
    <definedName name="CASOMIN" localSheetId="9">#REF!</definedName>
    <definedName name="CASOMIN" localSheetId="3">#REF!</definedName>
    <definedName name="CASOMIN" localSheetId="1">#REF!</definedName>
    <definedName name="CASOMIN" localSheetId="6">#REF!</definedName>
    <definedName name="CASOMIN" localSheetId="4">#REF!</definedName>
    <definedName name="CASOMIN">#REF!</definedName>
    <definedName name="CasoPlanta">#REF!</definedName>
    <definedName name="CBarVisible">#REF!</definedName>
    <definedName name="CBWorkbookPriority" hidden="1">-67783552</definedName>
    <definedName name="cccc" hidden="1">#REF!</definedName>
    <definedName name="CDR5A" localSheetId="9">#REF!</definedName>
    <definedName name="CDR5A" localSheetId="3">#REF!</definedName>
    <definedName name="CDR5A" localSheetId="1">#REF!</definedName>
    <definedName name="CDR5A" localSheetId="6">#REF!</definedName>
    <definedName name="CDR5A" localSheetId="4">#REF!</definedName>
    <definedName name="CDR5A">#REF!</definedName>
    <definedName name="CDR8A" localSheetId="9">#REF!</definedName>
    <definedName name="CDR8A" localSheetId="3">#REF!</definedName>
    <definedName name="CDR8A" localSheetId="1">#REF!</definedName>
    <definedName name="CDR8A" localSheetId="6">#REF!</definedName>
    <definedName name="CDR8A" localSheetId="4">#REF!</definedName>
    <definedName name="CDR8A">#REF!</definedName>
    <definedName name="CE">#REF!</definedName>
    <definedName name="CEC">#REF!</definedName>
    <definedName name="Cenomanian">#REF!</definedName>
    <definedName name="CenomanianPP">#REF!</definedName>
    <definedName name="Certificacao_Custo" localSheetId="9">#REF!</definedName>
    <definedName name="Certificacao_Custo">#REF!</definedName>
    <definedName name="Certificacao_Investimento" localSheetId="9">#REF!</definedName>
    <definedName name="Certificacao_Investimento">#REF!</definedName>
    <definedName name="Chart_Array">{"CA",#N/A,#N/A,0,0,0,1,"POROSITY","fraction Vp",0.01,1,1,"FORMATION RESISTIVITY FACTOR",#N/A,1,100,#N/A,#N/A,#N/A,#N/A,#N/A,"TBL","scatter1.xls",4,5}</definedName>
    <definedName name="Chart_Range">#REF!</definedName>
    <definedName name="Chart_Regions">#REF!</definedName>
    <definedName name="Chart_Type">#REF!</definedName>
    <definedName name="CierraMemorias">#N/A</definedName>
    <definedName name="CierraMemorias1">#N/A</definedName>
    <definedName name="CierraTIR">#N/A</definedName>
    <definedName name="CIQWBGuid" hidden="1">"d4f3b880-d6b3-4d99-aa2f-f46867673dce"</definedName>
    <definedName name="CIQWBInfo" hidden="1">"{ ""CIQVersion"":""9.49.2423.4439"" }"</definedName>
    <definedName name="CLAIR_PROB_POSS">#REF!</definedName>
    <definedName name="Cód_LDA" localSheetId="9">#REF!</definedName>
    <definedName name="Cód_LDA">#REF!</definedName>
    <definedName name="CODETAB" localSheetId="9">#REF!</definedName>
    <definedName name="CODETAB" localSheetId="3">#REF!</definedName>
    <definedName name="CODETAB" localSheetId="1">#REF!</definedName>
    <definedName name="CODETAB" localSheetId="6">#REF!</definedName>
    <definedName name="CODETAB" localSheetId="4">#REF!</definedName>
    <definedName name="CODETAB">#REF!</definedName>
    <definedName name="col" localSheetId="9">#REF!</definedName>
    <definedName name="col" localSheetId="3">#REF!</definedName>
    <definedName name="col" localSheetId="1">#REF!</definedName>
    <definedName name="col" localSheetId="6">#REF!</definedName>
    <definedName name="col" localSheetId="4">#REF!</definedName>
    <definedName name="col">#REF!</definedName>
    <definedName name="Com_Exp" localSheetId="9">#REF!</definedName>
    <definedName name="Com_Exp" localSheetId="3">#REF!</definedName>
    <definedName name="Com_Exp" localSheetId="1">#REF!</definedName>
    <definedName name="Com_Exp" localSheetId="6">#REF!</definedName>
    <definedName name="Com_Exp" localSheetId="4">#REF!</definedName>
    <definedName name="Com_Exp">#REF!</definedName>
    <definedName name="Comision" localSheetId="9">#REF!</definedName>
    <definedName name="Comision" localSheetId="3">#REF!</definedName>
    <definedName name="Comision" localSheetId="1">#REF!</definedName>
    <definedName name="Comision" localSheetId="6">#REF!</definedName>
    <definedName name="Comision" localSheetId="4">#REF!</definedName>
    <definedName name="Comision">#REF!</definedName>
    <definedName name="COMMIN" localSheetId="9">#REF!</definedName>
    <definedName name="COMMIN" localSheetId="3">#REF!</definedName>
    <definedName name="COMMIN" localSheetId="1">#REF!</definedName>
    <definedName name="COMMIN" localSheetId="6">#REF!</definedName>
    <definedName name="COMMIN" localSheetId="4">#REF!</definedName>
    <definedName name="COMMIN">#REF!</definedName>
    <definedName name="COMMIN2" localSheetId="9">#REF!</definedName>
    <definedName name="COMMIN2" localSheetId="3">#REF!</definedName>
    <definedName name="COMMIN2" localSheetId="1">#REF!</definedName>
    <definedName name="COMMIN2" localSheetId="6">#REF!</definedName>
    <definedName name="COMMIN2" localSheetId="4">#REF!</definedName>
    <definedName name="COMMIN2">#REF!</definedName>
    <definedName name="Company_Range">#REF!</definedName>
    <definedName name="Company_Text_Info">#REF!</definedName>
    <definedName name="COMPARE" hidden="1">{"Table A,pg 1",#N/A,FALSE,"Table A-Prov GUR";"Table A,pg 2",#N/A,FALSE,"Table A-Prov GUR"}</definedName>
    <definedName name="Cond">#REF!</definedName>
    <definedName name="contrat_capex">#REF!</definedName>
    <definedName name="contrat_opex">#REF!</definedName>
    <definedName name="Contratista_en_capex">#REF!</definedName>
    <definedName name="Contratista_en_exploracion">#REF!</definedName>
    <definedName name="Contratista_en_opex">#REF!</definedName>
    <definedName name="Contratista_en_producción_y_opex">#REF!</definedName>
    <definedName name="costoil_contratista_extranj">#REF!</definedName>
    <definedName name="CPCMOA9899_Debt返済" localSheetId="9">#REF!</definedName>
    <definedName name="CPCMOA9899_Debt返済">#REF!</definedName>
    <definedName name="crasp" hidden="1">{"fullwell,pg1",#N/A,FALSE,"Full-Wellstream";"fullwell,pg2+",#N/A,FALSE,"Full-Wellstream"}</definedName>
    <definedName name="Criteria_Range">#REF!</definedName>
    <definedName name="_xlnm.Criteria">#REF!</definedName>
    <definedName name="CRTTR3" localSheetId="9">#REF!</definedName>
    <definedName name="CRTTR3" localSheetId="3">#REF!</definedName>
    <definedName name="CRTTR3" localSheetId="1">#REF!</definedName>
    <definedName name="CRTTR3" localSheetId="6">#REF!</definedName>
    <definedName name="CRTTR3" localSheetId="4">#REF!</definedName>
    <definedName name="CRTTR3">#REF!</definedName>
    <definedName name="cub" localSheetId="9">#REF!</definedName>
    <definedName name="cub" localSheetId="3">#REF!</definedName>
    <definedName name="cub" localSheetId="1">#REF!</definedName>
    <definedName name="cub" localSheetId="6">#REF!</definedName>
    <definedName name="cub" localSheetId="4">#REF!</definedName>
    <definedName name="cub">#REF!</definedName>
    <definedName name="d" localSheetId="9" hidden="1">{"param,for jpg,pg1",#N/A,FALSE,"Parameters";"param,for jpg,pg2",#N/A,FALSE,"Parameters"}</definedName>
    <definedName name="d" hidden="1">{"param,for jpg,pg1",#N/A,FALSE,"Parameters";"param,for jpg,pg2",#N/A,FALSE,"Parameters"}</definedName>
    <definedName name="DATA" localSheetId="3">#REF!</definedName>
    <definedName name="DATA" localSheetId="1">#REF!</definedName>
    <definedName name="DATA" localSheetId="6">#REF!</definedName>
    <definedName name="DATA" localSheetId="4">#REF!</definedName>
    <definedName name="DATA">#REF!</definedName>
    <definedName name="Data_Range">#REF!</definedName>
    <definedName name="DATA1" localSheetId="3">#REF!</definedName>
    <definedName name="DATA1" localSheetId="1">#REF!</definedName>
    <definedName name="DATA1" localSheetId="6">#REF!</definedName>
    <definedName name="DATA1" localSheetId="4">#REF!</definedName>
    <definedName name="DATA1">#REF!</definedName>
    <definedName name="DATE">#REF!</definedName>
    <definedName name="Datum">#REF!</definedName>
    <definedName name="DAUNT_P_P_P">#REF!</definedName>
    <definedName name="DAVY_POSS">#REF!</definedName>
    <definedName name="DAVY_PVD_PROB">#REF!</definedName>
    <definedName name="ddd" localSheetId="9" hidden="1">#REF!</definedName>
    <definedName name="ddd" hidden="1">#REF!</definedName>
    <definedName name="DECEMBER_31__2002">#REF!</definedName>
    <definedName name="DEFER" localSheetId="9">#REF!</definedName>
    <definedName name="DEFER">#REF!</definedName>
    <definedName name="degC2degF">#REF!</definedName>
    <definedName name="DELPROF" localSheetId="9">#REF!</definedName>
    <definedName name="DELPROF" localSheetId="3">#REF!</definedName>
    <definedName name="DELPROF" localSheetId="1">#REF!</definedName>
    <definedName name="DELPROF" localSheetId="6">#REF!</definedName>
    <definedName name="DELPROF" localSheetId="4">#REF!</definedName>
    <definedName name="DELPROF">#REF!</definedName>
    <definedName name="DEPR">#REF!</definedName>
    <definedName name="Det">#REF!</definedName>
    <definedName name="Di">#REF!</definedName>
    <definedName name="DMB">#REF!</definedName>
    <definedName name="DURWARD_P_P_P">#REF!</definedName>
    <definedName name="DYR">#REF!</definedName>
    <definedName name="DYY">#REF!</definedName>
    <definedName name="EASING_CASE_SUM">#REF!</definedName>
    <definedName name="ECP">#REF!</definedName>
    <definedName name="ECPREIN">#REF!</definedName>
    <definedName name="ee" hidden="1">{"param,for jpg,pg1",#N/A,FALSE,"Parameters";"param,for jpg,pg2",#N/A,FALSE,"Parameters"}</definedName>
    <definedName name="Elev">#REF!</definedName>
    <definedName name="EQENE" localSheetId="9">#REF!</definedName>
    <definedName name="EQENE" localSheetId="3">#REF!</definedName>
    <definedName name="EQENE" localSheetId="1">#REF!</definedName>
    <definedName name="EQENE" localSheetId="6">#REF!</definedName>
    <definedName name="EQENE" localSheetId="4">#REF!</definedName>
    <definedName name="EQENE">#REF!</definedName>
    <definedName name="ERUN" localSheetId="9">#REF!</definedName>
    <definedName name="ERUN" localSheetId="3">#REF!</definedName>
    <definedName name="ERUN" localSheetId="1">#REF!</definedName>
    <definedName name="ERUN" localSheetId="6">#REF!</definedName>
    <definedName name="ERUN" localSheetId="4">#REF!</definedName>
    <definedName name="ERUN">#REF!</definedName>
    <definedName name="Escalacion">#REF!</definedName>
    <definedName name="escalación">#REF!</definedName>
    <definedName name="Escalación_brent">#REF!</definedName>
    <definedName name="escalacion_costes">#REF!</definedName>
    <definedName name="escalación_precio">#REF!</definedName>
    <definedName name="Eua" localSheetId="9">#REF!</definedName>
    <definedName name="Eua" localSheetId="3">#REF!</definedName>
    <definedName name="Eua" localSheetId="1">#REF!</definedName>
    <definedName name="Eua" localSheetId="6">#REF!</definedName>
    <definedName name="Eua" localSheetId="4">#REF!</definedName>
    <definedName name="Eua">#REF!</definedName>
    <definedName name="EVER_40S_PVD_PB">#REF!</definedName>
    <definedName name="EVER_AND_P_P_P">#REF!</definedName>
    <definedName name="EVER_AND_PVD_PB">#REF!</definedName>
    <definedName name="EXT_DETAIL" localSheetId="9">#REF!</definedName>
    <definedName name="EXT_DETAIL">#REF!</definedName>
    <definedName name="EXT_SUMMARY" localSheetId="9">#REF!</definedName>
    <definedName name="EXT_SUMMARY">#REF!</definedName>
    <definedName name="Ext73sc_Debt返済" localSheetId="9">#REF!</definedName>
    <definedName name="Ext73sc_Debt返済">#REF!</definedName>
    <definedName name="Ext81sc_Debt返済" localSheetId="9">#REF!</definedName>
    <definedName name="Ext81sc_Debt返済">#REF!</definedName>
    <definedName name="f_gas">#REF!</definedName>
    <definedName name="f_oil">#REF!</definedName>
    <definedName name="facor_esc">#REF!</definedName>
    <definedName name="factor_esc">#REF!</definedName>
    <definedName name="factor_esprecio">#REF!</definedName>
    <definedName name="FE">#REF!</definedName>
    <definedName name="FERGUS_P_P_P">#REF!</definedName>
    <definedName name="FIFE_P_P_P">#REF!</definedName>
    <definedName name="FinAdiciona">#N/A</definedName>
    <definedName name="FIND">#REF!</definedName>
    <definedName name="FinVendedor">#N/A</definedName>
    <definedName name="FLOOD_TDELTA">#REF!</definedName>
    <definedName name="FlujoFon">#N/A</definedName>
    <definedName name="FORB_PROB_POSS">#REF!</definedName>
    <definedName name="FORM1" localSheetId="9">#REF!</definedName>
    <definedName name="FORM1" localSheetId="3">#REF!</definedName>
    <definedName name="FORM1" localSheetId="1">#REF!</definedName>
    <definedName name="FORM1" localSheetId="6">#REF!</definedName>
    <definedName name="FORM1" localSheetId="4">#REF!</definedName>
    <definedName name="FORM1">#REF!</definedName>
    <definedName name="FORM2" localSheetId="9">#REF!</definedName>
    <definedName name="FORM2" localSheetId="3">#REF!</definedName>
    <definedName name="FORM2" localSheetId="1">#REF!</definedName>
    <definedName name="FORM2" localSheetId="6">#REF!</definedName>
    <definedName name="FORM2" localSheetId="4">#REF!</definedName>
    <definedName name="FORM2">#REF!</definedName>
    <definedName name="_xlnm.Data_Form">#REF!</definedName>
    <definedName name="FSELL" localSheetId="9">#REF!</definedName>
    <definedName name="FSELL" localSheetId="3">#REF!</definedName>
    <definedName name="FSELL" localSheetId="1">#REF!</definedName>
    <definedName name="FSELL" localSheetId="6">#REF!</definedName>
    <definedName name="FSELL" localSheetId="4">#REF!</definedName>
    <definedName name="FSELL">#REF!</definedName>
    <definedName name="FULMAR_PVD_PROB">#REF!</definedName>
    <definedName name="FUNIT" localSheetId="9">#REF!</definedName>
    <definedName name="FUNIT" localSheetId="3">#REF!</definedName>
    <definedName name="FUNIT" localSheetId="1">#REF!</definedName>
    <definedName name="FUNIT" localSheetId="6">#REF!</definedName>
    <definedName name="FUNIT" localSheetId="4">#REF!</definedName>
    <definedName name="FUNIT">#REF!</definedName>
    <definedName name="GAMMA_PROB_POSS">#REF!</definedName>
    <definedName name="GASACUM" localSheetId="9">#REF!</definedName>
    <definedName name="GASACUM">#REF!</definedName>
    <definedName name="GASMES" localSheetId="9">#REF!</definedName>
    <definedName name="GASMES">#REF!</definedName>
    <definedName name="GIPi_AcFt">#REF!</definedName>
    <definedName name="GIPr_AcFt">#REF!</definedName>
    <definedName name="GrafTIR">#N/A</definedName>
    <definedName name="GrafVNP">#N/A</definedName>
    <definedName name="Gui" localSheetId="9">#REF!</definedName>
    <definedName name="Gui" localSheetId="3">#REF!</definedName>
    <definedName name="Gui" localSheetId="1">#REF!</definedName>
    <definedName name="Gui" localSheetId="6">#REF!</definedName>
    <definedName name="Gui" localSheetId="4">#REF!</definedName>
    <definedName name="Gui">#REF!</definedName>
    <definedName name="H2S">#REF!</definedName>
    <definedName name="HALLEY_POSS">#REF!</definedName>
    <definedName name="HALLEY_PROB">#REF!</definedName>
    <definedName name="HAMISH_PVD_PROB">#REF!</definedName>
    <definedName name="HANAY_PROB_POSS">#REF!</definedName>
    <definedName name="HPperMM">#REF!</definedName>
    <definedName name="HUDSON_POSS">#REF!</definedName>
    <definedName name="HUDSON_PROB">#REF!</definedName>
    <definedName name="HUDSON_PROVED">#REF!</definedName>
    <definedName name="IC_4">#REF!</definedName>
    <definedName name="IC_5">#REF!</definedName>
    <definedName name="ICAPEX">#REF!</definedName>
    <definedName name="IconStyle">#REF!</definedName>
    <definedName name="IFOPEX">#REF!</definedName>
    <definedName name="IITAX">#REF!</definedName>
    <definedName name="ImpBases">#N/A</definedName>
    <definedName name="ImpCostos">#N/A</definedName>
    <definedName name="Impegresos">#N/A</definedName>
    <definedName name="ImpGraf">#N/A</definedName>
    <definedName name="ImpSensil">#N/A</definedName>
    <definedName name="income_tax">#REF!</definedName>
    <definedName name="Incrementos" localSheetId="9">#REF!</definedName>
    <definedName name="Incrementos">#REF!</definedName>
    <definedName name="INDEF_PVD_PROB">#REF!</definedName>
    <definedName name="INDEF_SATEL_SUM">#REF!</definedName>
    <definedName name="inicio" localSheetId="9">#REF!</definedName>
    <definedName name="inicio" localSheetId="3">#REF!</definedName>
    <definedName name="inicio" localSheetId="1">#REF!</definedName>
    <definedName name="inicio" localSheetId="6">#REF!</definedName>
    <definedName name="inicio" localSheetId="4">#REF!</definedName>
    <definedName name="inicio">#REF!</definedName>
    <definedName name="INPUT" localSheetId="9">#REF!</definedName>
    <definedName name="INPUT" localSheetId="3">#REF!</definedName>
    <definedName name="INPUT" localSheetId="1">#REF!</definedName>
    <definedName name="INPUT" localSheetId="6">#REF!</definedName>
    <definedName name="INPUT" localSheetId="4">#REF!</definedName>
    <definedName name="INPUT">#REF!</definedName>
    <definedName name="Insertar">#N/A</definedName>
    <definedName name="INT_INPUT" localSheetId="9">#REF!</definedName>
    <definedName name="INT_INPUT">#REF!</definedName>
    <definedName name="INTERPOL" localSheetId="9">#REF!</definedName>
    <definedName name="INTERPOL" localSheetId="3">#REF!</definedName>
    <definedName name="INTERPOL" localSheetId="1">#REF!</definedName>
    <definedName name="INTERPOL" localSheetId="6">#REF!</definedName>
    <definedName name="INTERPOL" localSheetId="4">#REF!</definedName>
    <definedName name="INTERPOL">#REF!</definedName>
    <definedName name="invento">#REF!</definedName>
    <definedName name="invento2">#REF!</definedName>
    <definedName name="invento3">#REF!</definedName>
    <definedName name="IOAT">#REF!</definedName>
    <definedName name="IOH">#REF!</definedName>
    <definedName name="iop" localSheetId="9">#REF!</definedName>
    <definedName name="iop" localSheetId="3">#REF!</definedName>
    <definedName name="iop" localSheetId="1">#REF!</definedName>
    <definedName name="iop" localSheetId="6">#REF!</definedName>
    <definedName name="iop" localSheetId="4">#REF!</definedName>
    <definedName name="iop">#REF!</definedName>
    <definedName name="IOPEX">#REF!</definedName>
    <definedName name="IPR">#REF!</definedName>
    <definedName name="IPROD">#REF!</definedName>
    <definedName name="IPSV">#REF!</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45110.6265393519</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SURT">#REF!</definedName>
    <definedName name="ITRANSP">#REF!</definedName>
    <definedName name="IVANHOE_PVD_PRO">#REF!</definedName>
    <definedName name="IVOPEX">#REF!</definedName>
    <definedName name="IWTAX">#REF!</definedName>
    <definedName name="JAU_HDR">#REF!</definedName>
    <definedName name="JAU_HPV">#REF!</definedName>
    <definedName name="JAU_SDS">#REF!</definedName>
    <definedName name="jokerswild" hidden="1">#REF!</definedName>
    <definedName name="jpg" localSheetId="9" hidden="1">{"param,for jpg,pg1",#N/A,FALSE,"Parameters";"param,for jpg,pg2",#N/A,FALSE,"Parameters"}</definedName>
    <definedName name="jpg" hidden="1">{"param,for jpg,pg1",#N/A,FALSE,"Parameters";"param,for jpg,pg2",#N/A,FALSE,"Parameters"}</definedName>
    <definedName name="K">#REF!</definedName>
    <definedName name="KATRIN_PROB_POS">#REF!</definedName>
    <definedName name="Kaz" localSheetId="9">#REF!</definedName>
    <definedName name="Kaz" localSheetId="3">#REF!</definedName>
    <definedName name="Kaz" localSheetId="1">#REF!</definedName>
    <definedName name="Kaz" localSheetId="6">#REF!</definedName>
    <definedName name="Kaz" localSheetId="4">#REF!</definedName>
    <definedName name="Kaz">#REF!</definedName>
    <definedName name="Kharpress">#REF!</definedName>
    <definedName name="Khartemp">#REF!</definedName>
    <definedName name="kk" hidden="1">{"param,for jpg,pg1",#N/A,FALSE,"Parameters";"param,for jpg,pg2",#N/A,FALSE,"Parameters"}</definedName>
    <definedName name="KoreaMOA9599_Debt返済" localSheetId="9">#REF!</definedName>
    <definedName name="KoreaMOA9599_Debt返済">#REF!</definedName>
    <definedName name="LABEL" localSheetId="9">#REF!</definedName>
    <definedName name="LABEL">#REF!</definedName>
    <definedName name="Labels">#REF!</definedName>
    <definedName name="layer">#REF!</definedName>
    <definedName name="LEMAN_P_P_P">#REF!</definedName>
    <definedName name="LIBOR" localSheetId="9">#REF!</definedName>
    <definedName name="LIBOR">#REF!</definedName>
    <definedName name="limite_cost_oil">#REF!</definedName>
    <definedName name="lll" hidden="1">{"fullwell,pg1",#N/A,FALSE,"Full-Wellstream";"fullwell,pg2+",#N/A,FALSE,"Full-Wellstream"}</definedName>
    <definedName name="llo" hidden="1">{"param,pg1",#N/A,FALSE,"Parameters";"param,pg2",#N/A,FALSE,"Parameters"}</definedName>
    <definedName name="LMC" localSheetId="9">#REF!</definedName>
    <definedName name="LMC" localSheetId="3">#REF!</definedName>
    <definedName name="LMC" localSheetId="1">#REF!</definedName>
    <definedName name="LMC" localSheetId="6">#REF!</definedName>
    <definedName name="LMC" localSheetId="4">#REF!</definedName>
    <definedName name="LMC">#REF!</definedName>
    <definedName name="LNeocomian">#REF!</definedName>
    <definedName name="LNeocomianI">#REF!</definedName>
    <definedName name="LNeocomianII">#REF!</definedName>
    <definedName name="LNeocomianIII">#REF!</definedName>
    <definedName name="LNeocomianIIIPP">#REF!</definedName>
    <definedName name="LNeocomianIIPP">#REF!</definedName>
    <definedName name="LNeocomianIPP">#REF!</definedName>
    <definedName name="LNeocomianPP">#REF!</definedName>
    <definedName name="LOMOND_PROVED">#REF!</definedName>
    <definedName name="macro1">#N/A</definedName>
    <definedName name="Main_Title">#REF!</definedName>
    <definedName name="MAINMENU">#REF!</definedName>
    <definedName name="MARI_HEI_PROB">#REF!</definedName>
    <definedName name="MARI_MAU_PB_POS">#REF!</definedName>
    <definedName name="MARM_PVD_PROB">#REF!</definedName>
    <definedName name="MAXPROF" localSheetId="9">#REF!</definedName>
    <definedName name="MAXPROF" localSheetId="3">#REF!</definedName>
    <definedName name="MAXPROF" localSheetId="1">#REF!</definedName>
    <definedName name="MAXPROF" localSheetId="6">#REF!</definedName>
    <definedName name="MAXPROF" localSheetId="4">#REF!</definedName>
    <definedName name="MAXPROF">#REF!</definedName>
    <definedName name="MERCRYPROB_POSS">#REF!</definedName>
    <definedName name="MES" localSheetId="9">#REF!</definedName>
    <definedName name="MES">#REF!</definedName>
    <definedName name="meses" localSheetId="9">#REF!</definedName>
    <definedName name="meses" localSheetId="3">#REF!</definedName>
    <definedName name="meses" localSheetId="1">#REF!</definedName>
    <definedName name="meses" localSheetId="6">#REF!</definedName>
    <definedName name="meses" localSheetId="4">#REF!</definedName>
    <definedName name="meses">#REF!</definedName>
    <definedName name="MIE">#REF!</definedName>
    <definedName name="MIL" localSheetId="9">#REF!</definedName>
    <definedName name="MIL" localSheetId="3">#REF!</definedName>
    <definedName name="MIL" localSheetId="1">#REF!</definedName>
    <definedName name="MIL" localSheetId="6">#REF!</definedName>
    <definedName name="MIL" localSheetId="4">#REF!</definedName>
    <definedName name="MIL">#REF!</definedName>
    <definedName name="MinYield">#REF!</definedName>
    <definedName name="MinYieldI">#REF!</definedName>
    <definedName name="MinYieldII">#REF!</definedName>
    <definedName name="MinYieldIII">#REF!</definedName>
    <definedName name="MinYieldVII">#REF!</definedName>
    <definedName name="Módulo1.Insertar">#N/A</definedName>
    <definedName name="Módulo2.Insertar">#N/A</definedName>
    <definedName name="Molecular_Weight">#REF!</definedName>
    <definedName name="MONTROSE_P_P_P">#REF!</definedName>
    <definedName name="mos1stper">#REF!</definedName>
    <definedName name="mossubper">#REF!</definedName>
    <definedName name="MuestraCostosGeneral">#N/A</definedName>
    <definedName name="MuestraCostosParticular">#N/A</definedName>
    <definedName name="MuestraDatos">#N/A</definedName>
    <definedName name="MuestraDepreciación">#N/A</definedName>
    <definedName name="MuestraIngresos">#N/A</definedName>
    <definedName name="MuestraInversion">#N/A</definedName>
    <definedName name="n">#REF!</definedName>
    <definedName name="NC_4">#REF!</definedName>
    <definedName name="NC_5">#REF!</definedName>
    <definedName name="NEPT_PROB_POSS">#REF!</definedName>
    <definedName name="NESS_GC_PROVED">#REF!</definedName>
    <definedName name="NESS_P_P_P">#REF!</definedName>
    <definedName name="NEVIS_GC_POSS">#REF!</definedName>
    <definedName name="NEVIS_GC_PROB">#REF!</definedName>
    <definedName name="NEVIS_GC_PROVED">#REF!</definedName>
    <definedName name="NEVIS_POSS">#REF!</definedName>
    <definedName name="NEVIS_PROB">#REF!</definedName>
    <definedName name="NEVIS_PROVED">#REF!</definedName>
    <definedName name="NewMatrix">#REF!</definedName>
    <definedName name="Nig" localSheetId="9">#REF!</definedName>
    <definedName name="Nig" localSheetId="3">#REF!</definedName>
    <definedName name="Nig" localSheetId="1">#REF!</definedName>
    <definedName name="Nig" localSheetId="6">#REF!</definedName>
    <definedName name="Nig" localSheetId="4">#REF!</definedName>
    <definedName name="Nig">#REF!</definedName>
    <definedName name="Nit">#REF!</definedName>
    <definedName name="NM">#REF!</definedName>
    <definedName name="NPV0">#REF!</definedName>
    <definedName name="NPVER0">#REF!</definedName>
    <definedName name="NPVER12">#REF!</definedName>
    <definedName name="NPVER15">#REF!</definedName>
    <definedName name="NPVER8">#REF!</definedName>
    <definedName name="NTC">#REF!</definedName>
    <definedName name="O">#REF!</definedName>
    <definedName name="Ø">#REF!</definedName>
    <definedName name="OBSERV" localSheetId="9">#REF!</definedName>
    <definedName name="OBSERV">#REF!</definedName>
    <definedName name="Oculta">#N/A</definedName>
    <definedName name="opex">#REF!</definedName>
    <definedName name="opex_sen">#REF!</definedName>
    <definedName name="opex_sens">#REF!</definedName>
    <definedName name="OPEX0">#REF!</definedName>
    <definedName name="OPEX12">#REF!</definedName>
    <definedName name="OPEX15">#REF!</definedName>
    <definedName name="OPEX8">#REF!</definedName>
    <definedName name="oreenburg">#REF!</definedName>
    <definedName name="oren">#REF!</definedName>
    <definedName name="orenb">#REF!</definedName>
    <definedName name="orenburg">#REF!</definedName>
    <definedName name="ORRI">#REF!</definedName>
    <definedName name="OTH">#REF!</definedName>
    <definedName name="Pa">#REF!</definedName>
    <definedName name="page">#REF!</definedName>
    <definedName name="participacion">#REF!</definedName>
    <definedName name="Participacion_contratista">#REF!</definedName>
    <definedName name="Participacion_Repsol_contratista">#REF!</definedName>
    <definedName name="Participacion_Repsol_proyecto">#REF!</definedName>
    <definedName name="Pavg">#REF!</definedName>
    <definedName name="PAYO">#REF!</definedName>
    <definedName name="PBOTHMENU">#REF!</definedName>
    <definedName name="PD_DETAIL" localSheetId="9">#REF!</definedName>
    <definedName name="PD_DETAIL">#REF!</definedName>
    <definedName name="PD_INPUT" localSheetId="9">#REF!</definedName>
    <definedName name="PD_INPUT">#REF!</definedName>
    <definedName name="PD_SUMMARY" localSheetId="9">#REF!</definedName>
    <definedName name="PD_SUMMARY">#REF!</definedName>
    <definedName name="Pend_amortizar">#REF!</definedName>
    <definedName name="PERTH_P_P_P">#REF!</definedName>
    <definedName name="PETACUM" localSheetId="9">#REF!</definedName>
    <definedName name="PETACUM">#REF!</definedName>
    <definedName name="PETMES" localSheetId="9">#REF!</definedName>
    <definedName name="PETMES">#REF!</definedName>
    <definedName name="PgTable">#REF!</definedName>
    <definedName name="Pi">#REF!</definedName>
    <definedName name="PINPUTMENU">#REF!</definedName>
    <definedName name="PivotData">#REF!</definedName>
    <definedName name="PLANILLA_8" localSheetId="9">#REF!</definedName>
    <definedName name="PLANILLA_8">#REF!</definedName>
    <definedName name="PLANILLA_9" localSheetId="9">#REF!</definedName>
    <definedName name="PLANILLA_9">#REF!</definedName>
    <definedName name="Ploc">#REF!</definedName>
    <definedName name="poly">#REF!</definedName>
    <definedName name="poop" hidden="1">{"param,for jpg,pg1",#N/A,FALSE,"Parameters";"param,for jpg,pg2",#N/A,FALSE,"Parameters"}</definedName>
    <definedName name="POS">#REF!</definedName>
    <definedName name="POZO" localSheetId="9">#REF!</definedName>
    <definedName name="POZO">#REF!</definedName>
    <definedName name="pp" hidden="1">#REF!</definedName>
    <definedName name="PPR" localSheetId="9">#REF!</definedName>
    <definedName name="PPR" localSheetId="3">#REF!</definedName>
    <definedName name="PPR" localSheetId="1">#REF!</definedName>
    <definedName name="PPR" localSheetId="6">#REF!</definedName>
    <definedName name="PPR" localSheetId="4">#REF!</definedName>
    <definedName name="PPR">#REF!</definedName>
    <definedName name="precio">#REF!</definedName>
    <definedName name="precio_sens">#REF!</definedName>
    <definedName name="price_sen">#REF!</definedName>
    <definedName name="PRICES1" localSheetId="9">#REF!</definedName>
    <definedName name="PRICES1" localSheetId="3">#REF!</definedName>
    <definedName name="PRICES1" localSheetId="1">#REF!</definedName>
    <definedName name="PRICES1" localSheetId="6">#REF!</definedName>
    <definedName name="PRICES1" localSheetId="4">#REF!</definedName>
    <definedName name="PRICES1">#REF!</definedName>
    <definedName name="Print_Area_MI" localSheetId="9">#REF!</definedName>
    <definedName name="Print_Area_MI">#REF!</definedName>
    <definedName name="Print_Titles_MI" localSheetId="9">#REF!</definedName>
    <definedName name="Print_Titles_MI">#REF!</definedName>
    <definedName name="PRINTMENU">#REF!</definedName>
    <definedName name="PRO_NOM" localSheetId="9">#REF!</definedName>
    <definedName name="PRO_NOM" localSheetId="3">#REF!</definedName>
    <definedName name="PRO_NOM" localSheetId="1">#REF!</definedName>
    <definedName name="PRO_NOM" localSheetId="6">#REF!</definedName>
    <definedName name="PRO_NOM" localSheetId="4">#REF!</definedName>
    <definedName name="PRO_NOM">#REF!</definedName>
    <definedName name="prob_desc">#REF!</definedName>
    <definedName name="Probabilidad_hallazgo">#REF!</definedName>
    <definedName name="PROD">#REF!</definedName>
    <definedName name="Prod_Limit">#REF!</definedName>
    <definedName name="prod_sen">#REF!</definedName>
    <definedName name="PROD0">#REF!</definedName>
    <definedName name="PROD12">#REF!</definedName>
    <definedName name="PROD15">#REF!</definedName>
    <definedName name="PROD8">#REF!</definedName>
    <definedName name="produccion">#REF!</definedName>
    <definedName name="produccion_gas_anual">#REF!</definedName>
    <definedName name="profitoil_contratista_extranj">#REF!</definedName>
    <definedName name="PROFRAN" localSheetId="9">#REF!</definedName>
    <definedName name="PROFRAN" localSheetId="3">#REF!</definedName>
    <definedName name="PROFRAN" localSheetId="1">#REF!</definedName>
    <definedName name="PROFRAN" localSheetId="6">#REF!</definedName>
    <definedName name="PROFRAN" localSheetId="4">#REF!</definedName>
    <definedName name="PROFRAN">#REF!</definedName>
    <definedName name="Projectlist" localSheetId="9">#REF!</definedName>
    <definedName name="Projectlist" localSheetId="3">#REF!</definedName>
    <definedName name="Projectlist" localSheetId="1">#REF!</definedName>
    <definedName name="Projectlist" localSheetId="6">#REF!</definedName>
    <definedName name="Projectlist" localSheetId="4">#REF!</definedName>
    <definedName name="Projectlist">#REF!</definedName>
    <definedName name="PROJOPEX">#REF!</definedName>
    <definedName name="Psc">#REF!</definedName>
    <definedName name="PW">#REF!</definedName>
    <definedName name="Qf">#REF!</definedName>
    <definedName name="qi">#REF!</definedName>
    <definedName name="R_RECONCILE_MAC" localSheetId="9">#REF!</definedName>
    <definedName name="R_RECONCILE_MAC">#REF!</definedName>
    <definedName name="rangleganle" hidden="1">#REF!</definedName>
    <definedName name="ReciboDeRegistro">#N/A</definedName>
    <definedName name="Remain">#REF!</definedName>
    <definedName name="REMOIL1">#REF!</definedName>
    <definedName name="REMOIL2">#REF!</definedName>
    <definedName name="REMOIL3">#REF!</definedName>
    <definedName name="REMOIL4">#REF!</definedName>
    <definedName name="RES_CERT_FIELD" localSheetId="9">#REF!</definedName>
    <definedName name="RES_CERT_FIELD">#REF!</definedName>
    <definedName name="RES_CERT_SUM" localSheetId="9">#REF!</definedName>
    <definedName name="RES_CERT_SUM">#REF!</definedName>
    <definedName name="RES_CONS_GAS" localSheetId="9">#REF!</definedName>
    <definedName name="RES_CONS_GAS">#REF!</definedName>
    <definedName name="RES_CONS_OIL" localSheetId="9">#REF!</definedName>
    <definedName name="RES_CONS_OIL">#REF!</definedName>
    <definedName name="RES_MOVEMENT" localSheetId="9">#REF!</definedName>
    <definedName name="RES_MOVEMENT">#REF!</definedName>
    <definedName name="RES_RECONCILE" localSheetId="9">#REF!</definedName>
    <definedName name="RES_RECONCILE">#REF!</definedName>
    <definedName name="RESCASE" localSheetId="9">#REF!</definedName>
    <definedName name="RESCASE" localSheetId="3">#REF!</definedName>
    <definedName name="RESCASE" localSheetId="1">#REF!</definedName>
    <definedName name="RESCASE" localSheetId="6">#REF!</definedName>
    <definedName name="RESCASE" localSheetId="4">#REF!</definedName>
    <definedName name="RESCASE">#REF!</definedName>
    <definedName name="Resumen">#N/A</definedName>
    <definedName name="REVRAN" localSheetId="9">#REF!</definedName>
    <definedName name="REVRAN" localSheetId="3">#REF!</definedName>
    <definedName name="REVRAN" localSheetId="1">#REF!</definedName>
    <definedName name="REVRAN" localSheetId="6">#REF!</definedName>
    <definedName name="REVRAN" localSheetId="4">#REF!</definedName>
    <definedName name="REVRAN">#REF!</definedName>
    <definedName name="RI">#REF!</definedName>
    <definedName name="RiskAfterRecalcMacro" hidden="1">""</definedName>
    <definedName name="RiskAfterSimMacro" hidden="1">""</definedName>
    <definedName name="RiskAutoStopPercChange">1.5</definedName>
    <definedName name="RiskBeforeRecalcMacro" hidden="1">""</definedName>
    <definedName name="RiskBeforeSimMacro" hidden="1">""</definedName>
    <definedName name="RiskCollectDistributionSamples">2</definedName>
    <definedName name="RiskCorrelationSheet" localSheetId="9">#REF!</definedName>
    <definedName name="RiskCorrelationSheet">#REF!</definedName>
    <definedName name="RiskExcelReportsGoInNewWorkbook">TRUE</definedName>
    <definedName name="RiskExcelReportsToGenerate">32</definedName>
    <definedName name="RiskFixedSeed">7661</definedName>
    <definedName name="RiskGenerateExcelReportsAtEndOfSimulation">TRUE</definedName>
    <definedName name="RiskHasSettings">TRUE</definedName>
    <definedName name="RiskMinimizeOnStart">FALSE</definedName>
    <definedName name="RiskMonitorConvergence">TRUE</definedName>
    <definedName name="RiskMultipleCPUSupportEnabled" hidden="1">TRUE</definedName>
    <definedName name="RiskNumIterations">1000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howRiskWindowAtEndOfSimulation">TRUE</definedName>
    <definedName name="RiskStandardRecalc">1</definedName>
    <definedName name="RiskStatFunctionsUpdateFreq">100</definedName>
    <definedName name="RiskTemplateSheetName">"myTemplate"</definedName>
    <definedName name="RiskUpdateDisplay">FALSE</definedName>
    <definedName name="RiskUpdateStatFunctions">FALSE</definedName>
    <definedName name="RiskUseDifferentSeedForEachSim">FALSE</definedName>
    <definedName name="RiskUseFixedSeed">TRUE</definedName>
    <definedName name="RiskUseMultipleCPUs" localSheetId="9" hidden="1">TRUE</definedName>
    <definedName name="RiskUseMultipleCPUs">FALSE</definedName>
    <definedName name="RLP" localSheetId="9">#REF!</definedName>
    <definedName name="RLP">#REF!</definedName>
    <definedName name="rngReportDate">#REF!</definedName>
    <definedName name="rngReportKey1">#REF!</definedName>
    <definedName name="rngReportKey2">#REF!</definedName>
    <definedName name="rngReportKey3">#REF!</definedName>
    <definedName name="rngReportKey4">#REF!</definedName>
    <definedName name="rngReportTitle1">#REF!</definedName>
    <definedName name="rngReportTitle2">#REF!</definedName>
    <definedName name="ROBROY_PVD_PROB">#REF!</definedName>
    <definedName name="ROY">#REF!</definedName>
    <definedName name="RP">#REF!</definedName>
    <definedName name="rr" hidden="1">{"param,for jpg,pg1",#N/A,FALSE,"Parameters";"param,for jpg,pg2",#N/A,FALSE,"Parameters"}</definedName>
    <definedName name="RUN_PART_B" localSheetId="9">#REF!</definedName>
    <definedName name="RUN_PART_B">#REF!</definedName>
    <definedName name="s" hidden="1">{"param,for jpg,pg1",#N/A,FALSE,"Parameters";"param,for jpg,pg2",#N/A,FALSE,"Parameters"}</definedName>
    <definedName name="Sample_Range">#REF!</definedName>
    <definedName name="Sample_Text">#REF!</definedName>
    <definedName name="Sample_Text_Info">#REF!</definedName>
    <definedName name="SAPBEXrevision">1</definedName>
    <definedName name="SAPBEXsysID">"BWP"</definedName>
    <definedName name="SCHIEL_P_P_P">#REF!</definedName>
    <definedName name="SCOTT_POSS">#REF!</definedName>
    <definedName name="SCOTT_PROB">#REF!</definedName>
    <definedName name="SCOTT_PROVED">#REF!</definedName>
    <definedName name="sdf" hidden="1">{"fullwell,pg1",#N/A,FALSE,"Full-Wellstream";"fullwell,pg2+",#N/A,FALSE,"Full-Wellstream"}</definedName>
    <definedName name="SEC_ENERGY" localSheetId="9">#REF!</definedName>
    <definedName name="SEC_ENERGY">#REF!</definedName>
    <definedName name="Secondary_Title">#REF!</definedName>
    <definedName name="Sens_capex">#REF!</definedName>
    <definedName name="Sens_opex">#REF!</definedName>
    <definedName name="Sens_precio_crudo">#REF!</definedName>
    <definedName name="Sens_produc_crudo">#REF!</definedName>
    <definedName name="SENSPROD" localSheetId="9">#REF!</definedName>
    <definedName name="SENSPROD" localSheetId="3">#REF!</definedName>
    <definedName name="SENSPROD" localSheetId="1">#REF!</definedName>
    <definedName name="SENSPROD" localSheetId="6">#REF!</definedName>
    <definedName name="SENSPROD" localSheetId="4">#REF!</definedName>
    <definedName name="SENSPROD">#REF!</definedName>
    <definedName name="Series_No">0</definedName>
    <definedName name="SG">#REF!</definedName>
    <definedName name="SHELFSS">#REF!</definedName>
    <definedName name="shflu">#REF!</definedName>
    <definedName name="SHOW1" localSheetId="9">#REF!</definedName>
    <definedName name="SHOW1" localSheetId="3">#REF!</definedName>
    <definedName name="SHOW1" localSheetId="1">#REF!</definedName>
    <definedName name="SHOW1" localSheetId="6">#REF!</definedName>
    <definedName name="SHOW1" localSheetId="4">#REF!</definedName>
    <definedName name="SHOW1">#REF!</definedName>
    <definedName name="Shrx">#REF!</definedName>
    <definedName name="SIGMA_PROB_POSS">#REF!</definedName>
    <definedName name="SIWHPg">#REF!</definedName>
    <definedName name="SOLAN_POSS">#REF!</definedName>
    <definedName name="sort" localSheetId="9">#REF!</definedName>
    <definedName name="sort">#REF!</definedName>
    <definedName name="sort_area">#REF!</definedName>
    <definedName name="sort2" localSheetId="9">#REF!</definedName>
    <definedName name="sort2">#REF!</definedName>
    <definedName name="sort3" localSheetId="9">#REF!</definedName>
    <definedName name="sort3">#REF!</definedName>
    <definedName name="SpecGrav">#REF!</definedName>
    <definedName name="sum" hidden="1">#REF!</definedName>
    <definedName name="SUMA1" localSheetId="9">#REF!</definedName>
    <definedName name="SUMA1" localSheetId="3">#REF!</definedName>
    <definedName name="SUMA1" localSheetId="1">#REF!</definedName>
    <definedName name="SUMA1" localSheetId="6">#REF!</definedName>
    <definedName name="SUMA1" localSheetId="4">#REF!</definedName>
    <definedName name="SUMA1">#REF!</definedName>
    <definedName name="SUMBLK9_13">#REF!</definedName>
    <definedName name="sumtable">#REF!</definedName>
    <definedName name="Sw">#REF!</definedName>
    <definedName name="T1_Limit0">#REF!</definedName>
    <definedName name="T1_Limit1">#REF!</definedName>
    <definedName name="T1_Limit2">#REF!</definedName>
    <definedName name="Table1">#REF!</definedName>
    <definedName name="Table1Metric">#REF!</definedName>
    <definedName name="Table2" localSheetId="9">#REF!</definedName>
    <definedName name="Table2">#REF!</definedName>
    <definedName name="TABLE3">#REF!</definedName>
    <definedName name="Table3NOK" localSheetId="9">#REF!</definedName>
    <definedName name="Table3NOK">#REF!</definedName>
    <definedName name="TABLE4" localSheetId="9">#REF!</definedName>
    <definedName name="Table4">#REF!</definedName>
    <definedName name="Table4US" localSheetId="9">#REF!</definedName>
    <definedName name="Table4US">#REF!</definedName>
    <definedName name="Table5">#REF!</definedName>
    <definedName name="table6" localSheetId="9">#REF!</definedName>
    <definedName name="table6">#REF!</definedName>
    <definedName name="Table7" localSheetId="9">#REF!</definedName>
    <definedName name="Table7">#REF!</definedName>
    <definedName name="Table8" localSheetId="9">#REF!</definedName>
    <definedName name="Table8">#REF!</definedName>
    <definedName name="TAX">#REF!</definedName>
    <definedName name="TAXD0">#REF!</definedName>
    <definedName name="TAXD12">#REF!</definedName>
    <definedName name="TAXD15">#REF!</definedName>
    <definedName name="TAXD8">#REF!</definedName>
    <definedName name="TCA" localSheetId="9">#REF!</definedName>
    <definedName name="TCA" localSheetId="3">#REF!</definedName>
    <definedName name="TCA" localSheetId="1">#REF!</definedName>
    <definedName name="TCA" localSheetId="6">#REF!</definedName>
    <definedName name="TCA" localSheetId="4">#REF!</definedName>
    <definedName name="TCA">#REF!</definedName>
    <definedName name="TCD" localSheetId="9">#REF!</definedName>
    <definedName name="TCD">#REF!</definedName>
    <definedName name="TCT" localSheetId="9">#REF!</definedName>
    <definedName name="TCT" localSheetId="3">#REF!</definedName>
    <definedName name="TCT" localSheetId="1">#REF!</definedName>
    <definedName name="TCT" localSheetId="6">#REF!</definedName>
    <definedName name="TCT" localSheetId="4">#REF!</definedName>
    <definedName name="TCT">#REF!</definedName>
    <definedName name="TE">#REF!</definedName>
    <definedName name="TEE" localSheetId="9">#REF!</definedName>
    <definedName name="TEE">#REF!</definedName>
    <definedName name="TELFORD_GC_PVD">#REF!</definedName>
    <definedName name="TELFORD_POSS">#REF!</definedName>
    <definedName name="TELFORD_PROB">#REF!</definedName>
    <definedName name="TELFORD_PROVED">#REF!</definedName>
    <definedName name="tert" hidden="1">{"fullwell,pg1",#N/A,FALSE,"Full-Wellstream";"fullwell,pg2+",#N/A,FALSE,"Full-Wellstream"}</definedName>
    <definedName name="th">#REF!</definedName>
    <definedName name="thisismymadness" hidden="1">#REF!</definedName>
    <definedName name="TIP_Rate">#REF!</definedName>
    <definedName name="tipo_cambio">#REF!</definedName>
    <definedName name="_xlnm.Print_Titles">#N/A</definedName>
    <definedName name="Tloc_F">#REF!</definedName>
    <definedName name="TOT">#REF!</definedName>
    <definedName name="Total_RPEC_CFD">#REF!</definedName>
    <definedName name="Total_RSPEC_CFD" localSheetId="9">#REF!</definedName>
    <definedName name="Total_RSPEC_CFD">#REF!</definedName>
    <definedName name="Total_Spec_graph">#REF!</definedName>
    <definedName name="TOTCF">#REF!</definedName>
    <definedName name="TP_DETAIL" localSheetId="9">#REF!</definedName>
    <definedName name="TP_DETAIL">#REF!</definedName>
    <definedName name="TP_INPUT" localSheetId="9">#REF!</definedName>
    <definedName name="TP_INPUT">#REF!</definedName>
    <definedName name="TP_SUMMARY" localSheetId="9">#REF!</definedName>
    <definedName name="TP_SUMMARY">#REF!</definedName>
    <definedName name="TPC">#REF!</definedName>
    <definedName name="TRANSP0">#REF!</definedName>
    <definedName name="TRANSP12">#REF!</definedName>
    <definedName name="TRANSP15">#REF!</definedName>
    <definedName name="TRANSP8">#REF!</definedName>
    <definedName name="Tri" localSheetId="9">#REF!</definedName>
    <definedName name="Tri" localSheetId="3">#REF!</definedName>
    <definedName name="Tri" localSheetId="1">#REF!</definedName>
    <definedName name="Tri" localSheetId="6">#REF!</definedName>
    <definedName name="Tri" localSheetId="4">#REF!</definedName>
    <definedName name="Tri">#REF!</definedName>
    <definedName name="TRP">#REF!</definedName>
    <definedName name="Tsc_F">#REF!</definedName>
    <definedName name="TYPC">#REF!</definedName>
    <definedName name="TYPE" localSheetId="9">#REF!</definedName>
    <definedName name="TYPE" localSheetId="3">#REF!</definedName>
    <definedName name="TYPE" localSheetId="1">#REF!</definedName>
    <definedName name="TYPE" localSheetId="6">#REF!</definedName>
    <definedName name="TYPE" localSheetId="4">#REF!</definedName>
    <definedName name="TYPE">#REF!</definedName>
    <definedName name="Uk" localSheetId="9">#REF!</definedName>
    <definedName name="Uk" localSheetId="3">#REF!</definedName>
    <definedName name="Uk" localSheetId="1">#REF!</definedName>
    <definedName name="Uk" localSheetId="6">#REF!</definedName>
    <definedName name="Uk" localSheetId="4">#REF!</definedName>
    <definedName name="Uk">#REF!</definedName>
    <definedName name="ULTCen">#REF!</definedName>
    <definedName name="ULTCenPP">#REF!</definedName>
    <definedName name="ULTDryO">#REF!</definedName>
    <definedName name="ULTDryOPP">#REF!</definedName>
    <definedName name="ULTGasCond">#REF!</definedName>
    <definedName name="UltGasCondI">#REF!</definedName>
    <definedName name="UltGasCondII">#REF!</definedName>
    <definedName name="UltGasCondIII">#REF!</definedName>
    <definedName name="ULTGasCondIIIPP">#REF!</definedName>
    <definedName name="ULTGasCondIIPP">#REF!</definedName>
    <definedName name="UltGasCondIPP">#REF!</definedName>
    <definedName name="ULTGasCondPP">#REF!</definedName>
    <definedName name="UltGasCondVII">#REF!</definedName>
    <definedName name="ULTGasCondVIIPP">#REF!</definedName>
    <definedName name="UNAO">#REF!</definedName>
    <definedName name="UNAS">#REF!</definedName>
    <definedName name="UNeocomian">#REF!</definedName>
    <definedName name="UNeocomianPP">#REF!</definedName>
    <definedName name="UNITBON" localSheetId="9">#REF!</definedName>
    <definedName name="UNITBON" localSheetId="3">#REF!</definedName>
    <definedName name="UNITBON" localSheetId="1">#REF!</definedName>
    <definedName name="UNITBON" localSheetId="6">#REF!</definedName>
    <definedName name="UNITBON" localSheetId="4">#REF!</definedName>
    <definedName name="UNITBON">#REF!</definedName>
    <definedName name="uplift">#REF!</definedName>
    <definedName name="velero">#REF!</definedName>
    <definedName name="VersNo">0.22</definedName>
    <definedName name="VET" localSheetId="9">#REF!</definedName>
    <definedName name="VET">#REF!</definedName>
    <definedName name="vlm">#REF!</definedName>
    <definedName name="VOLCOM" localSheetId="9">#REF!</definedName>
    <definedName name="VOLCOM">#REF!</definedName>
    <definedName name="VOLCOMP" localSheetId="9">#REF!</definedName>
    <definedName name="VOLCOMP">#REF!</definedName>
    <definedName name="VOLMAX" localSheetId="9">#REF!</definedName>
    <definedName name="VOLMAX" localSheetId="3">#REF!</definedName>
    <definedName name="VOLMAX" localSheetId="1">#REF!</definedName>
    <definedName name="VOLMAX" localSheetId="6">#REF!</definedName>
    <definedName name="VOLMAX" localSheetId="4">#REF!</definedName>
    <definedName name="VOLMAX">#REF!</definedName>
    <definedName name="VOLMED" localSheetId="9">#REF!</definedName>
    <definedName name="VOLMED" localSheetId="3">#REF!</definedName>
    <definedName name="VOLMED" localSheetId="1">#REF!</definedName>
    <definedName name="VOLMED" localSheetId="6">#REF!</definedName>
    <definedName name="VOLMED" localSheetId="4">#REF!</definedName>
    <definedName name="VOLMED">#REF!</definedName>
    <definedName name="VOLMIN" localSheetId="9">#REF!</definedName>
    <definedName name="VOLMIN" localSheetId="3">#REF!</definedName>
    <definedName name="VOLMIN" localSheetId="1">#REF!</definedName>
    <definedName name="VOLMIN" localSheetId="6">#REF!</definedName>
    <definedName name="VOLMIN" localSheetId="4">#REF!</definedName>
    <definedName name="VOLMIN">#REF!</definedName>
    <definedName name="Volts_NomArch">#REF!</definedName>
    <definedName name="Volts_Resg">#REF!</definedName>
    <definedName name="Volts_ResgNom">#REF!</definedName>
    <definedName name="VoltsClaveDato">#REF!</definedName>
    <definedName name="VPF" localSheetId="9">#REF!</definedName>
    <definedName name="VPF">#REF!</definedName>
    <definedName name="WHIL_WOLL_POSS">#REF!</definedName>
    <definedName name="WHIT_WOLL_PROB">#REF!</definedName>
    <definedName name="WI">#REF!</definedName>
    <definedName name="WICPX" localSheetId="9">#REF!</definedName>
    <definedName name="WICPX" localSheetId="3">#REF!</definedName>
    <definedName name="WICPX" localSheetId="1">#REF!</definedName>
    <definedName name="WICPX" localSheetId="6">#REF!</definedName>
    <definedName name="WICPX" localSheetId="4">#REF!</definedName>
    <definedName name="WICPX">#REF!</definedName>
    <definedName name="WIEXECP">#REF!</definedName>
    <definedName name="WIEXOT">#REF!</definedName>
    <definedName name="WIEXP" localSheetId="9">#REF!</definedName>
    <definedName name="WIEXP" localSheetId="3">#REF!</definedName>
    <definedName name="WIEXP" localSheetId="1">#REF!</definedName>
    <definedName name="WIEXP" localSheetId="6">#REF!</definedName>
    <definedName name="WIEXP" localSheetId="4">#REF!</definedName>
    <definedName name="WIEXP">#REF!</definedName>
    <definedName name="WILDCATS">#REF!</definedName>
    <definedName name="wrn.client.param." localSheetId="9" hidden="1">{"param,for jpg,pg1",#N/A,FALSE,"Parameters";"param,for jpg,pg2",#N/A,FALSE,"Parameters"}</definedName>
    <definedName name="wrn.client.param." hidden="1">{"param,for jpg,pg1",#N/A,FALSE,"Parameters";"param,for jpg,pg2",#N/A,FALSE,"Parameters"}</definedName>
    <definedName name="wrn.fullwell." localSheetId="9" hidden="1">{"fullwell,pg1",#N/A,FALSE,"Full-Wellstream";"fullwell,pg2+",#N/A,FALSE,"Full-Wellstream"}</definedName>
    <definedName name="wrn.fullwell." hidden="1">{"fullwell,pg1",#N/A,FALSE,"Full-Wellstream";"fullwell,pg2+",#N/A,FALSE,"Full-Wellstream"}</definedName>
    <definedName name="wrn.param." localSheetId="9" hidden="1">{"param,pg1",#N/A,FALSE,"Parameters";"param,pg2",#N/A,FALSE,"Parameters"}</definedName>
    <definedName name="wrn.param." hidden="1">{"param,pg1",#N/A,FALSE,"Parameters";"param,pg2",#N/A,FALSE,"Parameters"}</definedName>
    <definedName name="wrn.Rosneft._.Resources." hidden="1">{"T1E",#N/A,FALSE,"Table 1";"T1RU",#N/A,FALSE,"Table 1";"T2E",#N/A,FALSE,"P7 Oil GVolx";"T2RU",#N/A,FALSE,"P7 Oil GVolx";"T3E",#N/A,FALSE,"P7 Oil GVolx";"T3RU",#N/A,FALSE,"P7 Oil GVolx";"T4E",#N/A,FALSE,"P7 Oil TVolx";"T4RU",#N/A,FALSE,"P7 Oil TVolx";"T5RU",#N/A,FALSE,"P7 Oil TVolx";"T5E",#N/A,FALSE,"P7 Oil TVolx";"T6E",#N/A,FALSE,"P7 Gas GVolx";"T6RU",#N/A,FALSE,"P7 Gas GVolx";"T7E",#N/A,FALSE,"P7 Gas GVolx";"T7RU",#N/A,FALSE,"P7 Gas GVolx";"T8E",#N/A,FALSE,"P7 Gas TVolx";"T8RU",#N/A,FALSE,"P7 Gas TVolx";"T9E",#N/A,FALSE,"P7 Gas TVolx";"T9RU",#N/A,FALSE,"P7 Gas TVolx";"T10E",#N/A,FALSE,"Param P7 Oil";"T10RU",#N/A,FALSE,"Param P7 Oil";"T11E",#N/A,FALSE,"Param P7 Oil";"T11RU",#N/A,FALSE,"Param P7 Oil";"T12E",#N/A,FALSE,"Param P7 Gas";"T12RU",#N/A,FALSE,"Param P7 Gas";"T13E",#N/A,FALSE,"Param P7 Gas";"T13RU",#N/A,FALSE,"Param P7 Gas";"T14E",#N/A,FALSE,"P7 ENPV";"T14RU",#N/A,FALSE,"P7 ENPV"}</definedName>
    <definedName name="wrn.Table._.A." hidden="1">{"Table A,pg 1",#N/A,FALSE,"Table A-Prov GUR";"Table A,pg 2",#N/A,FALSE,"Table A-Prov GUR"}</definedName>
    <definedName name="wrn.Table._.A1." hidden="1">{"Table A1,pg 1",#N/A,FALSE,"Table A1-Net Prov Res";"Table A1,pg 2",#N/A,FALSE,"Table A1-Net Prov Res"}</definedName>
    <definedName name="wrn.tables." localSheetId="9" hidden="1">{"cprgas",#N/A,FALSE,"CPR_E";"cprwat",#N/A,FALSE,"CPR_E";"oilcpr",#N/A,FALSE,"CPR_E";"norwat",#N/A,FALSE,"CPR_E";"norgas",#N/A,FALSE,"CPR_E";"noroil",#N/A,FALSE,"CPR_E";"surwat",#N/A,FALSE,"CPR_E";"surgas",#N/A,FALSE,"CPR_E";"suroil",#N/A,FALSE,"CPR_E";"puriwat",#N/A,FALSE,"CPR_E";"purigas",#N/A,FALSE,"CPR_E";"purioil",#N/A,FALSE,"CPR_E"}</definedName>
    <definedName name="wrn.tables." hidden="1">{"cprgas",#N/A,FALSE,"CPR_E";"cprwat",#N/A,FALSE,"CPR_E";"oilcpr",#N/A,FALSE,"CPR_E";"norwat",#N/A,FALSE,"CPR_E";"norgas",#N/A,FALSE,"CPR_E";"noroil",#N/A,FALSE,"CPR_E";"surwat",#N/A,FALSE,"CPR_E";"surgas",#N/A,FALSE,"CPR_E";"suroil",#N/A,FALSE,"CPR_E";"puriwat",#N/A,FALSE,"CPR_E";"purigas",#N/A,FALSE,"CPR_E";"purioil",#N/A,FALSE,"CPR_E"}</definedName>
    <definedName name="wrn.TDS._.QRA._.Report._.Tables." hidden="1">{"TDS QRA RT P4 Oil Gvlox",#N/A,FALSE,"P4 Oil GVolx";"TDS QRA RT P4 Oil TVolx",#N/A,FALSE,"P4 Oil TVolx";"TDS QRA RT P4 Gas GVolx",#N/A,FALSE,"P4 Gas GVolx";"TDS QRA RT P4 Gas TVolx",#N/A,FALSE,"P4 Gas TVolx";"TDS QRA RT P4 ENPV",#N/A,FALSE,"P4 ENPV";"TDS QRA RT P4 ENPV Country",#N/A,FALSE,"P4 ENPV Country";"TDS QRA RT P7 Oil GVolx",#N/A,FALSE,"P7 Oil GVolx";"TDS QRA RT P7 Oil TVolx",#N/A,FALSE,"P7 Oil TVolx";"TDS QRA RT P7 Gas GVolx",#N/A,FALSE,"P7 Gas GVolx";"TDS QRA RT P7 Gas TVolx",#N/A,FALSE,"P7 Gas TVolx";"TDS QRA RT P7 ENPV",#N/A,FALSE,"P7 ENPV";"TDS QRA RT P7 ENPV Country",#N/A,FALSE,"P7 ENPV Country"}</definedName>
    <definedName name="WW">#REF!</definedName>
    <definedName name="X_Axis_Label">#REF!</definedName>
    <definedName name="X_Axis_Text">#REF!</definedName>
    <definedName name="X_Axis_Units">#REF!</definedName>
    <definedName name="X_Max">#REF!</definedName>
    <definedName name="X_Min">#REF!</definedName>
    <definedName name="XCAPEX0">#REF!</definedName>
    <definedName name="XCAPEX12">#REF!</definedName>
    <definedName name="XCAPEX15">#REF!</definedName>
    <definedName name="XCAPEX8">#REF!</definedName>
    <definedName name="xcv">#REF!</definedName>
    <definedName name="xxx">#REF!</definedName>
    <definedName name="xxxxxxxxxxxxxxxxx">#REF!</definedName>
    <definedName name="Y_Axis_Label">#REF!</definedName>
    <definedName name="Y_Axis_Text">#REF!</definedName>
    <definedName name="Y_Axis_Units">#REF!</definedName>
    <definedName name="Y_Max">#REF!</definedName>
    <definedName name="Y_Min">#REF!</definedName>
    <definedName name="yeti">#REF!</definedName>
    <definedName name="YORK_POSS">#REF!</definedName>
    <definedName name="YORK_PROB">#REF!</definedName>
    <definedName name="Z_18616DDA_02F9_4711_B70F_5FE11F723B6E_.wvu.PrintArea" hidden="1">#REF!</definedName>
    <definedName name="Z_18616DDA_02F9_4711_B70F_5FE11F723B6E_.wvu.PrintTitles" hidden="1">#REF!</definedName>
    <definedName name="Z_196FE57E_65AF_4CF2_8F02_6F8C511379F3_.wvu.PrintArea" hidden="1">#REF!</definedName>
    <definedName name="Z_241D20C7_F8EE_4556_92CD_D1D595E8B945_.wvu.PrintArea" hidden="1">#REF!</definedName>
    <definedName name="Z_24AEEE77_F072_443D_AAD5_90E6DEF23365_.wvu.PrintArea" hidden="1">#REF!</definedName>
    <definedName name="Z_24AEEE77_F072_443D_AAD5_90E6DEF23365_.wvu.PrintTitles" hidden="1">#REF!</definedName>
    <definedName name="Z_2C43CB40_CA70_4894_A813_29D908EA57BC_.wvu.PrintArea" hidden="1">#REF!</definedName>
    <definedName name="Z_30B1AF55_5F74_484E_8987_15E9ADEEA47C_.wvu.PrintArea" hidden="1">#REF!</definedName>
    <definedName name="Z_37EECC46_818E_4F77_A880_35B475D0FD11_.wvu.PrintArea" hidden="1">#REF!</definedName>
    <definedName name="Z_3E03E585_FD8A_4B81_BD34_8DDFA683269E_.wvu.PrintArea" hidden="1">#REF!</definedName>
    <definedName name="Z_624701E8_C9A7_4916_A96D_C74AEEB3F3B9_.wvu.PrintArea" hidden="1">#REF!</definedName>
    <definedName name="Z_70CF2ED6_F9DD_4CA0_BD76_A63D4576ECD9_.wvu.PrintArea" hidden="1">#REF!</definedName>
    <definedName name="Z_70CF2ED6_F9DD_4CA0_BD76_A63D4576ECD9_.wvu.PrintTitles" hidden="1">#REF!</definedName>
    <definedName name="Z_8CD942D0_846B_4502_A646_F5B6FB169A9B_.wvu.PrintArea" hidden="1">#REF!</definedName>
    <definedName name="Z_C7800429_1B5F_473E_A391_4C10493F46F4_.wvu.PrintArea" hidden="1">#REF!</definedName>
    <definedName name="Z_F88DEA74_4FFA_49D6_B76F_A64C689E1BF1_.wvu.PrintArea" hidden="1">#REF!</definedName>
    <definedName name="Z_F88DEA74_4FFA_49D6_B76F_A64C689E1BF1_.wvu.PrintTitles" hidden="1">#REF!</definedName>
    <definedName name="Za">#REF!</definedName>
    <definedName name="Zavg">#REF!</definedName>
    <definedName name="ZC100R1" localSheetId="9">#REF!</definedName>
    <definedName name="ZC100R1">#REF!</definedName>
    <definedName name="ZC101R1" localSheetId="9">#REF!</definedName>
    <definedName name="ZC101R1">#REF!</definedName>
    <definedName name="zfacti" localSheetId="9">#REF!</definedName>
    <definedName name="zfacti">#REF!</definedName>
    <definedName name="Zi">#REF!</definedName>
    <definedName name="zinert">#REF!</definedName>
    <definedName name="zone1_param">#REF!</definedName>
    <definedName name="zone1_rspec_graph" localSheetId="9">#REF!</definedName>
    <definedName name="zone1_rspec_graph">#REF!</definedName>
    <definedName name="Zone1_spec_graph">#REF!</definedName>
    <definedName name="zone10_param">#REF!</definedName>
    <definedName name="zone10_spec_graph">#REF!</definedName>
    <definedName name="zone11_param">#REF!</definedName>
    <definedName name="zone11_spec_graph">#REF!</definedName>
    <definedName name="zone12_param">#REF!</definedName>
    <definedName name="zone12_spec_graph">#REF!</definedName>
    <definedName name="zone13_param">#REF!</definedName>
    <definedName name="zone13_spec_graph">#REF!</definedName>
    <definedName name="zone14_param">#REF!</definedName>
    <definedName name="zone14_spec_graph">#REF!</definedName>
    <definedName name="zone15_param">#REF!</definedName>
    <definedName name="zone15_spec_graph">#REF!</definedName>
    <definedName name="zone16_param">#REF!</definedName>
    <definedName name="zone16_spec_graph">#REF!</definedName>
    <definedName name="zone17_param">#REF!</definedName>
    <definedName name="zone17_spec_graph">#REF!</definedName>
    <definedName name="zone18_param">#REF!</definedName>
    <definedName name="zone18_spec_graph">#REF!</definedName>
    <definedName name="zone19_param">#REF!</definedName>
    <definedName name="zone19_spec_graph">#REF!</definedName>
    <definedName name="zone2_param">#REF!</definedName>
    <definedName name="zone2_rpsec_graph" localSheetId="9">#REF!</definedName>
    <definedName name="zone2_rpsec_graph">#REF!</definedName>
    <definedName name="zone2_rspec_graph">#REF!</definedName>
    <definedName name="Zone2_Spec_graph">#REF!</definedName>
    <definedName name="zone20_param">#REF!</definedName>
    <definedName name="zone20_spec_graph">#REF!</definedName>
    <definedName name="zone3_param">#REF!</definedName>
    <definedName name="zone3_rspec_graph" localSheetId="9">#REF!</definedName>
    <definedName name="zone3_rspec_graph">#REF!</definedName>
    <definedName name="Zone3_Spec_graph">#REF!</definedName>
    <definedName name="zone4_param">#REF!</definedName>
    <definedName name="zone4_rspec_graph" localSheetId="9">#REF!</definedName>
    <definedName name="zone4_rspec_graph">#REF!</definedName>
    <definedName name="Zone4_Spec_graph">#REF!</definedName>
    <definedName name="zone5_param">#REF!</definedName>
    <definedName name="zone5_rspec_graph" localSheetId="9">#REF!</definedName>
    <definedName name="zone5_rspec_graph">#REF!</definedName>
    <definedName name="Zone5_Spec_graph">#REF!</definedName>
    <definedName name="zone6_param">#REF!</definedName>
    <definedName name="zone6_rspec_graph" localSheetId="9">#REF!</definedName>
    <definedName name="zone6_rspec_graph">#REF!</definedName>
    <definedName name="Zone6_Spec_graph">#REF!</definedName>
    <definedName name="zone7_param">#REF!</definedName>
    <definedName name="zone7_spec_graph">#REF!</definedName>
    <definedName name="zone8_param">#REF!</definedName>
    <definedName name="zone8_spec_graph">#REF!</definedName>
    <definedName name="zone9_param">#REF!</definedName>
    <definedName name="zone9_spec_graph">#REF!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6" i="15" l="1"/>
  <c r="S5" i="61"/>
  <c r="S4" i="61"/>
  <c r="P5" i="61"/>
  <c r="P3" i="61"/>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AG16" i="8"/>
  <c r="AG13" i="8"/>
  <c r="AH13" i="8"/>
  <c r="AI13" i="8"/>
  <c r="AJ13" i="8"/>
  <c r="AK13" i="8"/>
  <c r="AL13" i="8"/>
  <c r="AM13" i="8"/>
  <c r="AN13" i="8"/>
  <c r="E3" i="15"/>
  <c r="G2" i="61"/>
  <c r="B2" i="61"/>
  <c r="D2" i="61"/>
  <c r="I2" i="61"/>
  <c r="S3" i="61"/>
  <c r="B3" i="61"/>
  <c r="C3" i="61" s="1"/>
  <c r="D3" i="61"/>
  <c r="E3" i="61" s="1"/>
  <c r="G3" i="61"/>
  <c r="I3" i="61"/>
  <c r="J3" i="61" s="1"/>
  <c r="B4" i="61"/>
  <c r="D4" i="61"/>
  <c r="G4" i="61"/>
  <c r="I4" i="61"/>
  <c r="B5" i="61"/>
  <c r="C5" i="61" s="1"/>
  <c r="D5" i="61"/>
  <c r="G5" i="61"/>
  <c r="I5" i="61"/>
  <c r="B6" i="61"/>
  <c r="D6" i="61"/>
  <c r="G6" i="61"/>
  <c r="H6" i="61" s="1"/>
  <c r="I6" i="61"/>
  <c r="B7" i="61"/>
  <c r="C7" i="61" s="1"/>
  <c r="D7" i="61"/>
  <c r="G7" i="61"/>
  <c r="I7" i="61"/>
  <c r="B8" i="61"/>
  <c r="D8" i="61"/>
  <c r="G8" i="61"/>
  <c r="H8" i="61" s="1"/>
  <c r="I8" i="61"/>
  <c r="B9" i="61"/>
  <c r="D9" i="61"/>
  <c r="G9" i="61"/>
  <c r="I9" i="61"/>
  <c r="J9" i="61" s="1"/>
  <c r="B10" i="61"/>
  <c r="D10" i="61"/>
  <c r="G10" i="61"/>
  <c r="I10" i="61"/>
  <c r="B11" i="61"/>
  <c r="D11" i="61"/>
  <c r="G11" i="61"/>
  <c r="I11" i="61"/>
  <c r="B12" i="61"/>
  <c r="D12" i="61"/>
  <c r="G12" i="61"/>
  <c r="H12" i="61" s="1"/>
  <c r="I12" i="61"/>
  <c r="J12" i="61"/>
  <c r="B13" i="61"/>
  <c r="D13" i="61"/>
  <c r="G13" i="61"/>
  <c r="I13" i="61"/>
  <c r="B14" i="61"/>
  <c r="D14" i="61"/>
  <c r="G14" i="61"/>
  <c r="I14" i="61"/>
  <c r="B15" i="61"/>
  <c r="D15" i="61"/>
  <c r="G15" i="61"/>
  <c r="I15" i="61"/>
  <c r="B16" i="61"/>
  <c r="D16" i="61"/>
  <c r="G16" i="61"/>
  <c r="I16" i="61"/>
  <c r="J16" i="61" s="1"/>
  <c r="B17" i="61"/>
  <c r="D17" i="61"/>
  <c r="G17" i="61"/>
  <c r="I17" i="61"/>
  <c r="B18" i="61"/>
  <c r="D18" i="61"/>
  <c r="G18" i="61"/>
  <c r="I18" i="61"/>
  <c r="B19" i="61"/>
  <c r="E19" i="61" s="1"/>
  <c r="D19" i="61"/>
  <c r="G19" i="61"/>
  <c r="H19" i="61" s="1"/>
  <c r="I19" i="61"/>
  <c r="B20" i="61"/>
  <c r="D20" i="61"/>
  <c r="G20" i="61"/>
  <c r="I20" i="61"/>
  <c r="J20" i="61"/>
  <c r="B21" i="61"/>
  <c r="D21" i="61"/>
  <c r="G21" i="61"/>
  <c r="I21" i="61"/>
  <c r="B22" i="61"/>
  <c r="D22" i="61"/>
  <c r="G22" i="61"/>
  <c r="I22" i="61"/>
  <c r="B23" i="61"/>
  <c r="D23" i="61"/>
  <c r="G23" i="61"/>
  <c r="I23" i="61"/>
  <c r="B24" i="61"/>
  <c r="D24" i="61"/>
  <c r="G24" i="61"/>
  <c r="I24" i="61"/>
  <c r="B25" i="61"/>
  <c r="D25" i="61"/>
  <c r="G25" i="61"/>
  <c r="I25" i="61"/>
  <c r="B26" i="61"/>
  <c r="D26" i="61"/>
  <c r="G26" i="61"/>
  <c r="I26" i="61"/>
  <c r="B27" i="61"/>
  <c r="E27" i="61" s="1"/>
  <c r="D27" i="61"/>
  <c r="G27" i="61"/>
  <c r="I27" i="61"/>
  <c r="J28" i="61" s="1"/>
  <c r="B28" i="61"/>
  <c r="D28" i="61"/>
  <c r="G28" i="61"/>
  <c r="H28" i="61" s="1"/>
  <c r="I28" i="61"/>
  <c r="B29" i="61"/>
  <c r="E29" i="61" s="1"/>
  <c r="D29" i="61"/>
  <c r="G29" i="61"/>
  <c r="I29" i="61"/>
  <c r="J29" i="61" s="1"/>
  <c r="B30" i="61"/>
  <c r="D30" i="61"/>
  <c r="G30" i="61"/>
  <c r="I30" i="61"/>
  <c r="B31" i="61"/>
  <c r="D31" i="61"/>
  <c r="G31" i="61"/>
  <c r="I31" i="61"/>
  <c r="J31" i="61" s="1"/>
  <c r="B32" i="61"/>
  <c r="D32" i="61"/>
  <c r="G32" i="61"/>
  <c r="I32" i="61"/>
  <c r="B33" i="61"/>
  <c r="D33" i="61"/>
  <c r="G33" i="61"/>
  <c r="I33" i="61"/>
  <c r="J33" i="61" s="1"/>
  <c r="B34" i="61"/>
  <c r="D34" i="61"/>
  <c r="G34" i="61"/>
  <c r="H35" i="61" s="1"/>
  <c r="I34" i="61"/>
  <c r="B35" i="61"/>
  <c r="E35" i="61" s="1"/>
  <c r="D35" i="61"/>
  <c r="G35" i="61"/>
  <c r="I35" i="61"/>
  <c r="B36" i="61"/>
  <c r="D36" i="61"/>
  <c r="G36" i="61"/>
  <c r="I36" i="61"/>
  <c r="B37" i="61"/>
  <c r="D37" i="61"/>
  <c r="G37" i="61"/>
  <c r="I37" i="61"/>
  <c r="J37" i="61" s="1"/>
  <c r="B38" i="61"/>
  <c r="D38" i="61"/>
  <c r="G38" i="61"/>
  <c r="H38" i="61" s="1"/>
  <c r="I38" i="61"/>
  <c r="B39" i="61"/>
  <c r="C39" i="61" s="1"/>
  <c r="D39" i="61"/>
  <c r="G39" i="61"/>
  <c r="I39" i="61"/>
  <c r="J39" i="61" s="1"/>
  <c r="B40" i="61"/>
  <c r="D40" i="61"/>
  <c r="G40" i="61"/>
  <c r="I40" i="61"/>
  <c r="B41" i="61"/>
  <c r="D41" i="61"/>
  <c r="G41" i="61"/>
  <c r="I41" i="61"/>
  <c r="J41" i="61" s="1"/>
  <c r="B42" i="61"/>
  <c r="D42" i="61"/>
  <c r="G42" i="61"/>
  <c r="I42" i="61"/>
  <c r="B43" i="61"/>
  <c r="E43" i="61" s="1"/>
  <c r="D43" i="61"/>
  <c r="G43" i="61"/>
  <c r="I43" i="61"/>
  <c r="B44" i="61"/>
  <c r="D44" i="61"/>
  <c r="G44" i="61"/>
  <c r="I44" i="61"/>
  <c r="J44" i="61"/>
  <c r="B45" i="61"/>
  <c r="D45" i="61"/>
  <c r="G45" i="61"/>
  <c r="H46" i="61" s="1"/>
  <c r="I45" i="61"/>
  <c r="B46" i="61"/>
  <c r="D46" i="61"/>
  <c r="G46" i="61"/>
  <c r="I46" i="61"/>
  <c r="B47" i="61"/>
  <c r="D47" i="61"/>
  <c r="G47" i="61"/>
  <c r="H47" i="61" s="1"/>
  <c r="I47" i="61"/>
  <c r="B48" i="61"/>
  <c r="D48" i="61"/>
  <c r="G48" i="61"/>
  <c r="I48" i="61"/>
  <c r="J48" i="61" s="1"/>
  <c r="B49" i="61"/>
  <c r="D49" i="61"/>
  <c r="G49" i="61"/>
  <c r="I49" i="61"/>
  <c r="B50" i="61"/>
  <c r="D50" i="61"/>
  <c r="G50" i="61"/>
  <c r="I50" i="61"/>
  <c r="B51" i="61"/>
  <c r="E51" i="61" s="1"/>
  <c r="D51" i="61"/>
  <c r="G51" i="61"/>
  <c r="H51" i="61" s="1"/>
  <c r="I51" i="61"/>
  <c r="B52" i="61"/>
  <c r="D52" i="61"/>
  <c r="G52" i="61"/>
  <c r="I52" i="61"/>
  <c r="J52" i="61" s="1"/>
  <c r="B53" i="61"/>
  <c r="D53" i="61"/>
  <c r="G53" i="61"/>
  <c r="I53" i="61"/>
  <c r="B54" i="61"/>
  <c r="D54" i="61"/>
  <c r="G54" i="61"/>
  <c r="H54" i="61" s="1"/>
  <c r="I54" i="61"/>
  <c r="B55" i="61"/>
  <c r="D55" i="61"/>
  <c r="G55" i="61"/>
  <c r="I55" i="61"/>
  <c r="B56" i="61"/>
  <c r="D56" i="61"/>
  <c r="G56" i="61"/>
  <c r="I56" i="61"/>
  <c r="B57" i="61"/>
  <c r="D57" i="61"/>
  <c r="G57" i="61"/>
  <c r="I57" i="61"/>
  <c r="J57" i="61"/>
  <c r="B58" i="61"/>
  <c r="D58" i="61"/>
  <c r="G58" i="61"/>
  <c r="I58" i="61"/>
  <c r="B59" i="61"/>
  <c r="D59" i="61"/>
  <c r="G59" i="61"/>
  <c r="I59" i="61"/>
  <c r="J60" i="61" s="1"/>
  <c r="B60" i="61"/>
  <c r="D60" i="61"/>
  <c r="G60" i="61"/>
  <c r="I60" i="61"/>
  <c r="B61" i="61"/>
  <c r="D61" i="61"/>
  <c r="G61" i="61"/>
  <c r="I61" i="61"/>
  <c r="J61" i="61" s="1"/>
  <c r="B62" i="61"/>
  <c r="D62" i="61"/>
  <c r="G62" i="61"/>
  <c r="I62" i="61"/>
  <c r="B63" i="61"/>
  <c r="D63" i="61"/>
  <c r="G63" i="61"/>
  <c r="H63" i="61" s="1"/>
  <c r="I63" i="61"/>
  <c r="J63" i="61" s="1"/>
  <c r="B64" i="61"/>
  <c r="D64" i="61"/>
  <c r="G64" i="61"/>
  <c r="I64" i="61"/>
  <c r="B65" i="61"/>
  <c r="D65" i="61"/>
  <c r="G65" i="61"/>
  <c r="H65" i="61" s="1"/>
  <c r="I65" i="61"/>
  <c r="J65" i="61" s="1"/>
  <c r="B66" i="61"/>
  <c r="D66" i="61"/>
  <c r="G66" i="61"/>
  <c r="I66" i="61"/>
  <c r="B67" i="61"/>
  <c r="E67" i="61" s="1"/>
  <c r="D67" i="61"/>
  <c r="G67" i="61"/>
  <c r="H67" i="61" s="1"/>
  <c r="I67" i="61"/>
  <c r="B68" i="61"/>
  <c r="D68" i="61"/>
  <c r="G68" i="61"/>
  <c r="I68" i="61"/>
  <c r="B69" i="61"/>
  <c r="D69" i="61"/>
  <c r="G69" i="61"/>
  <c r="I69" i="61"/>
  <c r="J69" i="61" s="1"/>
  <c r="B70" i="61"/>
  <c r="D70" i="61"/>
  <c r="G70" i="61"/>
  <c r="I70" i="61"/>
  <c r="B71" i="61"/>
  <c r="D71" i="61"/>
  <c r="G71" i="61"/>
  <c r="H71" i="61" s="1"/>
  <c r="I71" i="61"/>
  <c r="J71" i="61" s="1"/>
  <c r="B72" i="61"/>
  <c r="D72" i="61"/>
  <c r="G72" i="61"/>
  <c r="I72" i="61"/>
  <c r="B73" i="61"/>
  <c r="D73" i="61"/>
  <c r="G73" i="61"/>
  <c r="I73" i="61"/>
  <c r="J73" i="61" s="1"/>
  <c r="B74" i="61"/>
  <c r="D74" i="61"/>
  <c r="G74" i="61"/>
  <c r="I74" i="61"/>
  <c r="B75" i="61"/>
  <c r="E75" i="61" s="1"/>
  <c r="D75" i="61"/>
  <c r="G75" i="61"/>
  <c r="I75" i="61"/>
  <c r="J76" i="61" s="1"/>
  <c r="B76" i="61"/>
  <c r="D76" i="61"/>
  <c r="G76" i="61"/>
  <c r="I76" i="61"/>
  <c r="B77" i="61"/>
  <c r="D77" i="61"/>
  <c r="G77" i="61"/>
  <c r="H78" i="61" s="1"/>
  <c r="I77" i="61"/>
  <c r="B78" i="61"/>
  <c r="D78" i="61"/>
  <c r="G78" i="61"/>
  <c r="I78" i="61"/>
  <c r="B79" i="61"/>
  <c r="D79" i="61"/>
  <c r="G79" i="61"/>
  <c r="H79" i="61" s="1"/>
  <c r="I79" i="61"/>
  <c r="B80" i="61"/>
  <c r="D80" i="61"/>
  <c r="G80" i="61"/>
  <c r="I80" i="61"/>
  <c r="J80" i="61" s="1"/>
  <c r="B81" i="61"/>
  <c r="D81" i="61"/>
  <c r="G81" i="61"/>
  <c r="H82" i="61" s="1"/>
  <c r="I81" i="61"/>
  <c r="B82" i="61"/>
  <c r="D82" i="61"/>
  <c r="G82" i="61"/>
  <c r="I82" i="61"/>
  <c r="B83" i="61"/>
  <c r="D83" i="61"/>
  <c r="G83" i="61"/>
  <c r="H83" i="61" s="1"/>
  <c r="I83" i="61"/>
  <c r="J84" i="61" s="1"/>
  <c r="B84" i="61"/>
  <c r="D84" i="61"/>
  <c r="G84" i="61"/>
  <c r="I84" i="61"/>
  <c r="B85" i="61"/>
  <c r="D85" i="61"/>
  <c r="G85" i="61"/>
  <c r="I85" i="61"/>
  <c r="J85" i="61" s="1"/>
  <c r="B86" i="61"/>
  <c r="D86" i="61"/>
  <c r="G86" i="61"/>
  <c r="H86" i="61" s="1"/>
  <c r="I86" i="61"/>
  <c r="B87" i="61"/>
  <c r="D87" i="61"/>
  <c r="G87" i="61"/>
  <c r="I87" i="61"/>
  <c r="B88" i="61"/>
  <c r="D88" i="61"/>
  <c r="G88" i="61"/>
  <c r="I88" i="61"/>
  <c r="J88" i="61" s="1"/>
  <c r="B89" i="61"/>
  <c r="D89" i="61"/>
  <c r="G89" i="61"/>
  <c r="I89" i="61"/>
  <c r="B90" i="61"/>
  <c r="D90" i="61"/>
  <c r="G90" i="61"/>
  <c r="I90" i="61"/>
  <c r="B91" i="61"/>
  <c r="E91" i="61" s="1"/>
  <c r="D91" i="61"/>
  <c r="G91" i="61"/>
  <c r="I91" i="61"/>
  <c r="B92" i="61"/>
  <c r="D92" i="61"/>
  <c r="G92" i="61"/>
  <c r="I92" i="61"/>
  <c r="J92" i="61" s="1"/>
  <c r="B93" i="61"/>
  <c r="D93" i="61"/>
  <c r="G93" i="61"/>
  <c r="I93" i="61"/>
  <c r="B94" i="61"/>
  <c r="D94" i="61"/>
  <c r="G94" i="61"/>
  <c r="I94" i="61"/>
  <c r="B95" i="61"/>
  <c r="D95" i="61"/>
  <c r="G95" i="61"/>
  <c r="I95" i="61"/>
  <c r="B96" i="61"/>
  <c r="D96" i="61"/>
  <c r="G96" i="61"/>
  <c r="I96" i="61"/>
  <c r="J96" i="61" s="1"/>
  <c r="B97" i="61"/>
  <c r="D97" i="61"/>
  <c r="G97" i="61"/>
  <c r="I97" i="61"/>
  <c r="B98" i="61"/>
  <c r="D98" i="61"/>
  <c r="G98" i="61"/>
  <c r="H98" i="61" s="1"/>
  <c r="I98" i="61"/>
  <c r="B99" i="61"/>
  <c r="D99" i="61"/>
  <c r="G99" i="61"/>
  <c r="I99" i="61"/>
  <c r="B100" i="61"/>
  <c r="D100" i="61"/>
  <c r="G100" i="61"/>
  <c r="I100" i="61"/>
  <c r="J100" i="61" s="1"/>
  <c r="B101" i="61"/>
  <c r="D101" i="61"/>
  <c r="G101" i="61"/>
  <c r="I101" i="61"/>
  <c r="B102" i="61"/>
  <c r="D102" i="61"/>
  <c r="G102" i="61"/>
  <c r="H102" i="61" s="1"/>
  <c r="I102" i="61"/>
  <c r="B103" i="61"/>
  <c r="D103" i="61"/>
  <c r="E103" i="61" s="1"/>
  <c r="G103" i="61"/>
  <c r="I103" i="61"/>
  <c r="B104" i="61"/>
  <c r="D104" i="61"/>
  <c r="G104" i="61"/>
  <c r="I104" i="61"/>
  <c r="B105" i="61"/>
  <c r="D105" i="61"/>
  <c r="G105" i="61"/>
  <c r="I105" i="61"/>
  <c r="B106" i="61"/>
  <c r="D106" i="61"/>
  <c r="G106" i="61"/>
  <c r="I106" i="61"/>
  <c r="B107" i="61"/>
  <c r="D107" i="61"/>
  <c r="G107" i="61"/>
  <c r="I107" i="61"/>
  <c r="B108" i="61"/>
  <c r="D108" i="61"/>
  <c r="G108" i="61"/>
  <c r="I108" i="61"/>
  <c r="J108" i="61" s="1"/>
  <c r="B109" i="61"/>
  <c r="D109" i="61"/>
  <c r="G109" i="61"/>
  <c r="I109" i="61"/>
  <c r="B110" i="61"/>
  <c r="C110" i="61" s="1"/>
  <c r="D110" i="61"/>
  <c r="G110" i="61"/>
  <c r="H110" i="61" s="1"/>
  <c r="I110" i="61"/>
  <c r="B111" i="61"/>
  <c r="D111" i="61"/>
  <c r="G111" i="61"/>
  <c r="I111" i="61"/>
  <c r="B112" i="61"/>
  <c r="D112" i="61"/>
  <c r="G112" i="61"/>
  <c r="I112" i="61"/>
  <c r="J112" i="61" s="1"/>
  <c r="B113" i="61"/>
  <c r="D113" i="61"/>
  <c r="G113" i="61"/>
  <c r="I113" i="61"/>
  <c r="J113" i="61" s="1"/>
  <c r="B114" i="61"/>
  <c r="D114" i="61"/>
  <c r="G114" i="61"/>
  <c r="H114" i="61"/>
  <c r="I114" i="61"/>
  <c r="B115" i="61"/>
  <c r="D115" i="61"/>
  <c r="G115" i="61"/>
  <c r="H115" i="61" s="1"/>
  <c r="I115" i="61"/>
  <c r="B116" i="61"/>
  <c r="D116" i="61"/>
  <c r="G116" i="61"/>
  <c r="I116" i="61"/>
  <c r="B117" i="61"/>
  <c r="E117" i="61" s="1"/>
  <c r="D117" i="61"/>
  <c r="G117" i="61"/>
  <c r="I117" i="61"/>
  <c r="B118" i="61"/>
  <c r="D118" i="61"/>
  <c r="G118" i="61"/>
  <c r="I118" i="61"/>
  <c r="B119" i="61"/>
  <c r="C119" i="61" s="1"/>
  <c r="D119" i="61"/>
  <c r="G119" i="61"/>
  <c r="H119" i="61" s="1"/>
  <c r="I119" i="61"/>
  <c r="B120" i="61"/>
  <c r="D120" i="61"/>
  <c r="G120" i="61"/>
  <c r="I120" i="61"/>
  <c r="B121" i="61"/>
  <c r="E121" i="61" s="1"/>
  <c r="D121" i="61"/>
  <c r="G121" i="61"/>
  <c r="I121" i="61"/>
  <c r="J121" i="61" s="1"/>
  <c r="B122" i="61"/>
  <c r="D122" i="61"/>
  <c r="G122" i="61"/>
  <c r="I122" i="61"/>
  <c r="B123" i="61"/>
  <c r="D123" i="61"/>
  <c r="G123" i="61"/>
  <c r="I123" i="61"/>
  <c r="B124" i="61"/>
  <c r="D124" i="61"/>
  <c r="G124" i="61"/>
  <c r="I124" i="61"/>
  <c r="B125" i="61"/>
  <c r="D125" i="61"/>
  <c r="G125" i="61"/>
  <c r="I125" i="61"/>
  <c r="J125" i="61" s="1"/>
  <c r="B126" i="61"/>
  <c r="D126" i="61"/>
  <c r="G126" i="61"/>
  <c r="I126" i="61"/>
  <c r="B127" i="61"/>
  <c r="D127" i="61"/>
  <c r="G127" i="61"/>
  <c r="I127" i="61"/>
  <c r="J127" i="61" s="1"/>
  <c r="B128" i="61"/>
  <c r="E128" i="61" s="1"/>
  <c r="D128" i="61"/>
  <c r="G128" i="61"/>
  <c r="I128" i="61"/>
  <c r="J128" i="61"/>
  <c r="B129" i="61"/>
  <c r="D129" i="61"/>
  <c r="G129" i="61"/>
  <c r="I129" i="61"/>
  <c r="B130" i="61"/>
  <c r="D130" i="61"/>
  <c r="G130" i="61"/>
  <c r="H130" i="61"/>
  <c r="I130" i="61"/>
  <c r="B131" i="61"/>
  <c r="D131" i="61"/>
  <c r="G131" i="61"/>
  <c r="H131" i="61" s="1"/>
  <c r="I131" i="61"/>
  <c r="B132" i="61"/>
  <c r="E132" i="61" s="1"/>
  <c r="D132" i="61"/>
  <c r="G132" i="61"/>
  <c r="I132" i="61"/>
  <c r="B133" i="61"/>
  <c r="D133" i="61"/>
  <c r="G133" i="61"/>
  <c r="I133" i="61"/>
  <c r="B134" i="61"/>
  <c r="D134" i="61"/>
  <c r="G134" i="61"/>
  <c r="I134" i="61"/>
  <c r="B135" i="61"/>
  <c r="D135" i="61"/>
  <c r="G135" i="61"/>
  <c r="I135" i="61"/>
  <c r="B136" i="61"/>
  <c r="D136" i="61"/>
  <c r="G136" i="61"/>
  <c r="I136" i="61"/>
  <c r="J136" i="61"/>
  <c r="B137" i="61"/>
  <c r="D137" i="61"/>
  <c r="G137" i="61"/>
  <c r="I137" i="61"/>
  <c r="J137" i="61" s="1"/>
  <c r="B138" i="61"/>
  <c r="D138" i="61"/>
  <c r="G138" i="61"/>
  <c r="I138" i="61"/>
  <c r="B139" i="61"/>
  <c r="D139" i="61"/>
  <c r="G139" i="61"/>
  <c r="I139" i="61"/>
  <c r="B140" i="61"/>
  <c r="D140" i="61"/>
  <c r="E140" i="61" s="1"/>
  <c r="G140" i="61"/>
  <c r="I140" i="61"/>
  <c r="B141" i="61"/>
  <c r="D141" i="61"/>
  <c r="G141" i="61"/>
  <c r="I141" i="61"/>
  <c r="J141" i="61" s="1"/>
  <c r="B142" i="61"/>
  <c r="C142" i="61" s="1"/>
  <c r="D142" i="61"/>
  <c r="G142" i="61"/>
  <c r="I142" i="61"/>
  <c r="B143" i="61"/>
  <c r="D143" i="61"/>
  <c r="G143" i="61"/>
  <c r="H143" i="61" s="1"/>
  <c r="I143" i="61"/>
  <c r="B144" i="61"/>
  <c r="D144" i="61"/>
  <c r="G144" i="61"/>
  <c r="I144" i="61"/>
  <c r="J144" i="61"/>
  <c r="B145" i="61"/>
  <c r="D145" i="61"/>
  <c r="G145" i="61"/>
  <c r="H145" i="61" s="1"/>
  <c r="I145" i="61"/>
  <c r="B146" i="61"/>
  <c r="D146" i="61"/>
  <c r="G146" i="61"/>
  <c r="I146" i="61"/>
  <c r="B147" i="61"/>
  <c r="D147" i="61"/>
  <c r="G147" i="61"/>
  <c r="H147" i="61" s="1"/>
  <c r="I147" i="61"/>
  <c r="B148" i="61"/>
  <c r="D148" i="61"/>
  <c r="G148" i="61"/>
  <c r="H148" i="61" s="1"/>
  <c r="I148" i="61"/>
  <c r="B149" i="61"/>
  <c r="D149" i="61"/>
  <c r="G149" i="61"/>
  <c r="I149" i="61"/>
  <c r="B150" i="61"/>
  <c r="C150" i="61" s="1"/>
  <c r="D150" i="61"/>
  <c r="G150" i="61"/>
  <c r="I150" i="61"/>
  <c r="B151" i="61"/>
  <c r="D151" i="61"/>
  <c r="G151" i="61"/>
  <c r="I151" i="61"/>
  <c r="J151" i="61"/>
  <c r="B152" i="61"/>
  <c r="D152" i="61"/>
  <c r="G152" i="61"/>
  <c r="I152" i="61"/>
  <c r="B153" i="61"/>
  <c r="D153" i="61"/>
  <c r="G153" i="61"/>
  <c r="H153" i="61" s="1"/>
  <c r="I153" i="61"/>
  <c r="B154" i="61"/>
  <c r="D154" i="61"/>
  <c r="G154" i="61"/>
  <c r="I154" i="61"/>
  <c r="B155" i="61"/>
  <c r="C155" i="61" s="1"/>
  <c r="D155" i="61"/>
  <c r="G155" i="61"/>
  <c r="H155" i="61" s="1"/>
  <c r="I155" i="61"/>
  <c r="B156" i="61"/>
  <c r="D156" i="61"/>
  <c r="G156" i="61"/>
  <c r="I156" i="61"/>
  <c r="B157" i="61"/>
  <c r="D157" i="61"/>
  <c r="E157" i="61" s="1"/>
  <c r="G157" i="61"/>
  <c r="I157" i="61"/>
  <c r="J157" i="61" s="1"/>
  <c r="B158" i="61"/>
  <c r="D158" i="61"/>
  <c r="G158" i="61"/>
  <c r="I158" i="61"/>
  <c r="B159" i="61"/>
  <c r="C159" i="61" s="1"/>
  <c r="D159" i="61"/>
  <c r="G159" i="61"/>
  <c r="H159" i="61" s="1"/>
  <c r="I159" i="61"/>
  <c r="B160" i="61"/>
  <c r="D160" i="61"/>
  <c r="G160" i="61"/>
  <c r="I160" i="61"/>
  <c r="J161" i="61" s="1"/>
  <c r="B161" i="61"/>
  <c r="C161" i="61"/>
  <c r="D161" i="61"/>
  <c r="G161" i="61"/>
  <c r="H161" i="61" s="1"/>
  <c r="I161" i="61"/>
  <c r="B162" i="61"/>
  <c r="D162" i="61"/>
  <c r="G162" i="61"/>
  <c r="I162" i="61"/>
  <c r="J162" i="61" s="1"/>
  <c r="B163" i="61"/>
  <c r="D163" i="61"/>
  <c r="G163" i="61"/>
  <c r="I163" i="61"/>
  <c r="B164" i="61"/>
  <c r="C164" i="61"/>
  <c r="D164" i="61"/>
  <c r="G164" i="61"/>
  <c r="H164" i="61" s="1"/>
  <c r="I164" i="61"/>
  <c r="J164" i="61" s="1"/>
  <c r="B165" i="61"/>
  <c r="D165" i="61"/>
  <c r="G165" i="61"/>
  <c r="I165" i="61"/>
  <c r="J165" i="61"/>
  <c r="B166" i="61"/>
  <c r="D166" i="61"/>
  <c r="G166" i="61"/>
  <c r="H167" i="61" s="1"/>
  <c r="I166" i="61"/>
  <c r="J166" i="61" s="1"/>
  <c r="B167" i="61"/>
  <c r="D167" i="61"/>
  <c r="G167" i="61"/>
  <c r="I167" i="61"/>
  <c r="J167" i="61"/>
  <c r="B168" i="61"/>
  <c r="D168" i="61"/>
  <c r="G168" i="61"/>
  <c r="I168" i="61"/>
  <c r="B169" i="61"/>
  <c r="E169" i="61" s="1"/>
  <c r="D169" i="61"/>
  <c r="G169" i="61"/>
  <c r="H169" i="61" s="1"/>
  <c r="I169" i="61"/>
  <c r="J169" i="61" s="1"/>
  <c r="B170" i="61"/>
  <c r="D170" i="61"/>
  <c r="G170" i="61"/>
  <c r="I170" i="61"/>
  <c r="B171" i="61"/>
  <c r="D171" i="61"/>
  <c r="G171" i="61"/>
  <c r="I171" i="61"/>
  <c r="B172" i="61"/>
  <c r="D172" i="61"/>
  <c r="G172" i="61"/>
  <c r="I172" i="61"/>
  <c r="B173" i="61"/>
  <c r="D173" i="61"/>
  <c r="G173" i="61"/>
  <c r="I173" i="61"/>
  <c r="J173" i="61" s="1"/>
  <c r="B174" i="61"/>
  <c r="D174" i="61"/>
  <c r="G174" i="61"/>
  <c r="I174" i="61"/>
  <c r="B175" i="61"/>
  <c r="D175" i="61"/>
  <c r="G175" i="61"/>
  <c r="I175" i="61"/>
  <c r="B176" i="61"/>
  <c r="D176" i="61"/>
  <c r="G176" i="61"/>
  <c r="I176" i="61"/>
  <c r="B177" i="61"/>
  <c r="E177" i="61" s="1"/>
  <c r="D177" i="61"/>
  <c r="G177" i="61"/>
  <c r="I177" i="61"/>
  <c r="B178" i="61"/>
  <c r="D178" i="61"/>
  <c r="G178" i="61"/>
  <c r="I178" i="61"/>
  <c r="B179" i="61"/>
  <c r="D179" i="61"/>
  <c r="G179" i="61"/>
  <c r="I179" i="61"/>
  <c r="B180" i="61"/>
  <c r="D180" i="61"/>
  <c r="G180" i="61"/>
  <c r="I180" i="61"/>
  <c r="B181" i="61"/>
  <c r="D181" i="61"/>
  <c r="G181" i="61"/>
  <c r="I181" i="61"/>
  <c r="J181" i="61" s="1"/>
  <c r="B182" i="61"/>
  <c r="E182" i="61" s="1"/>
  <c r="D182" i="61"/>
  <c r="G182" i="61"/>
  <c r="I182" i="61"/>
  <c r="B183" i="61"/>
  <c r="D183" i="61"/>
  <c r="G183" i="61"/>
  <c r="H183" i="61" s="1"/>
  <c r="I183" i="61"/>
  <c r="B184" i="61"/>
  <c r="C184" i="61" s="1"/>
  <c r="D184" i="61"/>
  <c r="G184" i="61"/>
  <c r="I184" i="61"/>
  <c r="B185" i="61"/>
  <c r="D185" i="61"/>
  <c r="G185" i="61"/>
  <c r="I185" i="61"/>
  <c r="B186" i="61"/>
  <c r="D186" i="61"/>
  <c r="G186" i="61"/>
  <c r="I186" i="61"/>
  <c r="B187" i="61"/>
  <c r="D187" i="61"/>
  <c r="G187" i="61"/>
  <c r="H187" i="61" s="1"/>
  <c r="I187" i="61"/>
  <c r="B188" i="61"/>
  <c r="D188" i="61"/>
  <c r="G188" i="61"/>
  <c r="I188" i="61"/>
  <c r="B189" i="61"/>
  <c r="D189" i="61"/>
  <c r="G189" i="61"/>
  <c r="I189" i="61"/>
  <c r="J189" i="61" s="1"/>
  <c r="B190" i="61"/>
  <c r="C190" i="61" s="1"/>
  <c r="D190" i="61"/>
  <c r="G190" i="61"/>
  <c r="I190" i="61"/>
  <c r="B191" i="61"/>
  <c r="D191" i="61"/>
  <c r="G191" i="61"/>
  <c r="I191" i="61"/>
  <c r="J191" i="61" s="1"/>
  <c r="B192" i="61"/>
  <c r="D192" i="61"/>
  <c r="G192" i="61"/>
  <c r="I192" i="61"/>
  <c r="B193" i="61"/>
  <c r="D193" i="61"/>
  <c r="G193" i="61"/>
  <c r="H193" i="61" s="1"/>
  <c r="I193" i="61"/>
  <c r="B194" i="61"/>
  <c r="E194" i="61" s="1"/>
  <c r="D194" i="61"/>
  <c r="G194" i="61"/>
  <c r="I194" i="61"/>
  <c r="B195" i="61"/>
  <c r="D195" i="61"/>
  <c r="G195" i="61"/>
  <c r="H195" i="61" s="1"/>
  <c r="I195" i="61"/>
  <c r="B196" i="61"/>
  <c r="D196" i="61"/>
  <c r="G196" i="61"/>
  <c r="I196" i="61"/>
  <c r="B197" i="61"/>
  <c r="D197" i="61"/>
  <c r="G197" i="61"/>
  <c r="I197" i="61"/>
  <c r="B198" i="61"/>
  <c r="D198" i="61"/>
  <c r="G198" i="61"/>
  <c r="I198" i="61"/>
  <c r="B199" i="61"/>
  <c r="C199" i="61"/>
  <c r="D199" i="61"/>
  <c r="G199" i="61"/>
  <c r="I199" i="61"/>
  <c r="J199" i="61" s="1"/>
  <c r="B200" i="61"/>
  <c r="D200" i="61"/>
  <c r="G200" i="61"/>
  <c r="I200" i="61"/>
  <c r="J200" i="61" s="1"/>
  <c r="B201" i="61"/>
  <c r="D201" i="61"/>
  <c r="G201" i="61"/>
  <c r="I201" i="61"/>
  <c r="B202" i="61"/>
  <c r="D202" i="61"/>
  <c r="G202" i="61"/>
  <c r="H203" i="61" s="1"/>
  <c r="H202" i="61"/>
  <c r="I202" i="61"/>
  <c r="J202" i="61" s="1"/>
  <c r="B203" i="61"/>
  <c r="D203" i="61"/>
  <c r="G203" i="61"/>
  <c r="I203" i="61"/>
  <c r="B204" i="61"/>
  <c r="D204" i="61"/>
  <c r="G204" i="61"/>
  <c r="H204" i="61" s="1"/>
  <c r="I204" i="61"/>
  <c r="J205" i="61" s="1"/>
  <c r="B205" i="61"/>
  <c r="D205" i="61"/>
  <c r="G205" i="61"/>
  <c r="I205" i="61"/>
  <c r="B206" i="61"/>
  <c r="D206" i="61"/>
  <c r="G206" i="61"/>
  <c r="H207" i="61" s="1"/>
  <c r="I206" i="61"/>
  <c r="J206" i="61" s="1"/>
  <c r="B207" i="61"/>
  <c r="D207" i="61"/>
  <c r="G207" i="61"/>
  <c r="I207" i="61"/>
  <c r="J207" i="61" s="1"/>
  <c r="B208" i="61"/>
  <c r="D208" i="61"/>
  <c r="G208" i="61"/>
  <c r="I208" i="61"/>
  <c r="B209" i="61"/>
  <c r="E209" i="61" s="1"/>
  <c r="D209" i="61"/>
  <c r="G209" i="61"/>
  <c r="I209" i="61"/>
  <c r="J209" i="61" s="1"/>
  <c r="B210" i="61"/>
  <c r="C210" i="61" s="1"/>
  <c r="D210" i="61"/>
  <c r="G210" i="61"/>
  <c r="I210" i="61"/>
  <c r="B211" i="61"/>
  <c r="D211" i="61"/>
  <c r="G211" i="61"/>
  <c r="I211" i="61"/>
  <c r="B212" i="61"/>
  <c r="D212" i="61"/>
  <c r="G212" i="61"/>
  <c r="I212" i="61"/>
  <c r="B213" i="61"/>
  <c r="D213" i="61"/>
  <c r="G213" i="61"/>
  <c r="I213" i="61"/>
  <c r="B214" i="61"/>
  <c r="D214" i="61"/>
  <c r="G214" i="61"/>
  <c r="I214" i="61"/>
  <c r="B215" i="61"/>
  <c r="D215" i="61"/>
  <c r="G215" i="61"/>
  <c r="I215" i="61"/>
  <c r="B216" i="61"/>
  <c r="D216" i="61"/>
  <c r="G216" i="61"/>
  <c r="I216" i="61"/>
  <c r="B217" i="61"/>
  <c r="E217" i="61" s="1"/>
  <c r="D217" i="61"/>
  <c r="G217" i="61"/>
  <c r="I217" i="61"/>
  <c r="B218" i="61"/>
  <c r="D218" i="61"/>
  <c r="E218" i="61" s="1"/>
  <c r="F218" i="61" s="1"/>
  <c r="G218" i="61"/>
  <c r="I218" i="61"/>
  <c r="B219" i="61"/>
  <c r="D219" i="61"/>
  <c r="G219" i="61"/>
  <c r="H219" i="61" s="1"/>
  <c r="I219" i="61"/>
  <c r="J219" i="61" s="1"/>
  <c r="B220" i="61"/>
  <c r="D220" i="61"/>
  <c r="G220" i="61"/>
  <c r="I220" i="61"/>
  <c r="B221" i="61"/>
  <c r="E221" i="61" s="1"/>
  <c r="D221" i="61"/>
  <c r="G221" i="61"/>
  <c r="I221" i="61"/>
  <c r="J221" i="61"/>
  <c r="B222" i="61"/>
  <c r="E222" i="61" s="1"/>
  <c r="D222" i="61"/>
  <c r="G222" i="61"/>
  <c r="I222" i="61"/>
  <c r="B223" i="61"/>
  <c r="D223" i="61"/>
  <c r="G223" i="61"/>
  <c r="H223" i="61" s="1"/>
  <c r="I223" i="61"/>
  <c r="J223" i="61" s="1"/>
  <c r="B224" i="61"/>
  <c r="D224" i="61"/>
  <c r="G224" i="61"/>
  <c r="I224" i="61"/>
  <c r="B225" i="61"/>
  <c r="D225" i="61"/>
  <c r="G225" i="61"/>
  <c r="H225" i="61" s="1"/>
  <c r="I225" i="61"/>
  <c r="J225" i="61" s="1"/>
  <c r="B226" i="61"/>
  <c r="C226" i="61" s="1"/>
  <c r="D226" i="61"/>
  <c r="G226" i="61"/>
  <c r="I226" i="61"/>
  <c r="B227" i="61"/>
  <c r="D227" i="61"/>
  <c r="G227" i="61"/>
  <c r="I227" i="61"/>
  <c r="J227" i="61" s="1"/>
  <c r="B228" i="61"/>
  <c r="E228" i="61" s="1"/>
  <c r="D228" i="61"/>
  <c r="G228" i="61"/>
  <c r="I228" i="61"/>
  <c r="B229" i="61"/>
  <c r="D229" i="61"/>
  <c r="G229" i="61"/>
  <c r="I229" i="61"/>
  <c r="B230" i="61"/>
  <c r="D230" i="61"/>
  <c r="G230" i="61"/>
  <c r="I230" i="61"/>
  <c r="B231" i="61"/>
  <c r="D231" i="61"/>
  <c r="G231" i="61"/>
  <c r="H231" i="61"/>
  <c r="I231" i="61"/>
  <c r="B232" i="61"/>
  <c r="D232" i="61"/>
  <c r="G232" i="61"/>
  <c r="I232" i="61"/>
  <c r="B233" i="61"/>
  <c r="D233" i="61"/>
  <c r="G233" i="61"/>
  <c r="I233" i="61"/>
  <c r="B234" i="61"/>
  <c r="D234" i="61"/>
  <c r="G234" i="61"/>
  <c r="I234" i="61"/>
  <c r="B235" i="61"/>
  <c r="D235" i="61"/>
  <c r="G235" i="61"/>
  <c r="H236" i="61" s="1"/>
  <c r="I235" i="61"/>
  <c r="J235" i="61" s="1"/>
  <c r="B236" i="61"/>
  <c r="C236" i="61" s="1"/>
  <c r="D236" i="61"/>
  <c r="G236" i="61"/>
  <c r="I236" i="61"/>
  <c r="B237" i="61"/>
  <c r="D237" i="61"/>
  <c r="G237" i="61"/>
  <c r="H237" i="61" s="1"/>
  <c r="I237" i="61"/>
  <c r="B238" i="61"/>
  <c r="C238" i="61" s="1"/>
  <c r="D238" i="61"/>
  <c r="G238" i="61"/>
  <c r="I238" i="61"/>
  <c r="B239" i="61"/>
  <c r="D239" i="61"/>
  <c r="G239" i="61"/>
  <c r="I239" i="61"/>
  <c r="B240" i="61"/>
  <c r="D240" i="61"/>
  <c r="G240" i="61"/>
  <c r="H240" i="61"/>
  <c r="I240" i="61"/>
  <c r="B241" i="61"/>
  <c r="D241" i="61"/>
  <c r="G241" i="61"/>
  <c r="I241" i="61"/>
  <c r="B242" i="61"/>
  <c r="D242" i="61"/>
  <c r="G242" i="61"/>
  <c r="I242" i="61"/>
  <c r="J242" i="61"/>
  <c r="B243" i="61"/>
  <c r="D243" i="61"/>
  <c r="G243" i="61"/>
  <c r="I243" i="61"/>
  <c r="B244" i="61"/>
  <c r="D244" i="61"/>
  <c r="G244" i="61"/>
  <c r="I244" i="61"/>
  <c r="J244" i="61" s="1"/>
  <c r="B245" i="61"/>
  <c r="D245" i="61"/>
  <c r="G245" i="61"/>
  <c r="I245" i="61"/>
  <c r="B246" i="61"/>
  <c r="D246" i="61"/>
  <c r="G246" i="61"/>
  <c r="H246" i="61" s="1"/>
  <c r="I246" i="61"/>
  <c r="B247" i="61"/>
  <c r="D247" i="61"/>
  <c r="G247" i="61"/>
  <c r="I247" i="61"/>
  <c r="B248" i="61"/>
  <c r="D248" i="61"/>
  <c r="G248" i="61"/>
  <c r="H249" i="61" s="1"/>
  <c r="I248" i="61"/>
  <c r="B249" i="61"/>
  <c r="D249" i="61"/>
  <c r="G249" i="61"/>
  <c r="I249" i="61"/>
  <c r="B250" i="61"/>
  <c r="D250" i="61"/>
  <c r="G250" i="61"/>
  <c r="I250" i="61"/>
  <c r="B251" i="61"/>
  <c r="D251" i="61"/>
  <c r="G251" i="61"/>
  <c r="I251" i="61"/>
  <c r="B252" i="61"/>
  <c r="D252" i="61"/>
  <c r="G252" i="61"/>
  <c r="I252" i="61"/>
  <c r="J252" i="61"/>
  <c r="B253" i="61"/>
  <c r="D253" i="61"/>
  <c r="G253" i="61"/>
  <c r="I253" i="61"/>
  <c r="B254" i="61"/>
  <c r="D254" i="61"/>
  <c r="G254" i="61"/>
  <c r="I254" i="61"/>
  <c r="B255" i="61"/>
  <c r="D255" i="61"/>
  <c r="G255" i="61"/>
  <c r="I255" i="61"/>
  <c r="B256" i="61"/>
  <c r="C257" i="61" s="1"/>
  <c r="D256" i="61"/>
  <c r="G256" i="61"/>
  <c r="I256" i="61"/>
  <c r="B257" i="61"/>
  <c r="D257" i="61"/>
  <c r="G257" i="61"/>
  <c r="H257" i="61" s="1"/>
  <c r="I257" i="61"/>
  <c r="B258" i="61"/>
  <c r="C258" i="61" s="1"/>
  <c r="D258" i="61"/>
  <c r="G258" i="61"/>
  <c r="I258" i="61"/>
  <c r="B259" i="61"/>
  <c r="E259" i="61" s="1"/>
  <c r="D259" i="61"/>
  <c r="G259" i="61"/>
  <c r="I259" i="61"/>
  <c r="J259" i="61" s="1"/>
  <c r="B260" i="61"/>
  <c r="D260" i="61"/>
  <c r="E260" i="61" s="1"/>
  <c r="G260" i="61"/>
  <c r="H260" i="61"/>
  <c r="I260" i="61"/>
  <c r="B261" i="61"/>
  <c r="D261" i="61"/>
  <c r="G261" i="61"/>
  <c r="I261" i="61"/>
  <c r="B262" i="61"/>
  <c r="D262" i="61"/>
  <c r="G262" i="61"/>
  <c r="I262" i="61"/>
  <c r="B263" i="61"/>
  <c r="D263" i="61"/>
  <c r="G263" i="61"/>
  <c r="H263" i="61"/>
  <c r="I263" i="61"/>
  <c r="J263" i="61" s="1"/>
  <c r="B264" i="61"/>
  <c r="D264" i="61"/>
  <c r="G264" i="61"/>
  <c r="I264" i="61"/>
  <c r="B265" i="61"/>
  <c r="D265" i="61"/>
  <c r="G265" i="61"/>
  <c r="H265" i="61"/>
  <c r="I265" i="61"/>
  <c r="B266" i="61"/>
  <c r="D266" i="61"/>
  <c r="G266" i="61"/>
  <c r="I266" i="61"/>
  <c r="J266" i="61"/>
  <c r="B267" i="61"/>
  <c r="C267" i="61" s="1"/>
  <c r="D267" i="61"/>
  <c r="G267" i="61"/>
  <c r="I267" i="61"/>
  <c r="B268" i="61"/>
  <c r="D268" i="61"/>
  <c r="G268" i="61"/>
  <c r="H268" i="61" s="1"/>
  <c r="I268" i="61"/>
  <c r="J268" i="61" s="1"/>
  <c r="B269" i="61"/>
  <c r="C269" i="61" s="1"/>
  <c r="D269" i="61"/>
  <c r="G269" i="61"/>
  <c r="I269" i="61"/>
  <c r="B270" i="61"/>
  <c r="E270" i="61" s="1"/>
  <c r="D270" i="61"/>
  <c r="G270" i="61"/>
  <c r="I270" i="61"/>
  <c r="B271" i="61"/>
  <c r="D271" i="61"/>
  <c r="G271" i="61"/>
  <c r="I271" i="61"/>
  <c r="B272" i="61"/>
  <c r="D272" i="61"/>
  <c r="G272" i="61"/>
  <c r="I272" i="61"/>
  <c r="B273" i="61"/>
  <c r="D273" i="61"/>
  <c r="G273" i="61"/>
  <c r="I273" i="61"/>
  <c r="B274" i="61"/>
  <c r="D274" i="61"/>
  <c r="G274" i="61"/>
  <c r="I274" i="61"/>
  <c r="J274" i="61"/>
  <c r="B275" i="61"/>
  <c r="D275" i="61"/>
  <c r="G275" i="61"/>
  <c r="I275" i="61"/>
  <c r="B276" i="61"/>
  <c r="D276" i="61"/>
  <c r="G276" i="61"/>
  <c r="H276" i="61" s="1"/>
  <c r="I276" i="61"/>
  <c r="J276" i="61" s="1"/>
  <c r="B277" i="61"/>
  <c r="D277" i="61"/>
  <c r="G277" i="61"/>
  <c r="I277" i="61"/>
  <c r="B278" i="61"/>
  <c r="D278" i="61"/>
  <c r="G278" i="61"/>
  <c r="I278" i="61"/>
  <c r="B279" i="61"/>
  <c r="D279" i="61"/>
  <c r="G279" i="61"/>
  <c r="I279" i="61"/>
  <c r="B280" i="61"/>
  <c r="D280" i="61"/>
  <c r="G280" i="61"/>
  <c r="I280" i="61"/>
  <c r="B281" i="61"/>
  <c r="D281" i="61"/>
  <c r="G281" i="61"/>
  <c r="I281" i="61"/>
  <c r="B282" i="61"/>
  <c r="D282" i="61"/>
  <c r="G282" i="61"/>
  <c r="I282" i="61"/>
  <c r="B283" i="61"/>
  <c r="D283" i="61"/>
  <c r="G283" i="61"/>
  <c r="I283" i="61"/>
  <c r="B284" i="61"/>
  <c r="D284" i="61"/>
  <c r="G284" i="61"/>
  <c r="I284" i="61"/>
  <c r="J284" i="61" s="1"/>
  <c r="B285" i="61"/>
  <c r="C285" i="61" s="1"/>
  <c r="D285" i="61"/>
  <c r="G285" i="61"/>
  <c r="I285" i="61"/>
  <c r="B286" i="61"/>
  <c r="D286" i="61"/>
  <c r="G286" i="61"/>
  <c r="H286" i="61"/>
  <c r="I286" i="61"/>
  <c r="B287" i="61"/>
  <c r="D287" i="61"/>
  <c r="G287" i="61"/>
  <c r="I287" i="61"/>
  <c r="B288" i="61"/>
  <c r="D288" i="61"/>
  <c r="G288" i="61"/>
  <c r="I288" i="61"/>
  <c r="B289" i="61"/>
  <c r="D289" i="61"/>
  <c r="G289" i="61"/>
  <c r="I289" i="61"/>
  <c r="B290" i="61"/>
  <c r="D290" i="61"/>
  <c r="G290" i="61"/>
  <c r="I290" i="61"/>
  <c r="J290" i="61" s="1"/>
  <c r="B291" i="61"/>
  <c r="D291" i="61"/>
  <c r="G291" i="61"/>
  <c r="I291" i="61"/>
  <c r="B292" i="61"/>
  <c r="D292" i="61"/>
  <c r="G292" i="61"/>
  <c r="H292" i="61" s="1"/>
  <c r="I292" i="61"/>
  <c r="B293" i="61"/>
  <c r="E293" i="61" s="1"/>
  <c r="D293" i="61"/>
  <c r="G293" i="61"/>
  <c r="I293" i="61"/>
  <c r="B294" i="61"/>
  <c r="D294" i="61"/>
  <c r="G294" i="61"/>
  <c r="I294" i="61"/>
  <c r="B295" i="61"/>
  <c r="E295" i="61" s="1"/>
  <c r="D295" i="61"/>
  <c r="G295" i="61"/>
  <c r="I295" i="61"/>
  <c r="B296" i="61"/>
  <c r="D296" i="61"/>
  <c r="G296" i="61"/>
  <c r="I296" i="61"/>
  <c r="B297" i="61"/>
  <c r="D297" i="61"/>
  <c r="G297" i="61"/>
  <c r="I297" i="61"/>
  <c r="B298" i="61"/>
  <c r="D298" i="61"/>
  <c r="E298" i="61" s="1"/>
  <c r="G298" i="61"/>
  <c r="I298" i="61"/>
  <c r="J298" i="61"/>
  <c r="B299" i="61"/>
  <c r="D299" i="61"/>
  <c r="G299" i="61"/>
  <c r="I299" i="61"/>
  <c r="B300" i="61"/>
  <c r="D300" i="61"/>
  <c r="G300" i="61"/>
  <c r="I300" i="61"/>
  <c r="B301" i="61"/>
  <c r="D301" i="61"/>
  <c r="G301" i="61"/>
  <c r="H301" i="61" s="1"/>
  <c r="I301" i="61"/>
  <c r="J301" i="61"/>
  <c r="B302" i="61"/>
  <c r="E302" i="61" s="1"/>
  <c r="D302" i="61"/>
  <c r="G302" i="61"/>
  <c r="I302" i="61"/>
  <c r="B303" i="61"/>
  <c r="D303" i="61"/>
  <c r="G303" i="61"/>
  <c r="I303" i="61"/>
  <c r="J303" i="61"/>
  <c r="B304" i="61"/>
  <c r="D304" i="61"/>
  <c r="G304" i="61"/>
  <c r="I304" i="61"/>
  <c r="B305" i="61"/>
  <c r="C305" i="61" s="1"/>
  <c r="D305" i="61"/>
  <c r="E305" i="61"/>
  <c r="G305" i="61"/>
  <c r="I305" i="61"/>
  <c r="B306" i="61"/>
  <c r="D306" i="61"/>
  <c r="G306" i="61"/>
  <c r="I306" i="61"/>
  <c r="J306" i="61"/>
  <c r="B307" i="61"/>
  <c r="D307" i="61"/>
  <c r="G307" i="61"/>
  <c r="I307" i="61"/>
  <c r="B308" i="61"/>
  <c r="D308" i="61"/>
  <c r="G308" i="61"/>
  <c r="H308" i="61" s="1"/>
  <c r="I308" i="61"/>
  <c r="B309" i="61"/>
  <c r="D309" i="61"/>
  <c r="G309" i="61"/>
  <c r="I309" i="61"/>
  <c r="B310" i="61"/>
  <c r="E310" i="61" s="1"/>
  <c r="D310" i="61"/>
  <c r="G310" i="61"/>
  <c r="I310" i="61"/>
  <c r="J311" i="61" s="1"/>
  <c r="J310" i="61"/>
  <c r="B311" i="61"/>
  <c r="D311" i="61"/>
  <c r="G311" i="61"/>
  <c r="I311" i="61"/>
  <c r="B312" i="61"/>
  <c r="D312" i="61"/>
  <c r="G312" i="61"/>
  <c r="H312" i="61" s="1"/>
  <c r="I312" i="61"/>
  <c r="B313" i="61"/>
  <c r="D313" i="61"/>
  <c r="G313" i="61"/>
  <c r="I313" i="61"/>
  <c r="B314" i="61"/>
  <c r="D314" i="61"/>
  <c r="G314" i="61"/>
  <c r="I314" i="61"/>
  <c r="J314" i="61" s="1"/>
  <c r="B315" i="61"/>
  <c r="E315" i="61" s="1"/>
  <c r="D315" i="61"/>
  <c r="G315" i="61"/>
  <c r="I315" i="61"/>
  <c r="B316" i="61"/>
  <c r="D316" i="61"/>
  <c r="G316" i="61"/>
  <c r="H316" i="61"/>
  <c r="I316" i="61"/>
  <c r="B317" i="61"/>
  <c r="D317" i="61"/>
  <c r="G317" i="61"/>
  <c r="I317" i="61"/>
  <c r="B318" i="61"/>
  <c r="D318" i="61"/>
  <c r="G318" i="61"/>
  <c r="I318" i="61"/>
  <c r="B319" i="61"/>
  <c r="D319" i="61"/>
  <c r="G319" i="61"/>
  <c r="I319" i="61"/>
  <c r="B320" i="61"/>
  <c r="D320" i="61"/>
  <c r="G320" i="61"/>
  <c r="I320" i="61"/>
  <c r="B321" i="61"/>
  <c r="D321" i="61"/>
  <c r="G321" i="61"/>
  <c r="I321" i="61"/>
  <c r="B322" i="61"/>
  <c r="C322" i="61" s="1"/>
  <c r="D322" i="61"/>
  <c r="G322" i="61"/>
  <c r="I322" i="61"/>
  <c r="J322" i="61" s="1"/>
  <c r="B323" i="61"/>
  <c r="D323" i="61"/>
  <c r="G323" i="61"/>
  <c r="I323" i="61"/>
  <c r="B324" i="61"/>
  <c r="D324" i="61"/>
  <c r="G324" i="61"/>
  <c r="H324" i="61" s="1"/>
  <c r="I324" i="61"/>
  <c r="B325" i="61"/>
  <c r="D325" i="61"/>
  <c r="G325" i="61"/>
  <c r="I325" i="61"/>
  <c r="B326" i="61"/>
  <c r="D326" i="61"/>
  <c r="G326" i="61"/>
  <c r="H327" i="61" s="1"/>
  <c r="I326" i="61"/>
  <c r="J326" i="61"/>
  <c r="B327" i="61"/>
  <c r="D327" i="61"/>
  <c r="G327" i="61"/>
  <c r="I327" i="61"/>
  <c r="B328" i="61"/>
  <c r="D328" i="61"/>
  <c r="G328" i="61"/>
  <c r="I328" i="61"/>
  <c r="B329" i="61"/>
  <c r="D329" i="61"/>
  <c r="G329" i="61"/>
  <c r="I329" i="61"/>
  <c r="J329" i="61"/>
  <c r="B330" i="61"/>
  <c r="D330" i="61"/>
  <c r="G330" i="61"/>
  <c r="I330" i="61"/>
  <c r="B331" i="61"/>
  <c r="D331" i="61"/>
  <c r="G331" i="61"/>
  <c r="I331" i="61"/>
  <c r="J331" i="61" s="1"/>
  <c r="B332" i="61"/>
  <c r="D332" i="61"/>
  <c r="G332" i="61"/>
  <c r="I332" i="61"/>
  <c r="B333" i="61"/>
  <c r="C334" i="61" s="1"/>
  <c r="D333" i="61"/>
  <c r="G333" i="61"/>
  <c r="I333" i="61"/>
  <c r="B334" i="61"/>
  <c r="D334" i="61"/>
  <c r="G334" i="61"/>
  <c r="I334" i="61"/>
  <c r="B335" i="61"/>
  <c r="D335" i="61"/>
  <c r="G335" i="61"/>
  <c r="I335" i="61"/>
  <c r="B336" i="61"/>
  <c r="D336" i="61"/>
  <c r="G336" i="61"/>
  <c r="I336" i="61"/>
  <c r="B337" i="61"/>
  <c r="D337" i="61"/>
  <c r="G337" i="61"/>
  <c r="I337" i="61"/>
  <c r="J338" i="61" s="1"/>
  <c r="B338" i="61"/>
  <c r="D338" i="61"/>
  <c r="G338" i="61"/>
  <c r="I338" i="61"/>
  <c r="B339" i="61"/>
  <c r="D339" i="61"/>
  <c r="E339" i="61"/>
  <c r="G339" i="61"/>
  <c r="I339" i="61"/>
  <c r="J339" i="61" s="1"/>
  <c r="B340" i="61"/>
  <c r="C340" i="61" s="1"/>
  <c r="D340" i="61"/>
  <c r="G340" i="61"/>
  <c r="I340" i="61"/>
  <c r="B341" i="61"/>
  <c r="D341" i="61"/>
  <c r="G341" i="61"/>
  <c r="H341" i="61" s="1"/>
  <c r="I341" i="61"/>
  <c r="B342" i="61"/>
  <c r="E342" i="61" s="1"/>
  <c r="D342" i="61"/>
  <c r="G342" i="61"/>
  <c r="I342" i="61"/>
  <c r="J343" i="61" s="1"/>
  <c r="B343" i="61"/>
  <c r="E343" i="61" s="1"/>
  <c r="D343" i="61"/>
  <c r="G343" i="61"/>
  <c r="H343" i="61" s="1"/>
  <c r="I343" i="61"/>
  <c r="B344" i="61"/>
  <c r="D344" i="61"/>
  <c r="G344" i="61"/>
  <c r="I344" i="61"/>
  <c r="J344" i="61" s="1"/>
  <c r="B345" i="61"/>
  <c r="C345" i="61" s="1"/>
  <c r="D345" i="61"/>
  <c r="G345" i="61"/>
  <c r="I345" i="61"/>
  <c r="B346" i="61"/>
  <c r="D346" i="61"/>
  <c r="G346" i="61"/>
  <c r="H346" i="61" s="1"/>
  <c r="I346" i="61"/>
  <c r="J346" i="61" s="1"/>
  <c r="B347" i="61"/>
  <c r="D347" i="61"/>
  <c r="G347" i="61"/>
  <c r="I347" i="61"/>
  <c r="J347" i="61"/>
  <c r="B348" i="61"/>
  <c r="D348" i="61"/>
  <c r="G348" i="61"/>
  <c r="H348" i="61" s="1"/>
  <c r="I348" i="61"/>
  <c r="J348" i="61" s="1"/>
  <c r="B349" i="61"/>
  <c r="D349" i="61"/>
  <c r="G349" i="61"/>
  <c r="I349" i="61"/>
  <c r="J349" i="61"/>
  <c r="B350" i="61"/>
  <c r="D350" i="61"/>
  <c r="G350" i="61"/>
  <c r="I350" i="61"/>
  <c r="B351" i="61"/>
  <c r="D351" i="61"/>
  <c r="G351" i="61"/>
  <c r="I351" i="61"/>
  <c r="B352" i="61"/>
  <c r="E352" i="61" s="1"/>
  <c r="D352" i="61"/>
  <c r="G352" i="61"/>
  <c r="I352" i="61"/>
  <c r="B353" i="61"/>
  <c r="D353" i="61"/>
  <c r="G353" i="61"/>
  <c r="I353" i="61"/>
  <c r="J353" i="61" s="1"/>
  <c r="B354" i="61"/>
  <c r="D354" i="61"/>
  <c r="G354" i="61"/>
  <c r="I354" i="61"/>
  <c r="J354" i="61" s="1"/>
  <c r="B355" i="61"/>
  <c r="C356" i="61" s="1"/>
  <c r="D355" i="61"/>
  <c r="G355" i="61"/>
  <c r="I355" i="61"/>
  <c r="B356" i="61"/>
  <c r="D356" i="61"/>
  <c r="G356" i="61"/>
  <c r="I356" i="61"/>
  <c r="B357" i="61"/>
  <c r="D357" i="61"/>
  <c r="G357" i="61"/>
  <c r="I357" i="61"/>
  <c r="B358" i="61"/>
  <c r="E358" i="61" s="1"/>
  <c r="D358" i="61"/>
  <c r="G358" i="61"/>
  <c r="I358" i="61"/>
  <c r="B359" i="61"/>
  <c r="D359" i="61"/>
  <c r="G359" i="61"/>
  <c r="I359" i="61"/>
  <c r="B360" i="61"/>
  <c r="D360" i="61"/>
  <c r="G360" i="61"/>
  <c r="I360" i="61"/>
  <c r="J361" i="61" s="1"/>
  <c r="B361" i="61"/>
  <c r="D361" i="61"/>
  <c r="G361" i="61"/>
  <c r="I361" i="61"/>
  <c r="B362" i="61"/>
  <c r="D362" i="61"/>
  <c r="G362" i="61"/>
  <c r="I362" i="61"/>
  <c r="J363" i="61" s="1"/>
  <c r="J362" i="61"/>
  <c r="B363" i="61"/>
  <c r="D363" i="61"/>
  <c r="G363" i="61"/>
  <c r="I363" i="61"/>
  <c r="B364" i="61"/>
  <c r="D364" i="61"/>
  <c r="G364" i="61"/>
  <c r="I364" i="61"/>
  <c r="J364" i="61" s="1"/>
  <c r="B365" i="61"/>
  <c r="D365" i="61"/>
  <c r="G365" i="61"/>
  <c r="I365" i="61"/>
  <c r="B366" i="61"/>
  <c r="D366" i="61"/>
  <c r="G366" i="61"/>
  <c r="I366" i="61"/>
  <c r="B367" i="61"/>
  <c r="D367" i="61"/>
  <c r="G367" i="61"/>
  <c r="I367" i="61"/>
  <c r="B368" i="61"/>
  <c r="C368" i="61" s="1"/>
  <c r="D368" i="61"/>
  <c r="G368" i="61"/>
  <c r="I368" i="61"/>
  <c r="B369" i="61"/>
  <c r="D369" i="61"/>
  <c r="G369" i="61"/>
  <c r="I369" i="61"/>
  <c r="J369" i="61"/>
  <c r="B370" i="61"/>
  <c r="D370" i="61"/>
  <c r="G370" i="61"/>
  <c r="I370" i="61"/>
  <c r="B371" i="61"/>
  <c r="D371" i="61"/>
  <c r="G371" i="61"/>
  <c r="I371" i="61"/>
  <c r="J371" i="61" s="1"/>
  <c r="B372" i="61"/>
  <c r="D372" i="61"/>
  <c r="G372" i="61"/>
  <c r="I372" i="61"/>
  <c r="B373" i="61"/>
  <c r="D373" i="61"/>
  <c r="G373" i="61"/>
  <c r="H373" i="61" s="1"/>
  <c r="I373" i="61"/>
  <c r="J373" i="61" s="1"/>
  <c r="B374" i="61"/>
  <c r="D374" i="61"/>
  <c r="G374" i="61"/>
  <c r="I374" i="61"/>
  <c r="B375" i="61"/>
  <c r="E375" i="61" s="1"/>
  <c r="D375" i="61"/>
  <c r="G375" i="61"/>
  <c r="H375" i="61"/>
  <c r="I375" i="61"/>
  <c r="B376" i="61"/>
  <c r="D376" i="61"/>
  <c r="G376" i="61"/>
  <c r="I376" i="61"/>
  <c r="B377" i="61"/>
  <c r="D377" i="61"/>
  <c r="G377" i="61"/>
  <c r="I377" i="61"/>
  <c r="J377" i="61" s="1"/>
  <c r="B378" i="61"/>
  <c r="D378" i="61"/>
  <c r="G378" i="61"/>
  <c r="I378" i="61"/>
  <c r="J378" i="61" s="1"/>
  <c r="B379" i="61"/>
  <c r="D379" i="61"/>
  <c r="G379" i="61"/>
  <c r="I379" i="61"/>
  <c r="B380" i="61"/>
  <c r="D380" i="61"/>
  <c r="G380" i="61"/>
  <c r="I380" i="61"/>
  <c r="B381" i="61"/>
  <c r="D381" i="61"/>
  <c r="G381" i="61"/>
  <c r="H381" i="61" s="1"/>
  <c r="I381" i="61"/>
  <c r="B382" i="61"/>
  <c r="D382" i="61"/>
  <c r="G382" i="61"/>
  <c r="I382" i="61"/>
  <c r="B383" i="61"/>
  <c r="C383" i="61" s="1"/>
  <c r="D383" i="61"/>
  <c r="G383" i="61"/>
  <c r="I383" i="61"/>
  <c r="B384" i="61"/>
  <c r="D384" i="61"/>
  <c r="G384" i="61"/>
  <c r="I384" i="61"/>
  <c r="B385" i="61"/>
  <c r="D385" i="61"/>
  <c r="G385" i="61"/>
  <c r="I385" i="61"/>
  <c r="B386" i="61"/>
  <c r="D386" i="61"/>
  <c r="G386" i="61"/>
  <c r="I386" i="61"/>
  <c r="B387" i="61"/>
  <c r="D387" i="61"/>
  <c r="G387" i="61"/>
  <c r="H387" i="61" s="1"/>
  <c r="I387" i="61"/>
  <c r="B388" i="61"/>
  <c r="D388" i="61"/>
  <c r="G388" i="61"/>
  <c r="I388" i="61"/>
  <c r="J388" i="61"/>
  <c r="B389" i="61"/>
  <c r="D389" i="61"/>
  <c r="G389" i="61"/>
  <c r="I389" i="61"/>
  <c r="B390" i="61"/>
  <c r="E390" i="61" s="1"/>
  <c r="D390" i="61"/>
  <c r="G390" i="61"/>
  <c r="I390" i="61"/>
  <c r="B391" i="61"/>
  <c r="D391" i="61"/>
  <c r="G391" i="61"/>
  <c r="I391" i="61"/>
  <c r="B392" i="61"/>
  <c r="D392" i="61"/>
  <c r="G392" i="61"/>
  <c r="I392" i="61"/>
  <c r="J392" i="61" s="1"/>
  <c r="B393" i="61"/>
  <c r="D393" i="61"/>
  <c r="G393" i="61"/>
  <c r="I393" i="61"/>
  <c r="B394" i="61"/>
  <c r="E394" i="61" s="1"/>
  <c r="D394" i="61"/>
  <c r="G394" i="61"/>
  <c r="I394" i="61"/>
  <c r="J394" i="61"/>
  <c r="B395" i="61"/>
  <c r="D395" i="61"/>
  <c r="G395" i="61"/>
  <c r="I395" i="61"/>
  <c r="J395" i="61" s="1"/>
  <c r="B396" i="61"/>
  <c r="D396" i="61"/>
  <c r="G396" i="61"/>
  <c r="I396" i="61"/>
  <c r="J397" i="61" s="1"/>
  <c r="B397" i="61"/>
  <c r="D397" i="61"/>
  <c r="G397" i="61"/>
  <c r="I397" i="61"/>
  <c r="B398" i="61"/>
  <c r="D398" i="61"/>
  <c r="G398" i="61"/>
  <c r="H398" i="61" s="1"/>
  <c r="I398" i="61"/>
  <c r="B399" i="61"/>
  <c r="E399" i="61" s="1"/>
  <c r="D399" i="61"/>
  <c r="G399" i="61"/>
  <c r="I399" i="61"/>
  <c r="B400" i="61"/>
  <c r="D400" i="61"/>
  <c r="G400" i="61"/>
  <c r="I400" i="61"/>
  <c r="B401" i="61"/>
  <c r="D401" i="61"/>
  <c r="G401" i="61"/>
  <c r="I401" i="61"/>
  <c r="J401" i="61" s="1"/>
  <c r="B402" i="61"/>
  <c r="D402" i="61"/>
  <c r="E402" i="61" s="1"/>
  <c r="G402" i="61"/>
  <c r="I402" i="61"/>
  <c r="B403" i="61"/>
  <c r="D403" i="61"/>
  <c r="G403" i="61"/>
  <c r="I403" i="61"/>
  <c r="J403" i="61" s="1"/>
  <c r="B404" i="61"/>
  <c r="D404" i="61"/>
  <c r="G404" i="61"/>
  <c r="I404" i="61"/>
  <c r="B405" i="61"/>
  <c r="D405" i="61"/>
  <c r="G405" i="61"/>
  <c r="I405" i="61"/>
  <c r="J405" i="61" s="1"/>
  <c r="B406" i="61"/>
  <c r="D406" i="61"/>
  <c r="G406" i="61"/>
  <c r="I406" i="61"/>
  <c r="B407" i="61"/>
  <c r="D407" i="61"/>
  <c r="G407" i="61"/>
  <c r="I407" i="61"/>
  <c r="B408" i="61"/>
  <c r="D408" i="61"/>
  <c r="E408" i="61" s="1"/>
  <c r="G408" i="61"/>
  <c r="I408" i="61"/>
  <c r="B409" i="61"/>
  <c r="E409" i="61" s="1"/>
  <c r="D409" i="61"/>
  <c r="G409" i="61"/>
  <c r="I409" i="61"/>
  <c r="B410" i="61"/>
  <c r="D410" i="61"/>
  <c r="G410" i="61"/>
  <c r="I410" i="61"/>
  <c r="B411" i="61"/>
  <c r="D411" i="61"/>
  <c r="G411" i="61"/>
  <c r="I411" i="61"/>
  <c r="B412" i="61"/>
  <c r="D412" i="61"/>
  <c r="G412" i="61"/>
  <c r="I412" i="61"/>
  <c r="B413" i="61"/>
  <c r="D413" i="61"/>
  <c r="G413" i="61"/>
  <c r="H413" i="61" s="1"/>
  <c r="I413" i="61"/>
  <c r="J414" i="61" s="1"/>
  <c r="B414" i="61"/>
  <c r="D414" i="61"/>
  <c r="G414" i="61"/>
  <c r="I414" i="61"/>
  <c r="B415" i="61"/>
  <c r="D415" i="61"/>
  <c r="G415" i="61"/>
  <c r="I415" i="61"/>
  <c r="B416" i="61"/>
  <c r="D416" i="61"/>
  <c r="G416" i="61"/>
  <c r="I416" i="61"/>
  <c r="B417" i="61"/>
  <c r="D417" i="61"/>
  <c r="G417" i="61"/>
  <c r="I417" i="61"/>
  <c r="B418" i="61"/>
  <c r="D418" i="61"/>
  <c r="G418" i="61"/>
  <c r="I418" i="61"/>
  <c r="B419" i="61"/>
  <c r="D419" i="61"/>
  <c r="G419" i="61"/>
  <c r="I419" i="61"/>
  <c r="B420" i="61"/>
  <c r="D420" i="61"/>
  <c r="G420" i="61"/>
  <c r="I420" i="61"/>
  <c r="B421" i="61"/>
  <c r="D421" i="61"/>
  <c r="G421" i="61"/>
  <c r="I421" i="61"/>
  <c r="J422" i="61" s="1"/>
  <c r="J421" i="61"/>
  <c r="B422" i="61"/>
  <c r="C422" i="61" s="1"/>
  <c r="D422" i="61"/>
  <c r="G422" i="61"/>
  <c r="I422" i="61"/>
  <c r="B423" i="61"/>
  <c r="D423" i="61"/>
  <c r="G423" i="61"/>
  <c r="I423" i="61"/>
  <c r="J423" i="61" s="1"/>
  <c r="B424" i="61"/>
  <c r="D424" i="61"/>
  <c r="G424" i="61"/>
  <c r="I424" i="61"/>
  <c r="B425" i="61"/>
  <c r="E425" i="61" s="1"/>
  <c r="D425" i="61"/>
  <c r="G425" i="61"/>
  <c r="I425" i="61"/>
  <c r="B426" i="61"/>
  <c r="E426" i="61" s="1"/>
  <c r="D426" i="61"/>
  <c r="G426" i="61"/>
  <c r="I426" i="61"/>
  <c r="B427" i="61"/>
  <c r="D427" i="61"/>
  <c r="E427" i="61" s="1"/>
  <c r="G427" i="61"/>
  <c r="I427" i="61"/>
  <c r="J427" i="61" s="1"/>
  <c r="B428" i="61"/>
  <c r="D428" i="61"/>
  <c r="E428" i="61" s="1"/>
  <c r="G428" i="61"/>
  <c r="I428" i="61"/>
  <c r="B429" i="61"/>
  <c r="D429" i="61"/>
  <c r="G429" i="61"/>
  <c r="I429" i="61"/>
  <c r="J429" i="61" s="1"/>
  <c r="B430" i="61"/>
  <c r="D430" i="61"/>
  <c r="G430" i="61"/>
  <c r="I430" i="61"/>
  <c r="J431" i="61" s="1"/>
  <c r="B431" i="61"/>
  <c r="D431" i="61"/>
  <c r="G431" i="61"/>
  <c r="H432" i="61" s="1"/>
  <c r="H431" i="61"/>
  <c r="I431" i="61"/>
  <c r="B432" i="61"/>
  <c r="D432" i="61"/>
  <c r="G432" i="61"/>
  <c r="I432" i="61"/>
  <c r="J432" i="61" s="1"/>
  <c r="B433" i="61"/>
  <c r="D433" i="61"/>
  <c r="G433" i="61"/>
  <c r="H433" i="61" s="1"/>
  <c r="I433" i="61"/>
  <c r="B434" i="61"/>
  <c r="D434" i="61"/>
  <c r="G434" i="61"/>
  <c r="I434" i="61"/>
  <c r="B435" i="61"/>
  <c r="D435" i="61"/>
  <c r="G435" i="61"/>
  <c r="I435" i="61"/>
  <c r="B436" i="61"/>
  <c r="D436" i="61"/>
  <c r="G436" i="61"/>
  <c r="I436" i="61"/>
  <c r="B437" i="61"/>
  <c r="D437" i="61"/>
  <c r="G437" i="61"/>
  <c r="I437" i="61"/>
  <c r="B438" i="61"/>
  <c r="D438" i="61"/>
  <c r="G438" i="61"/>
  <c r="I438" i="61"/>
  <c r="J438" i="61"/>
  <c r="B439" i="61"/>
  <c r="D439" i="61"/>
  <c r="G439" i="61"/>
  <c r="I439" i="61"/>
  <c r="J439" i="61"/>
  <c r="B440" i="61"/>
  <c r="D440" i="61"/>
  <c r="G440" i="61"/>
  <c r="H440" i="61"/>
  <c r="I440" i="61"/>
  <c r="J440" i="61" s="1"/>
  <c r="B441" i="61"/>
  <c r="D441" i="61"/>
  <c r="G441" i="61"/>
  <c r="I441" i="61"/>
  <c r="B442" i="61"/>
  <c r="D442" i="61"/>
  <c r="G442" i="61"/>
  <c r="I442" i="61"/>
  <c r="B443" i="61"/>
  <c r="D443" i="61"/>
  <c r="G443" i="61"/>
  <c r="I443" i="61"/>
  <c r="B444" i="61"/>
  <c r="D444" i="61"/>
  <c r="G444" i="61"/>
  <c r="I444" i="61"/>
  <c r="B445" i="61"/>
  <c r="D445" i="61"/>
  <c r="G445" i="61"/>
  <c r="I445" i="61"/>
  <c r="B446" i="61"/>
  <c r="D446" i="61"/>
  <c r="G446" i="61"/>
  <c r="I446" i="61"/>
  <c r="B447" i="61"/>
  <c r="D447" i="61"/>
  <c r="G447" i="61"/>
  <c r="I447" i="61"/>
  <c r="B448" i="61"/>
  <c r="D448" i="61"/>
  <c r="G448" i="61"/>
  <c r="I448" i="61"/>
  <c r="B449" i="61"/>
  <c r="D449" i="61"/>
  <c r="G449" i="61"/>
  <c r="I449" i="61"/>
  <c r="B450" i="61"/>
  <c r="D450" i="61"/>
  <c r="G450" i="61"/>
  <c r="I450" i="61"/>
  <c r="B451" i="61"/>
  <c r="D451" i="61"/>
  <c r="E451" i="61" s="1"/>
  <c r="G451" i="61"/>
  <c r="I451" i="61"/>
  <c r="B452" i="61"/>
  <c r="D452" i="61"/>
  <c r="G452" i="61"/>
  <c r="I452" i="61"/>
  <c r="B453" i="61"/>
  <c r="D453" i="61"/>
  <c r="G453" i="61"/>
  <c r="I453" i="61"/>
  <c r="J454" i="61" s="1"/>
  <c r="B454" i="61"/>
  <c r="C454" i="61" s="1"/>
  <c r="D454" i="61"/>
  <c r="G454" i="61"/>
  <c r="I454" i="61"/>
  <c r="B455" i="61"/>
  <c r="E455" i="61" s="1"/>
  <c r="D455" i="61"/>
  <c r="G455" i="61"/>
  <c r="I455" i="61"/>
  <c r="J455" i="61"/>
  <c r="B456" i="61"/>
  <c r="D456" i="61"/>
  <c r="G456" i="61"/>
  <c r="I456" i="61"/>
  <c r="B457" i="61"/>
  <c r="D457" i="61"/>
  <c r="G457" i="61"/>
  <c r="H457" i="61" s="1"/>
  <c r="I457" i="61"/>
  <c r="B458" i="61"/>
  <c r="E458" i="61" s="1"/>
  <c r="D458" i="61"/>
  <c r="G458" i="61"/>
  <c r="I458" i="61"/>
  <c r="B459" i="61"/>
  <c r="D459" i="61"/>
  <c r="G459" i="61"/>
  <c r="I459" i="61"/>
  <c r="B460" i="61"/>
  <c r="E460" i="61" s="1"/>
  <c r="D460" i="61"/>
  <c r="G460" i="61"/>
  <c r="I460" i="61"/>
  <c r="B461" i="61"/>
  <c r="D461" i="61"/>
  <c r="G461" i="61"/>
  <c r="I461" i="61"/>
  <c r="J461" i="61" s="1"/>
  <c r="B462" i="61"/>
  <c r="D462" i="61"/>
  <c r="G462" i="61"/>
  <c r="I462" i="61"/>
  <c r="B463" i="61"/>
  <c r="E463" i="61" s="1"/>
  <c r="D463" i="61"/>
  <c r="G463" i="61"/>
  <c r="H463" i="61" s="1"/>
  <c r="I463" i="61"/>
  <c r="B464" i="61"/>
  <c r="D464" i="61"/>
  <c r="G464" i="61"/>
  <c r="I464" i="61"/>
  <c r="B465" i="61"/>
  <c r="E465" i="61" s="1"/>
  <c r="D465" i="61"/>
  <c r="G465" i="61"/>
  <c r="I465" i="61"/>
  <c r="B466" i="61"/>
  <c r="D466" i="61"/>
  <c r="G466" i="61"/>
  <c r="I466" i="61"/>
  <c r="B467" i="61"/>
  <c r="D467" i="61"/>
  <c r="G467" i="61"/>
  <c r="I467" i="61"/>
  <c r="B468" i="61"/>
  <c r="D468" i="61"/>
  <c r="G468" i="61"/>
  <c r="I468" i="61"/>
  <c r="B469" i="61"/>
  <c r="C469" i="61" s="1"/>
  <c r="D469" i="61"/>
  <c r="G469" i="61"/>
  <c r="I469" i="61"/>
  <c r="J469" i="61" s="1"/>
  <c r="B470" i="61"/>
  <c r="D470" i="61"/>
  <c r="G470" i="61"/>
  <c r="I470" i="61"/>
  <c r="B471" i="61"/>
  <c r="D471" i="61"/>
  <c r="G471" i="61"/>
  <c r="H471" i="61" s="1"/>
  <c r="I471" i="61"/>
  <c r="B472" i="61"/>
  <c r="D472" i="61"/>
  <c r="G472" i="61"/>
  <c r="I472" i="61"/>
  <c r="B473" i="61"/>
  <c r="D473" i="61"/>
  <c r="G473" i="61"/>
  <c r="H473" i="61" s="1"/>
  <c r="I473" i="61"/>
  <c r="B474" i="61"/>
  <c r="E474" i="61" s="1"/>
  <c r="D474" i="61"/>
  <c r="G474" i="61"/>
  <c r="I474" i="61"/>
  <c r="J474" i="61" s="1"/>
  <c r="B475" i="61"/>
  <c r="D475" i="61"/>
  <c r="G475" i="61"/>
  <c r="I475" i="61"/>
  <c r="B476" i="61"/>
  <c r="D476" i="61"/>
  <c r="G476" i="61"/>
  <c r="H476" i="61" s="1"/>
  <c r="I476" i="61"/>
  <c r="B477" i="61"/>
  <c r="D477" i="61"/>
  <c r="G477" i="61"/>
  <c r="I477" i="61"/>
  <c r="B478" i="61"/>
  <c r="D478" i="61"/>
  <c r="G478" i="61"/>
  <c r="I478" i="61"/>
  <c r="B479" i="61"/>
  <c r="D479" i="61"/>
  <c r="G479" i="61"/>
  <c r="I479" i="61"/>
  <c r="B480" i="61"/>
  <c r="D480" i="61"/>
  <c r="G480" i="61"/>
  <c r="I480" i="61"/>
  <c r="B481" i="61"/>
  <c r="D481" i="61"/>
  <c r="G481" i="61"/>
  <c r="I481" i="61"/>
  <c r="B482" i="61"/>
  <c r="D482" i="61"/>
  <c r="G482" i="61"/>
  <c r="H482" i="61" s="1"/>
  <c r="I482" i="61"/>
  <c r="B483" i="61"/>
  <c r="D483" i="61"/>
  <c r="G483" i="61"/>
  <c r="H483" i="61" s="1"/>
  <c r="I483" i="61"/>
  <c r="B484" i="61"/>
  <c r="D484" i="61"/>
  <c r="G484" i="61"/>
  <c r="I484" i="61"/>
  <c r="J484" i="61" s="1"/>
  <c r="B485" i="61"/>
  <c r="D485" i="61"/>
  <c r="G485" i="61"/>
  <c r="I485" i="61"/>
  <c r="B486" i="61"/>
  <c r="D486" i="61"/>
  <c r="G486" i="61"/>
  <c r="I486" i="61"/>
  <c r="J486" i="61" s="1"/>
  <c r="B487" i="61"/>
  <c r="D487" i="61"/>
  <c r="G487" i="61"/>
  <c r="I487" i="61"/>
  <c r="B488" i="61"/>
  <c r="D488" i="61"/>
  <c r="G488" i="61"/>
  <c r="I488" i="61"/>
  <c r="J488" i="61" s="1"/>
  <c r="B489" i="61"/>
  <c r="D489" i="61"/>
  <c r="G489" i="61"/>
  <c r="I489" i="61"/>
  <c r="J489" i="61" s="1"/>
  <c r="B490" i="61"/>
  <c r="D490" i="61"/>
  <c r="G490" i="61"/>
  <c r="H490" i="61"/>
  <c r="I490" i="61"/>
  <c r="J490" i="61" s="1"/>
  <c r="B491" i="61"/>
  <c r="D491" i="61"/>
  <c r="G491" i="61"/>
  <c r="I491" i="61"/>
  <c r="B492" i="61"/>
  <c r="D492" i="61"/>
  <c r="G492" i="61"/>
  <c r="H492" i="61"/>
  <c r="I492" i="61"/>
  <c r="B493" i="61"/>
  <c r="D493" i="61"/>
  <c r="G493" i="61"/>
  <c r="I493" i="61"/>
  <c r="J493" i="61" s="1"/>
  <c r="B494" i="61"/>
  <c r="D494" i="61"/>
  <c r="G494" i="61"/>
  <c r="H494" i="61" s="1"/>
  <c r="I494" i="61"/>
  <c r="B495" i="61"/>
  <c r="E495" i="61" s="1"/>
  <c r="D495" i="61"/>
  <c r="G495" i="61"/>
  <c r="I495" i="61"/>
  <c r="J495" i="61" s="1"/>
  <c r="B496" i="61"/>
  <c r="D496" i="61"/>
  <c r="G496" i="61"/>
  <c r="I496" i="61"/>
  <c r="B497" i="61"/>
  <c r="E497" i="61" s="1"/>
  <c r="D497" i="61"/>
  <c r="G497" i="61"/>
  <c r="I497" i="61"/>
  <c r="B498" i="61"/>
  <c r="D498" i="61"/>
  <c r="G498" i="61"/>
  <c r="I498" i="61"/>
  <c r="B499" i="61"/>
  <c r="D499" i="61"/>
  <c r="G499" i="61"/>
  <c r="I499" i="61"/>
  <c r="J499" i="61" s="1"/>
  <c r="B500" i="61"/>
  <c r="D500" i="61"/>
  <c r="G500" i="61"/>
  <c r="I500" i="61"/>
  <c r="B501" i="61"/>
  <c r="E501" i="61" s="1"/>
  <c r="D501" i="61"/>
  <c r="G501" i="61"/>
  <c r="I501" i="61"/>
  <c r="J501" i="61" s="1"/>
  <c r="B502" i="61"/>
  <c r="D502" i="61"/>
  <c r="G502" i="61"/>
  <c r="I502" i="61"/>
  <c r="B503" i="61"/>
  <c r="D503" i="61"/>
  <c r="G503" i="61"/>
  <c r="I503" i="61"/>
  <c r="J503" i="61" s="1"/>
  <c r="B504" i="61"/>
  <c r="D504" i="61"/>
  <c r="G504" i="61"/>
  <c r="I504" i="61"/>
  <c r="B505" i="61"/>
  <c r="D505" i="61"/>
  <c r="G505" i="61"/>
  <c r="I505" i="61"/>
  <c r="J506" i="61" s="1"/>
  <c r="B506" i="61"/>
  <c r="D506" i="61"/>
  <c r="G506" i="61"/>
  <c r="I506" i="61"/>
  <c r="B507" i="61"/>
  <c r="D507" i="61"/>
  <c r="G507" i="61"/>
  <c r="I507" i="61"/>
  <c r="J507" i="61" s="1"/>
  <c r="B508" i="61"/>
  <c r="D508" i="61"/>
  <c r="G508" i="61"/>
  <c r="I508" i="61"/>
  <c r="J509" i="61" s="1"/>
  <c r="B509" i="61"/>
  <c r="D509" i="61"/>
  <c r="G509" i="61"/>
  <c r="I509" i="61"/>
  <c r="B510" i="61"/>
  <c r="D510" i="61"/>
  <c r="G510" i="61"/>
  <c r="I510" i="61"/>
  <c r="J510" i="61" s="1"/>
  <c r="B511" i="61"/>
  <c r="D511" i="61"/>
  <c r="G511" i="61"/>
  <c r="I511" i="61"/>
  <c r="B512" i="61"/>
  <c r="D512" i="61"/>
  <c r="G512" i="61"/>
  <c r="I512" i="61"/>
  <c r="J512" i="61" s="1"/>
  <c r="B513" i="61"/>
  <c r="D513" i="61"/>
  <c r="G513" i="61"/>
  <c r="H513" i="61" s="1"/>
  <c r="I513" i="61"/>
  <c r="B514" i="61"/>
  <c r="D514" i="61"/>
  <c r="G514" i="61"/>
  <c r="I514" i="61"/>
  <c r="B515" i="61"/>
  <c r="D515" i="61"/>
  <c r="G515" i="61"/>
  <c r="I515" i="61"/>
  <c r="J516" i="61" s="1"/>
  <c r="B516" i="61"/>
  <c r="D516" i="61"/>
  <c r="G516" i="61"/>
  <c r="I516" i="61"/>
  <c r="B517" i="61"/>
  <c r="D517" i="61"/>
  <c r="G517" i="61"/>
  <c r="I517" i="61"/>
  <c r="J517" i="61" s="1"/>
  <c r="B518" i="61"/>
  <c r="C518" i="61" s="1"/>
  <c r="D518" i="61"/>
  <c r="G518" i="61"/>
  <c r="I518" i="61"/>
  <c r="B519" i="61"/>
  <c r="D519" i="61"/>
  <c r="G519" i="61"/>
  <c r="I519" i="61"/>
  <c r="J519" i="61"/>
  <c r="B520" i="61"/>
  <c r="D520" i="61"/>
  <c r="G520" i="61"/>
  <c r="I520" i="61"/>
  <c r="B521" i="61"/>
  <c r="D521" i="61"/>
  <c r="G521" i="61"/>
  <c r="I521" i="61"/>
  <c r="J521" i="61" s="1"/>
  <c r="B522" i="61"/>
  <c r="E522" i="61" s="1"/>
  <c r="D522" i="61"/>
  <c r="G522" i="61"/>
  <c r="I522" i="61"/>
  <c r="B523" i="61"/>
  <c r="D523" i="61"/>
  <c r="G523" i="61"/>
  <c r="I523" i="61"/>
  <c r="B524" i="61"/>
  <c r="D524" i="61"/>
  <c r="G524" i="61"/>
  <c r="H524" i="61" s="1"/>
  <c r="I524" i="61"/>
  <c r="B525" i="61"/>
  <c r="D525" i="61"/>
  <c r="G525" i="61"/>
  <c r="I525" i="61"/>
  <c r="B526" i="61"/>
  <c r="D526" i="61"/>
  <c r="G526" i="61"/>
  <c r="I526" i="61"/>
  <c r="B527" i="61"/>
  <c r="D527" i="61"/>
  <c r="G527" i="61"/>
  <c r="I527" i="61"/>
  <c r="J527" i="61" s="1"/>
  <c r="B528" i="61"/>
  <c r="D528" i="61"/>
  <c r="G528" i="61"/>
  <c r="I528" i="61"/>
  <c r="J528" i="61" s="1"/>
  <c r="B529" i="61"/>
  <c r="D529" i="61"/>
  <c r="G529" i="61"/>
  <c r="H529" i="61" s="1"/>
  <c r="I529" i="61"/>
  <c r="J529" i="61"/>
  <c r="B530" i="61"/>
  <c r="D530" i="61"/>
  <c r="G530" i="61"/>
  <c r="I530" i="61"/>
  <c r="J530" i="61" s="1"/>
  <c r="B531" i="61"/>
  <c r="D531" i="61"/>
  <c r="G531" i="61"/>
  <c r="I531" i="61"/>
  <c r="B532" i="61"/>
  <c r="D532" i="61"/>
  <c r="G532" i="61"/>
  <c r="I532" i="61"/>
  <c r="B533" i="61"/>
  <c r="D533" i="61"/>
  <c r="G533" i="61"/>
  <c r="I533" i="61"/>
  <c r="B534" i="61"/>
  <c r="D534" i="61"/>
  <c r="G534" i="61"/>
  <c r="H534" i="61"/>
  <c r="I534" i="61"/>
  <c r="B535" i="61"/>
  <c r="D535" i="61"/>
  <c r="G535" i="61"/>
  <c r="I535" i="61"/>
  <c r="B536" i="61"/>
  <c r="D536" i="61"/>
  <c r="G536" i="61"/>
  <c r="H536" i="61"/>
  <c r="I536" i="61"/>
  <c r="B537" i="61"/>
  <c r="C537" i="61" s="1"/>
  <c r="D537" i="61"/>
  <c r="G537" i="61"/>
  <c r="I537" i="61"/>
  <c r="B538" i="61"/>
  <c r="D538" i="61"/>
  <c r="G538" i="61"/>
  <c r="I538" i="61"/>
  <c r="J538" i="61" s="1"/>
  <c r="B539" i="61"/>
  <c r="D539" i="61"/>
  <c r="G539" i="61"/>
  <c r="I539" i="61"/>
  <c r="B540" i="61"/>
  <c r="C540" i="61" s="1"/>
  <c r="D540" i="61"/>
  <c r="E540" i="61"/>
  <c r="G540" i="61"/>
  <c r="I540" i="61"/>
  <c r="J540" i="61" s="1"/>
  <c r="B541" i="61"/>
  <c r="C541" i="61" s="1"/>
  <c r="D541" i="61"/>
  <c r="G541" i="61"/>
  <c r="I541" i="61"/>
  <c r="B542" i="61"/>
  <c r="D542" i="61"/>
  <c r="G542" i="61"/>
  <c r="I542" i="61"/>
  <c r="B543" i="61"/>
  <c r="E543" i="61" s="1"/>
  <c r="D543" i="61"/>
  <c r="G543" i="61"/>
  <c r="I543" i="61"/>
  <c r="J543" i="61"/>
  <c r="B544" i="61"/>
  <c r="C544" i="61" s="1"/>
  <c r="D544" i="61"/>
  <c r="G544" i="61"/>
  <c r="I544" i="61"/>
  <c r="J544" i="61" s="1"/>
  <c r="B545" i="61"/>
  <c r="D545" i="61"/>
  <c r="G545" i="61"/>
  <c r="I545" i="61"/>
  <c r="B546" i="61"/>
  <c r="D546" i="61"/>
  <c r="G546" i="61"/>
  <c r="I546" i="61"/>
  <c r="B547" i="61"/>
  <c r="D547" i="61"/>
  <c r="G547" i="61"/>
  <c r="I547" i="61"/>
  <c r="J547" i="61" s="1"/>
  <c r="B548" i="61"/>
  <c r="D548" i="61"/>
  <c r="G548" i="61"/>
  <c r="I548" i="61"/>
  <c r="B549" i="61"/>
  <c r="E549" i="61" s="1"/>
  <c r="D549" i="61"/>
  <c r="G549" i="61"/>
  <c r="I549" i="61"/>
  <c r="B550" i="61"/>
  <c r="D550" i="61"/>
  <c r="G550" i="61"/>
  <c r="I550" i="61"/>
  <c r="B551" i="61"/>
  <c r="D551" i="61"/>
  <c r="G551" i="61"/>
  <c r="I551" i="61"/>
  <c r="B552" i="61"/>
  <c r="D552" i="61"/>
  <c r="G552" i="61"/>
  <c r="I552" i="61"/>
  <c r="J552" i="61" s="1"/>
  <c r="B553" i="61"/>
  <c r="D553" i="61"/>
  <c r="G553" i="61"/>
  <c r="I553" i="61"/>
  <c r="B554" i="61"/>
  <c r="C554" i="61" s="1"/>
  <c r="D554" i="61"/>
  <c r="G554" i="61"/>
  <c r="I554" i="61"/>
  <c r="B555" i="61"/>
  <c r="D555" i="61"/>
  <c r="G555" i="61"/>
  <c r="I555" i="61"/>
  <c r="B556" i="61"/>
  <c r="D556" i="61"/>
  <c r="G556" i="61"/>
  <c r="I556" i="61"/>
  <c r="B557" i="61"/>
  <c r="D557" i="61"/>
  <c r="G557" i="61"/>
  <c r="I557" i="61"/>
  <c r="B558" i="61"/>
  <c r="C559" i="61" s="1"/>
  <c r="D558" i="61"/>
  <c r="G558" i="61"/>
  <c r="I558" i="61"/>
  <c r="B559" i="61"/>
  <c r="D559" i="61"/>
  <c r="E559" i="61" s="1"/>
  <c r="G559" i="61"/>
  <c r="I559" i="61"/>
  <c r="B560" i="61"/>
  <c r="E560" i="61" s="1"/>
  <c r="D560" i="61"/>
  <c r="G560" i="61"/>
  <c r="I560" i="61"/>
  <c r="B561" i="61"/>
  <c r="D561" i="61"/>
  <c r="G561" i="61"/>
  <c r="I561" i="61"/>
  <c r="B562" i="61"/>
  <c r="C563" i="61" s="1"/>
  <c r="D562" i="61"/>
  <c r="G562" i="61"/>
  <c r="I562" i="61"/>
  <c r="B563" i="61"/>
  <c r="D563" i="61"/>
  <c r="G563" i="61"/>
  <c r="I563" i="61"/>
  <c r="J563" i="61"/>
  <c r="B564" i="61"/>
  <c r="D564" i="61"/>
  <c r="G564" i="61"/>
  <c r="I564" i="61"/>
  <c r="B565" i="61"/>
  <c r="D565" i="61"/>
  <c r="G565" i="61"/>
  <c r="H565" i="61"/>
  <c r="I565" i="61"/>
  <c r="B566" i="61"/>
  <c r="D566" i="61"/>
  <c r="G566" i="61"/>
  <c r="I566" i="61"/>
  <c r="B567" i="61"/>
  <c r="D567" i="61"/>
  <c r="G567" i="61"/>
  <c r="I567" i="61"/>
  <c r="B568" i="61"/>
  <c r="E568" i="61" s="1"/>
  <c r="D568" i="61"/>
  <c r="G568" i="61"/>
  <c r="I568" i="61"/>
  <c r="B569" i="61"/>
  <c r="D569" i="61"/>
  <c r="G569" i="61"/>
  <c r="I569" i="61"/>
  <c r="B570" i="61"/>
  <c r="D570" i="61"/>
  <c r="G570" i="61"/>
  <c r="I570" i="61"/>
  <c r="B571" i="61"/>
  <c r="C571" i="61"/>
  <c r="D571" i="61"/>
  <c r="G571" i="61"/>
  <c r="I571" i="61"/>
  <c r="J571" i="61" s="1"/>
  <c r="B572" i="61"/>
  <c r="D572" i="61"/>
  <c r="G572" i="61"/>
  <c r="I572" i="61"/>
  <c r="J572" i="61"/>
  <c r="B573" i="61"/>
  <c r="D573" i="61"/>
  <c r="G573" i="61"/>
  <c r="H573" i="61" s="1"/>
  <c r="I573" i="61"/>
  <c r="B574" i="61"/>
  <c r="D574" i="61"/>
  <c r="G574" i="61"/>
  <c r="I574" i="61"/>
  <c r="B575" i="61"/>
  <c r="D575" i="61"/>
  <c r="G575" i="61"/>
  <c r="I575" i="61"/>
  <c r="B576" i="61"/>
  <c r="D576" i="61"/>
  <c r="G576" i="61"/>
  <c r="I576" i="61"/>
  <c r="J576" i="61" s="1"/>
  <c r="B577" i="61"/>
  <c r="D577" i="61"/>
  <c r="G577" i="61"/>
  <c r="I577" i="61"/>
  <c r="B578" i="61"/>
  <c r="D578" i="61"/>
  <c r="G578" i="61"/>
  <c r="H578" i="61" s="1"/>
  <c r="I578" i="61"/>
  <c r="J579" i="61" s="1"/>
  <c r="B579" i="61"/>
  <c r="D579" i="61"/>
  <c r="G579" i="61"/>
  <c r="I579" i="61"/>
  <c r="B580" i="61"/>
  <c r="D580" i="61"/>
  <c r="G580" i="61"/>
  <c r="I580" i="61"/>
  <c r="J580" i="61" s="1"/>
  <c r="B581" i="61"/>
  <c r="D581" i="61"/>
  <c r="G581" i="61"/>
  <c r="I581" i="61"/>
  <c r="B582" i="61"/>
  <c r="D582" i="61"/>
  <c r="G582" i="61"/>
  <c r="I582" i="61"/>
  <c r="B583" i="61"/>
  <c r="E583" i="61" s="1"/>
  <c r="D583" i="61"/>
  <c r="G583" i="61"/>
  <c r="I583" i="61"/>
  <c r="J584" i="61" s="1"/>
  <c r="B584" i="61"/>
  <c r="D584" i="61"/>
  <c r="G584" i="61"/>
  <c r="H584" i="61" s="1"/>
  <c r="I584" i="61"/>
  <c r="B585" i="61"/>
  <c r="D585" i="61"/>
  <c r="G585" i="61"/>
  <c r="I585" i="61"/>
  <c r="B586" i="61"/>
  <c r="C587" i="61" s="1"/>
  <c r="D586" i="61"/>
  <c r="G586" i="61"/>
  <c r="I586" i="61"/>
  <c r="B587" i="61"/>
  <c r="D587" i="61"/>
  <c r="G587" i="61"/>
  <c r="I587" i="61"/>
  <c r="J587" i="61" s="1"/>
  <c r="B588" i="61"/>
  <c r="D588" i="61"/>
  <c r="G588" i="61"/>
  <c r="I588" i="61"/>
  <c r="B589" i="61"/>
  <c r="E589" i="61" s="1"/>
  <c r="D589" i="61"/>
  <c r="G589" i="61"/>
  <c r="I589" i="61"/>
  <c r="B590" i="61"/>
  <c r="D590" i="61"/>
  <c r="G590" i="61"/>
  <c r="I590" i="61"/>
  <c r="B591" i="61"/>
  <c r="E591" i="61" s="1"/>
  <c r="D591" i="61"/>
  <c r="G591" i="61"/>
  <c r="I591" i="61"/>
  <c r="B592" i="61"/>
  <c r="D592" i="61"/>
  <c r="G592" i="61"/>
  <c r="I592" i="61"/>
  <c r="J592" i="61"/>
  <c r="B593" i="61"/>
  <c r="D593" i="61"/>
  <c r="G593" i="61"/>
  <c r="I593" i="61"/>
  <c r="B594" i="61"/>
  <c r="D594" i="61"/>
  <c r="G594" i="61"/>
  <c r="I594" i="61"/>
  <c r="B595" i="61"/>
  <c r="D595" i="61"/>
  <c r="G595" i="61"/>
  <c r="I595" i="61"/>
  <c r="B596" i="61"/>
  <c r="D596" i="61"/>
  <c r="G596" i="61"/>
  <c r="I596" i="61"/>
  <c r="B597" i="61"/>
  <c r="D597" i="61"/>
  <c r="G597" i="61"/>
  <c r="H597" i="61" s="1"/>
  <c r="I597" i="61"/>
  <c r="B598" i="61"/>
  <c r="D598" i="61"/>
  <c r="E598" i="61" s="1"/>
  <c r="G598" i="61"/>
  <c r="I598" i="61"/>
  <c r="B599" i="61"/>
  <c r="D599" i="61"/>
  <c r="G599" i="61"/>
  <c r="H599" i="61" s="1"/>
  <c r="I599" i="61"/>
  <c r="B600" i="61"/>
  <c r="D600" i="61"/>
  <c r="G600" i="61"/>
  <c r="I600" i="61"/>
  <c r="B601" i="61"/>
  <c r="D601" i="61"/>
  <c r="G601" i="61"/>
  <c r="I601" i="61"/>
  <c r="B602" i="61"/>
  <c r="D602" i="61"/>
  <c r="G602" i="61"/>
  <c r="I602" i="61"/>
  <c r="B603" i="61"/>
  <c r="E603" i="61" s="1"/>
  <c r="D603" i="61"/>
  <c r="G603" i="61"/>
  <c r="I603" i="61"/>
  <c r="J604" i="61" s="1"/>
  <c r="J603" i="61"/>
  <c r="B604" i="61"/>
  <c r="D604" i="61"/>
  <c r="G604" i="61"/>
  <c r="I604" i="61"/>
  <c r="B605" i="61"/>
  <c r="D605" i="61"/>
  <c r="G605" i="61"/>
  <c r="H605" i="61" s="1"/>
  <c r="I605" i="61"/>
  <c r="B606" i="61"/>
  <c r="C607" i="61" s="1"/>
  <c r="D606" i="61"/>
  <c r="G606" i="61"/>
  <c r="I606" i="61"/>
  <c r="B607" i="61"/>
  <c r="D607" i="61"/>
  <c r="E607" i="61" s="1"/>
  <c r="G607" i="61"/>
  <c r="H607" i="61" s="1"/>
  <c r="I607" i="61"/>
  <c r="B608" i="61"/>
  <c r="E608" i="61" s="1"/>
  <c r="D608" i="61"/>
  <c r="G608" i="61"/>
  <c r="I608" i="61"/>
  <c r="B609" i="61"/>
  <c r="D609" i="61"/>
  <c r="G609" i="61"/>
  <c r="I609" i="61"/>
  <c r="B610" i="61"/>
  <c r="E610" i="61" s="1"/>
  <c r="D610" i="61"/>
  <c r="G610" i="61"/>
  <c r="H610" i="61" s="1"/>
  <c r="I610" i="61"/>
  <c r="B611" i="61"/>
  <c r="D611" i="61"/>
  <c r="G611" i="61"/>
  <c r="I611" i="61"/>
  <c r="B612" i="61"/>
  <c r="D612" i="61"/>
  <c r="G612" i="61"/>
  <c r="I612" i="61"/>
  <c r="B613" i="61"/>
  <c r="D613" i="61"/>
  <c r="G613" i="61"/>
  <c r="I613" i="61"/>
  <c r="B614" i="61"/>
  <c r="D614" i="61"/>
  <c r="G614" i="61"/>
  <c r="I614" i="61"/>
  <c r="B615" i="61"/>
  <c r="D615" i="61"/>
  <c r="G615" i="61"/>
  <c r="I615" i="61"/>
  <c r="B616" i="61"/>
  <c r="E616" i="61" s="1"/>
  <c r="D616" i="61"/>
  <c r="G616" i="61"/>
  <c r="I616" i="61"/>
  <c r="J616" i="61" s="1"/>
  <c r="B617" i="61"/>
  <c r="D617" i="61"/>
  <c r="G617" i="61"/>
  <c r="H618" i="61" s="1"/>
  <c r="I617" i="61"/>
  <c r="B618" i="61"/>
  <c r="D618" i="61"/>
  <c r="G618" i="61"/>
  <c r="I618" i="61"/>
  <c r="B619" i="61"/>
  <c r="C619" i="61"/>
  <c r="D619" i="61"/>
  <c r="G619" i="61"/>
  <c r="I619" i="61"/>
  <c r="J619" i="61" s="1"/>
  <c r="B620" i="61"/>
  <c r="D620" i="61"/>
  <c r="G620" i="61"/>
  <c r="I620" i="61"/>
  <c r="J620" i="61"/>
  <c r="B621" i="61"/>
  <c r="D621" i="61"/>
  <c r="G621" i="61"/>
  <c r="I621" i="61"/>
  <c r="B622" i="61"/>
  <c r="D622" i="61"/>
  <c r="G622" i="61"/>
  <c r="I622" i="61"/>
  <c r="B623" i="61"/>
  <c r="D623" i="61"/>
  <c r="G623" i="61"/>
  <c r="I623" i="61"/>
  <c r="B624" i="61"/>
  <c r="D624" i="61"/>
  <c r="G624" i="61"/>
  <c r="I624" i="61"/>
  <c r="J624" i="61" s="1"/>
  <c r="B625" i="61"/>
  <c r="D625" i="61"/>
  <c r="G625" i="61"/>
  <c r="I625" i="61"/>
  <c r="B626" i="61"/>
  <c r="D626" i="61"/>
  <c r="G626" i="61"/>
  <c r="H626" i="61" s="1"/>
  <c r="I626" i="61"/>
  <c r="B627" i="61"/>
  <c r="D627" i="61"/>
  <c r="G627" i="61"/>
  <c r="I627" i="61"/>
  <c r="B628" i="61"/>
  <c r="D628" i="61"/>
  <c r="G628" i="61"/>
  <c r="H629" i="61" s="1"/>
  <c r="I628" i="61"/>
  <c r="J628" i="61" s="1"/>
  <c r="B629" i="61"/>
  <c r="D629" i="61"/>
  <c r="G629" i="61"/>
  <c r="I629" i="61"/>
  <c r="B630" i="61"/>
  <c r="D630" i="61"/>
  <c r="G630" i="61"/>
  <c r="H630" i="61" s="1"/>
  <c r="I630" i="61"/>
  <c r="B631" i="61"/>
  <c r="E631" i="61" s="1"/>
  <c r="D631" i="61"/>
  <c r="G631" i="61"/>
  <c r="I631" i="61"/>
  <c r="B632" i="61"/>
  <c r="E632" i="61" s="1"/>
  <c r="D632" i="61"/>
  <c r="G632" i="61"/>
  <c r="I632" i="61"/>
  <c r="B633" i="61"/>
  <c r="E633" i="61" s="1"/>
  <c r="D633" i="61"/>
  <c r="G633" i="61"/>
  <c r="I633" i="61"/>
  <c r="B634" i="61"/>
  <c r="D634" i="61"/>
  <c r="G634" i="61"/>
  <c r="H634" i="61"/>
  <c r="I634" i="61"/>
  <c r="B635" i="61"/>
  <c r="D635" i="61"/>
  <c r="G635" i="61"/>
  <c r="I635" i="61"/>
  <c r="J636" i="61" s="1"/>
  <c r="B636" i="61"/>
  <c r="D636" i="61"/>
  <c r="G636" i="61"/>
  <c r="I636" i="61"/>
  <c r="B637" i="61"/>
  <c r="D637" i="61"/>
  <c r="G637" i="61"/>
  <c r="I637" i="61"/>
  <c r="B638" i="61"/>
  <c r="D638" i="61"/>
  <c r="G638" i="61"/>
  <c r="I638" i="61"/>
  <c r="B639" i="61"/>
  <c r="C639" i="61" s="1"/>
  <c r="D639" i="61"/>
  <c r="G639" i="61"/>
  <c r="H639" i="61" s="1"/>
  <c r="I639" i="61"/>
  <c r="B640" i="61"/>
  <c r="D640" i="61"/>
  <c r="G640" i="61"/>
  <c r="I640" i="61"/>
  <c r="J640" i="61" s="1"/>
  <c r="B641" i="61"/>
  <c r="D641" i="61"/>
  <c r="G641" i="61"/>
  <c r="I641" i="61"/>
  <c r="B642" i="61"/>
  <c r="D642" i="61"/>
  <c r="G642" i="61"/>
  <c r="I642" i="61"/>
  <c r="J642" i="61"/>
  <c r="B643" i="61"/>
  <c r="D643" i="61"/>
  <c r="G643" i="61"/>
  <c r="I643" i="61"/>
  <c r="J643" i="61" s="1"/>
  <c r="B644" i="61"/>
  <c r="D644" i="61"/>
  <c r="G644" i="61"/>
  <c r="I644" i="61"/>
  <c r="B645" i="61"/>
  <c r="D645" i="61"/>
  <c r="G645" i="61"/>
  <c r="I645" i="61"/>
  <c r="B646" i="61"/>
  <c r="D646" i="61"/>
  <c r="G646" i="61"/>
  <c r="I646" i="61"/>
  <c r="B647" i="61"/>
  <c r="C647" i="61" s="1"/>
  <c r="D647" i="61"/>
  <c r="G647" i="61"/>
  <c r="I647" i="61"/>
  <c r="B648" i="61"/>
  <c r="D648" i="61"/>
  <c r="G648" i="61"/>
  <c r="I648" i="61"/>
  <c r="J648" i="61"/>
  <c r="B649" i="61"/>
  <c r="E649" i="61" s="1"/>
  <c r="D649" i="61"/>
  <c r="G649" i="61"/>
  <c r="I649" i="61"/>
  <c r="B650" i="61"/>
  <c r="D650" i="61"/>
  <c r="G650" i="61"/>
  <c r="H650" i="61" s="1"/>
  <c r="I650" i="61"/>
  <c r="J650" i="61" s="1"/>
  <c r="B651" i="61"/>
  <c r="D651" i="61"/>
  <c r="G651" i="61"/>
  <c r="I651" i="61"/>
  <c r="B652" i="61"/>
  <c r="D652" i="61"/>
  <c r="G652" i="61"/>
  <c r="H652" i="61" s="1"/>
  <c r="I652" i="61"/>
  <c r="B653" i="61"/>
  <c r="D653" i="61"/>
  <c r="G653" i="61"/>
  <c r="I653" i="61"/>
  <c r="J653" i="61" s="1"/>
  <c r="B654" i="61"/>
  <c r="D654" i="61"/>
  <c r="G654" i="61"/>
  <c r="I654" i="61"/>
  <c r="B655" i="61"/>
  <c r="D655" i="61"/>
  <c r="G655" i="61"/>
  <c r="I655" i="61"/>
  <c r="B656" i="61"/>
  <c r="D656" i="61"/>
  <c r="G656" i="61"/>
  <c r="H656" i="61" s="1"/>
  <c r="I656" i="61"/>
  <c r="B657" i="61"/>
  <c r="D657" i="61"/>
  <c r="G657" i="61"/>
  <c r="I657" i="61"/>
  <c r="J657" i="61" s="1"/>
  <c r="B658" i="61"/>
  <c r="C658" i="61" s="1"/>
  <c r="D658" i="61"/>
  <c r="G658" i="61"/>
  <c r="I658" i="61"/>
  <c r="B659" i="61"/>
  <c r="D659" i="61"/>
  <c r="G659" i="61"/>
  <c r="I659" i="61"/>
  <c r="J659" i="61" s="1"/>
  <c r="B660" i="61"/>
  <c r="D660" i="61"/>
  <c r="G660" i="61"/>
  <c r="H660" i="61" s="1"/>
  <c r="I660" i="61"/>
  <c r="B661" i="61"/>
  <c r="D661" i="61"/>
  <c r="G661" i="61"/>
  <c r="I661" i="61"/>
  <c r="B662" i="61"/>
  <c r="D662" i="61"/>
  <c r="G662" i="61"/>
  <c r="I662" i="61"/>
  <c r="J662" i="61"/>
  <c r="B663" i="61"/>
  <c r="D663" i="61"/>
  <c r="G663" i="61"/>
  <c r="I663" i="61"/>
  <c r="J663" i="61"/>
  <c r="B664" i="61"/>
  <c r="D664" i="61"/>
  <c r="G664" i="61"/>
  <c r="I664" i="61"/>
  <c r="B665" i="61"/>
  <c r="D665" i="61"/>
  <c r="G665" i="61"/>
  <c r="I665" i="61"/>
  <c r="B666" i="61"/>
  <c r="D666" i="61"/>
  <c r="G666" i="61"/>
  <c r="I666" i="61"/>
  <c r="B667" i="61"/>
  <c r="D667" i="61"/>
  <c r="G667" i="61"/>
  <c r="H668" i="61" s="1"/>
  <c r="I667" i="61"/>
  <c r="B668" i="61"/>
  <c r="D668" i="61"/>
  <c r="G668" i="61"/>
  <c r="I668" i="61"/>
  <c r="B669" i="61"/>
  <c r="D669" i="61"/>
  <c r="G669" i="61"/>
  <c r="H669" i="61" s="1"/>
  <c r="I669" i="61"/>
  <c r="B670" i="61"/>
  <c r="E670" i="61" s="1"/>
  <c r="D670" i="61"/>
  <c r="G670" i="61"/>
  <c r="I670" i="61"/>
  <c r="B671" i="61"/>
  <c r="D671" i="61"/>
  <c r="G671" i="61"/>
  <c r="I671" i="61"/>
  <c r="J671" i="61" s="1"/>
  <c r="B672" i="61"/>
  <c r="C673" i="61" s="1"/>
  <c r="D672" i="61"/>
  <c r="G672" i="61"/>
  <c r="I672" i="61"/>
  <c r="B673" i="61"/>
  <c r="D673" i="61"/>
  <c r="E673" i="61" s="1"/>
  <c r="G673" i="61"/>
  <c r="I673" i="61"/>
  <c r="J674" i="61" s="1"/>
  <c r="B674" i="61"/>
  <c r="D674" i="61"/>
  <c r="G674" i="61"/>
  <c r="I674" i="61"/>
  <c r="B675" i="61"/>
  <c r="D675" i="61"/>
  <c r="G675" i="61"/>
  <c r="H676" i="61" s="1"/>
  <c r="I675" i="61"/>
  <c r="J675" i="61" s="1"/>
  <c r="B676" i="61"/>
  <c r="E676" i="61" s="1"/>
  <c r="D676" i="61"/>
  <c r="G676" i="61"/>
  <c r="I676" i="61"/>
  <c r="B677" i="61"/>
  <c r="D677" i="61"/>
  <c r="G677" i="61"/>
  <c r="I677" i="61"/>
  <c r="B678" i="61"/>
  <c r="E678" i="61" s="1"/>
  <c r="D678" i="61"/>
  <c r="G678" i="61"/>
  <c r="I678" i="61"/>
  <c r="B679" i="61"/>
  <c r="D679" i="61"/>
  <c r="G679" i="61"/>
  <c r="I679" i="61"/>
  <c r="J679" i="61" s="1"/>
  <c r="B680" i="61"/>
  <c r="D680" i="61"/>
  <c r="G680" i="61"/>
  <c r="I680" i="61"/>
  <c r="B681" i="61"/>
  <c r="D681" i="61"/>
  <c r="G681" i="61"/>
  <c r="H681" i="61" s="1"/>
  <c r="I681" i="61"/>
  <c r="B682" i="61"/>
  <c r="C682" i="61" s="1"/>
  <c r="D682" i="61"/>
  <c r="G682" i="61"/>
  <c r="I682" i="61"/>
  <c r="J682" i="61" s="1"/>
  <c r="B683" i="61"/>
  <c r="D683" i="61"/>
  <c r="G683" i="61"/>
  <c r="I683" i="61"/>
  <c r="B684" i="61"/>
  <c r="D684" i="61"/>
  <c r="G684" i="61"/>
  <c r="H684" i="61"/>
  <c r="I684" i="61"/>
  <c r="B685" i="61"/>
  <c r="C685" i="61" s="1"/>
  <c r="D685" i="61"/>
  <c r="G685" i="61"/>
  <c r="I685" i="61"/>
  <c r="B686" i="61"/>
  <c r="D686" i="61"/>
  <c r="G686" i="61"/>
  <c r="I686" i="61"/>
  <c r="B687" i="61"/>
  <c r="D687" i="61"/>
  <c r="G687" i="61"/>
  <c r="I687" i="61"/>
  <c r="B688" i="61"/>
  <c r="D688" i="61"/>
  <c r="G688" i="61"/>
  <c r="H688" i="61" s="1"/>
  <c r="I688" i="61"/>
  <c r="B689" i="61"/>
  <c r="C690" i="61" s="1"/>
  <c r="D689" i="61"/>
  <c r="G689" i="61"/>
  <c r="I689" i="61"/>
  <c r="B690" i="61"/>
  <c r="D690" i="61"/>
  <c r="G690" i="61"/>
  <c r="I690" i="61"/>
  <c r="J691" i="61" s="1"/>
  <c r="J690" i="61"/>
  <c r="B691" i="61"/>
  <c r="D691" i="61"/>
  <c r="G691" i="61"/>
  <c r="I691" i="61"/>
  <c r="B692" i="61"/>
  <c r="D692" i="61"/>
  <c r="G692" i="61"/>
  <c r="I692" i="61"/>
  <c r="B693" i="61"/>
  <c r="D693" i="61"/>
  <c r="G693" i="61"/>
  <c r="I693" i="61"/>
  <c r="B694" i="61"/>
  <c r="D694" i="61"/>
  <c r="G694" i="61"/>
  <c r="I694" i="61"/>
  <c r="J694" i="61"/>
  <c r="B695" i="61"/>
  <c r="D695" i="61"/>
  <c r="G695" i="61"/>
  <c r="I695" i="61"/>
  <c r="B696" i="61"/>
  <c r="D696" i="61"/>
  <c r="G696" i="61"/>
  <c r="H696" i="61"/>
  <c r="I696" i="61"/>
  <c r="B697" i="61"/>
  <c r="D697" i="61"/>
  <c r="E697" i="61" s="1"/>
  <c r="G697" i="61"/>
  <c r="H697" i="61" s="1"/>
  <c r="I697" i="61"/>
  <c r="B698" i="61"/>
  <c r="C698" i="61" s="1"/>
  <c r="D698" i="61"/>
  <c r="G698" i="61"/>
  <c r="I698" i="61"/>
  <c r="B699" i="61"/>
  <c r="D699" i="61"/>
  <c r="G699" i="61"/>
  <c r="I699" i="61"/>
  <c r="J699" i="61"/>
  <c r="B700" i="61"/>
  <c r="D700" i="61"/>
  <c r="G700" i="61"/>
  <c r="I700" i="61"/>
  <c r="B701" i="61"/>
  <c r="D701" i="61"/>
  <c r="G701" i="61"/>
  <c r="H701" i="61" s="1"/>
  <c r="I701" i="61"/>
  <c r="J702" i="61" s="1"/>
  <c r="B702" i="61"/>
  <c r="D702" i="61"/>
  <c r="G702" i="61"/>
  <c r="I702" i="61"/>
  <c r="B703" i="61"/>
  <c r="D703" i="61"/>
  <c r="G703" i="61"/>
  <c r="I703" i="61"/>
  <c r="J703" i="61" s="1"/>
  <c r="B704" i="61"/>
  <c r="D704" i="61"/>
  <c r="E704" i="61" s="1"/>
  <c r="G704" i="61"/>
  <c r="I704" i="61"/>
  <c r="B705" i="61"/>
  <c r="D705" i="61"/>
  <c r="G705" i="61"/>
  <c r="I705" i="61"/>
  <c r="J705" i="61" s="1"/>
  <c r="B706" i="61"/>
  <c r="D706" i="61"/>
  <c r="G706" i="61"/>
  <c r="I706" i="61"/>
  <c r="B707" i="61"/>
  <c r="D707" i="61"/>
  <c r="G707" i="61"/>
  <c r="H708" i="61" s="1"/>
  <c r="I707" i="61"/>
  <c r="J707" i="61" s="1"/>
  <c r="B708" i="61"/>
  <c r="D708" i="61"/>
  <c r="G708" i="61"/>
  <c r="I708" i="61"/>
  <c r="B709" i="61"/>
  <c r="D709" i="61"/>
  <c r="G709" i="61"/>
  <c r="H709" i="61"/>
  <c r="I709" i="61"/>
  <c r="B710" i="61"/>
  <c r="E710" i="61" s="1"/>
  <c r="D710" i="61"/>
  <c r="G710" i="61"/>
  <c r="I710" i="61"/>
  <c r="J710" i="61"/>
  <c r="B711" i="61"/>
  <c r="D711" i="61"/>
  <c r="G711" i="61"/>
  <c r="I711" i="61"/>
  <c r="J711" i="61" s="1"/>
  <c r="B712" i="61"/>
  <c r="D712" i="61"/>
  <c r="G712" i="61"/>
  <c r="H713" i="61" s="1"/>
  <c r="I712" i="61"/>
  <c r="B713" i="61"/>
  <c r="D713" i="61"/>
  <c r="E713" i="61" s="1"/>
  <c r="G713" i="61"/>
  <c r="I713" i="61"/>
  <c r="B714" i="61"/>
  <c r="D714" i="61"/>
  <c r="G714" i="61"/>
  <c r="H714" i="61" s="1"/>
  <c r="I714" i="61"/>
  <c r="J714" i="61" s="1"/>
  <c r="B715" i="61"/>
  <c r="D715" i="61"/>
  <c r="G715" i="61"/>
  <c r="I715" i="61"/>
  <c r="J715" i="61" s="1"/>
  <c r="B716" i="61"/>
  <c r="D716" i="61"/>
  <c r="G716" i="61"/>
  <c r="I716" i="61"/>
  <c r="B717" i="61"/>
  <c r="D717" i="61"/>
  <c r="G717" i="61"/>
  <c r="H717" i="61" s="1"/>
  <c r="I717" i="61"/>
  <c r="B718" i="61"/>
  <c r="D718" i="61"/>
  <c r="G718" i="61"/>
  <c r="I718" i="61"/>
  <c r="J718" i="61" s="1"/>
  <c r="B719" i="61"/>
  <c r="D719" i="61"/>
  <c r="G719" i="61"/>
  <c r="I719" i="61"/>
  <c r="B720" i="61"/>
  <c r="D720" i="61"/>
  <c r="G720" i="61"/>
  <c r="H721" i="61" s="1"/>
  <c r="I720" i="61"/>
  <c r="J720" i="61" s="1"/>
  <c r="B721" i="61"/>
  <c r="D721" i="61"/>
  <c r="G721" i="61"/>
  <c r="I721" i="61"/>
  <c r="B722" i="61"/>
  <c r="D722" i="61"/>
  <c r="G722" i="61"/>
  <c r="H722" i="61" s="1"/>
  <c r="I722" i="61"/>
  <c r="B723" i="61"/>
  <c r="D723" i="61"/>
  <c r="G723" i="61"/>
  <c r="I723" i="61"/>
  <c r="B724" i="61"/>
  <c r="D724" i="61"/>
  <c r="G724" i="61"/>
  <c r="I724" i="61"/>
  <c r="B725" i="61"/>
  <c r="D725" i="61"/>
  <c r="G725" i="61"/>
  <c r="I725" i="61"/>
  <c r="B726" i="61"/>
  <c r="D726" i="61"/>
  <c r="G726" i="61"/>
  <c r="I726" i="61"/>
  <c r="B727" i="61"/>
  <c r="D727" i="61"/>
  <c r="G727" i="61"/>
  <c r="I727" i="61"/>
  <c r="B728" i="61"/>
  <c r="D728" i="61"/>
  <c r="G728" i="61"/>
  <c r="I728" i="61"/>
  <c r="B729" i="61"/>
  <c r="D729" i="61"/>
  <c r="G729" i="61"/>
  <c r="I729" i="61"/>
  <c r="B730" i="61"/>
  <c r="D730" i="61"/>
  <c r="G730" i="61"/>
  <c r="I730" i="61"/>
  <c r="B731" i="61"/>
  <c r="E731" i="61" s="1"/>
  <c r="D731" i="61"/>
  <c r="G731" i="61"/>
  <c r="I731" i="61"/>
  <c r="J731" i="61"/>
  <c r="B732" i="61"/>
  <c r="D732" i="61"/>
  <c r="G732" i="61"/>
  <c r="I732" i="61"/>
  <c r="B733" i="61"/>
  <c r="D733" i="61"/>
  <c r="G733" i="61"/>
  <c r="H733" i="61" s="1"/>
  <c r="I733" i="61"/>
  <c r="B734" i="61"/>
  <c r="E734" i="61" s="1"/>
  <c r="D734" i="61"/>
  <c r="G734" i="61"/>
  <c r="I734" i="61"/>
  <c r="B735" i="61"/>
  <c r="D735" i="61"/>
  <c r="G735" i="61"/>
  <c r="I735" i="61"/>
  <c r="B736" i="61"/>
  <c r="D736" i="61"/>
  <c r="G736" i="61"/>
  <c r="I736" i="61"/>
  <c r="B737" i="61"/>
  <c r="D737" i="61"/>
  <c r="G737" i="61"/>
  <c r="I737" i="61"/>
  <c r="B738" i="61"/>
  <c r="D738" i="61"/>
  <c r="G738" i="61"/>
  <c r="I738" i="61"/>
  <c r="J738" i="61" s="1"/>
  <c r="B739" i="61"/>
  <c r="D739" i="61"/>
  <c r="E739" i="61" s="1"/>
  <c r="G739" i="61"/>
  <c r="I739" i="61"/>
  <c r="J739" i="61" s="1"/>
  <c r="B740" i="61"/>
  <c r="D740" i="61"/>
  <c r="G740" i="61"/>
  <c r="I740" i="61"/>
  <c r="B741" i="61"/>
  <c r="D741" i="61"/>
  <c r="G741" i="61"/>
  <c r="H741" i="61" s="1"/>
  <c r="I741" i="61"/>
  <c r="J742" i="61" s="1"/>
  <c r="B742" i="61"/>
  <c r="D742" i="61"/>
  <c r="G742" i="61"/>
  <c r="I742" i="61"/>
  <c r="B743" i="61"/>
  <c r="D743" i="61"/>
  <c r="G743" i="61"/>
  <c r="I743" i="61"/>
  <c r="B744" i="61"/>
  <c r="E744" i="61" s="1"/>
  <c r="D744" i="61"/>
  <c r="G744" i="61"/>
  <c r="I744" i="61"/>
  <c r="B745" i="61"/>
  <c r="C745" i="61" s="1"/>
  <c r="D745" i="61"/>
  <c r="G745" i="61"/>
  <c r="H745" i="61" s="1"/>
  <c r="I745" i="61"/>
  <c r="B746" i="61"/>
  <c r="D746" i="61"/>
  <c r="G746" i="61"/>
  <c r="I746" i="61"/>
  <c r="J746" i="61" s="1"/>
  <c r="B747" i="61"/>
  <c r="D747" i="61"/>
  <c r="G747" i="61"/>
  <c r="H748" i="61" s="1"/>
  <c r="I747" i="61"/>
  <c r="B748" i="61"/>
  <c r="D748" i="61"/>
  <c r="G748" i="61"/>
  <c r="I748" i="61"/>
  <c r="B749" i="61"/>
  <c r="D749" i="61"/>
  <c r="G749" i="61"/>
  <c r="H749" i="61" s="1"/>
  <c r="I749" i="61"/>
  <c r="B750" i="61"/>
  <c r="E750" i="61" s="1"/>
  <c r="D750" i="61"/>
  <c r="G750" i="61"/>
  <c r="I750" i="61"/>
  <c r="J750" i="61" s="1"/>
  <c r="B751" i="61"/>
  <c r="D751" i="61"/>
  <c r="G751" i="61"/>
  <c r="I751" i="61"/>
  <c r="J751" i="61"/>
  <c r="B752" i="61"/>
  <c r="D752" i="61"/>
  <c r="G752" i="61"/>
  <c r="I752" i="61"/>
  <c r="B753" i="61"/>
  <c r="C753" i="61" s="1"/>
  <c r="D753" i="61"/>
  <c r="G753" i="61"/>
  <c r="I753" i="61"/>
  <c r="B754" i="61"/>
  <c r="D754" i="61"/>
  <c r="G754" i="61"/>
  <c r="I754" i="61"/>
  <c r="J754" i="61" s="1"/>
  <c r="B755" i="61"/>
  <c r="D755" i="61"/>
  <c r="G755" i="61"/>
  <c r="I755" i="61"/>
  <c r="B756" i="61"/>
  <c r="D756" i="61"/>
  <c r="G756" i="61"/>
  <c r="H757" i="61" s="1"/>
  <c r="I756" i="61"/>
  <c r="B757" i="61"/>
  <c r="E757" i="61" s="1"/>
  <c r="D757" i="61"/>
  <c r="G757" i="61"/>
  <c r="I757" i="61"/>
  <c r="B758" i="61"/>
  <c r="D758" i="61"/>
  <c r="G758" i="61"/>
  <c r="I758" i="61"/>
  <c r="J758" i="61"/>
  <c r="B759" i="61"/>
  <c r="D759" i="61"/>
  <c r="G759" i="61"/>
  <c r="I759" i="61"/>
  <c r="B760" i="61"/>
  <c r="D760" i="61"/>
  <c r="G760" i="61"/>
  <c r="I760" i="61"/>
  <c r="J760" i="61" s="1"/>
  <c r="B761" i="61"/>
  <c r="D761" i="61"/>
  <c r="G761" i="61"/>
  <c r="I761" i="61"/>
  <c r="B762" i="61"/>
  <c r="D762" i="61"/>
  <c r="G762" i="61"/>
  <c r="I762" i="61"/>
  <c r="J762" i="61" s="1"/>
  <c r="B763" i="61"/>
  <c r="D763" i="61"/>
  <c r="G763" i="61"/>
  <c r="I763" i="61"/>
  <c r="B764" i="61"/>
  <c r="D764" i="61"/>
  <c r="G764" i="61"/>
  <c r="I764" i="61"/>
  <c r="B765" i="61"/>
  <c r="D765" i="61"/>
  <c r="G765" i="61"/>
  <c r="I765" i="61"/>
  <c r="B766" i="61"/>
  <c r="D766" i="61"/>
  <c r="G766" i="61"/>
  <c r="I766" i="61"/>
  <c r="J766" i="61" s="1"/>
  <c r="B767" i="61"/>
  <c r="D767" i="61"/>
  <c r="G767" i="61"/>
  <c r="I767" i="61"/>
  <c r="B768" i="61"/>
  <c r="D768" i="61"/>
  <c r="G768" i="61"/>
  <c r="H768" i="61" s="1"/>
  <c r="I768" i="61"/>
  <c r="B769" i="61"/>
  <c r="D769" i="61"/>
  <c r="G769" i="61"/>
  <c r="I769" i="61"/>
  <c r="J769" i="61" s="1"/>
  <c r="B770" i="61"/>
  <c r="D770" i="61"/>
  <c r="G770" i="61"/>
  <c r="I770" i="61"/>
  <c r="B771" i="61"/>
  <c r="E771" i="61" s="1"/>
  <c r="D771" i="61"/>
  <c r="G771" i="61"/>
  <c r="I771" i="61"/>
  <c r="J771" i="61" s="1"/>
  <c r="B772" i="61"/>
  <c r="D772" i="61"/>
  <c r="G772" i="61"/>
  <c r="I772" i="61"/>
  <c r="B773" i="61"/>
  <c r="D773" i="61"/>
  <c r="G773" i="61"/>
  <c r="I773" i="61"/>
  <c r="B774" i="61"/>
  <c r="D774" i="61"/>
  <c r="G774" i="61"/>
  <c r="I774" i="61"/>
  <c r="J774" i="61"/>
  <c r="B775" i="61"/>
  <c r="D775" i="61"/>
  <c r="G775" i="61"/>
  <c r="I775" i="61"/>
  <c r="J775" i="61"/>
  <c r="B776" i="61"/>
  <c r="D776" i="61"/>
  <c r="G776" i="61"/>
  <c r="H776" i="61" s="1"/>
  <c r="I776" i="61"/>
  <c r="B777" i="61"/>
  <c r="D777" i="61"/>
  <c r="E777" i="61" s="1"/>
  <c r="G777" i="61"/>
  <c r="H777" i="61" s="1"/>
  <c r="I777" i="61"/>
  <c r="B778" i="61"/>
  <c r="D778" i="61"/>
  <c r="G778" i="61"/>
  <c r="I778" i="61"/>
  <c r="B779" i="61"/>
  <c r="D779" i="61"/>
  <c r="G779" i="61"/>
  <c r="I779" i="61"/>
  <c r="J779" i="61" s="1"/>
  <c r="B780" i="61"/>
  <c r="D780" i="61"/>
  <c r="E780" i="61" s="1"/>
  <c r="G780" i="61"/>
  <c r="I780" i="61"/>
  <c r="B781" i="61"/>
  <c r="D781" i="61"/>
  <c r="G781" i="61"/>
  <c r="I781" i="61"/>
  <c r="B782" i="61"/>
  <c r="D782" i="61"/>
  <c r="G782" i="61"/>
  <c r="I782" i="61"/>
  <c r="B783" i="61"/>
  <c r="D783" i="61"/>
  <c r="G783" i="61"/>
  <c r="I783" i="61"/>
  <c r="J783" i="61" s="1"/>
  <c r="B784" i="61"/>
  <c r="D784" i="61"/>
  <c r="G784" i="61"/>
  <c r="I784" i="61"/>
  <c r="B785" i="61"/>
  <c r="D785" i="61"/>
  <c r="E785" i="61" s="1"/>
  <c r="G785" i="61"/>
  <c r="H785" i="61" s="1"/>
  <c r="I785" i="61"/>
  <c r="B786" i="61"/>
  <c r="C786" i="61"/>
  <c r="D786" i="61"/>
  <c r="G786" i="61"/>
  <c r="I786" i="61"/>
  <c r="B787" i="61"/>
  <c r="D787" i="61"/>
  <c r="G787" i="61"/>
  <c r="I787" i="61"/>
  <c r="J787" i="61"/>
  <c r="B788" i="61"/>
  <c r="D788" i="61"/>
  <c r="G788" i="61"/>
  <c r="I788" i="61"/>
  <c r="B789" i="61"/>
  <c r="D789" i="61"/>
  <c r="G789" i="61"/>
  <c r="I789" i="61"/>
  <c r="B790" i="61"/>
  <c r="D790" i="61"/>
  <c r="G790" i="61"/>
  <c r="I790" i="61"/>
  <c r="J790" i="61" s="1"/>
  <c r="B791" i="61"/>
  <c r="D791" i="61"/>
  <c r="G791" i="61"/>
  <c r="I791" i="61"/>
  <c r="B792" i="61"/>
  <c r="D792" i="61"/>
  <c r="G792" i="61"/>
  <c r="I792" i="61"/>
  <c r="B793" i="61"/>
  <c r="D793" i="61"/>
  <c r="G793" i="61"/>
  <c r="I793" i="61"/>
  <c r="B794" i="61"/>
  <c r="E794" i="61" s="1"/>
  <c r="D794" i="61"/>
  <c r="G794" i="61"/>
  <c r="I794" i="61"/>
  <c r="B795" i="61"/>
  <c r="E795" i="61" s="1"/>
  <c r="D795" i="61"/>
  <c r="G795" i="61"/>
  <c r="I795" i="61"/>
  <c r="B796" i="61"/>
  <c r="D796" i="61"/>
  <c r="E796" i="61" s="1"/>
  <c r="G796" i="61"/>
  <c r="I796" i="61"/>
  <c r="J796" i="61" s="1"/>
  <c r="F60" i="15"/>
  <c r="C61" i="15"/>
  <c r="AB29" i="36"/>
  <c r="AA29" i="36"/>
  <c r="AG8" i="40"/>
  <c r="AB43" i="36"/>
  <c r="AT92" i="54"/>
  <c r="AS92" i="54"/>
  <c r="H192" i="54"/>
  <c r="H194" i="54"/>
  <c r="H178" i="54"/>
  <c r="B163" i="54"/>
  <c r="B164" i="54" s="1"/>
  <c r="B128" i="54"/>
  <c r="C128" i="54"/>
  <c r="D128" i="54"/>
  <c r="E128" i="54"/>
  <c r="F128" i="54"/>
  <c r="B126" i="54"/>
  <c r="C126" i="54"/>
  <c r="D126" i="54"/>
  <c r="E126" i="54"/>
  <c r="B11" i="12"/>
  <c r="H61" i="54"/>
  <c r="H3" i="61" l="1"/>
  <c r="E512" i="61"/>
  <c r="H407" i="61"/>
  <c r="H406" i="61"/>
  <c r="E514" i="61"/>
  <c r="J722" i="61"/>
  <c r="J723" i="61"/>
  <c r="J678" i="61"/>
  <c r="J635" i="61"/>
  <c r="E531" i="61"/>
  <c r="J355" i="61"/>
  <c r="J356" i="61"/>
  <c r="J654" i="61"/>
  <c r="J655" i="61"/>
  <c r="E645" i="61"/>
  <c r="J380" i="61"/>
  <c r="J379" i="61"/>
  <c r="F343" i="61"/>
  <c r="J522" i="61"/>
  <c r="E789" i="61"/>
  <c r="E683" i="61"/>
  <c r="J611" i="61"/>
  <c r="J612" i="61"/>
  <c r="E600" i="61"/>
  <c r="F601" i="61" s="1"/>
  <c r="E594" i="61"/>
  <c r="E254" i="61"/>
  <c r="H123" i="61"/>
  <c r="H124" i="61"/>
  <c r="E11" i="61"/>
  <c r="E214" i="61"/>
  <c r="E439" i="61"/>
  <c r="E193" i="61"/>
  <c r="F194" i="61" s="1"/>
  <c r="E707" i="61"/>
  <c r="H685" i="61"/>
  <c r="E654" i="61"/>
  <c r="E626" i="61"/>
  <c r="E624" i="61"/>
  <c r="E611" i="61"/>
  <c r="E576" i="61"/>
  <c r="E565" i="61"/>
  <c r="H535" i="61"/>
  <c r="J482" i="61"/>
  <c r="E396" i="61"/>
  <c r="J345" i="61"/>
  <c r="E318" i="61"/>
  <c r="J291" i="61"/>
  <c r="E244" i="61"/>
  <c r="F244" i="61" s="1"/>
  <c r="J134" i="61"/>
  <c r="J135" i="61"/>
  <c r="E46" i="61"/>
  <c r="E359" i="61"/>
  <c r="E348" i="61"/>
  <c r="E770" i="61"/>
  <c r="E656" i="61"/>
  <c r="E542" i="61"/>
  <c r="F543" i="61" s="1"/>
  <c r="E768" i="61"/>
  <c r="F769" i="61" s="1"/>
  <c r="E741" i="61"/>
  <c r="E718" i="61"/>
  <c r="E788" i="61"/>
  <c r="J782" i="61"/>
  <c r="H773" i="61"/>
  <c r="H772" i="61"/>
  <c r="J767" i="61"/>
  <c r="J763" i="61"/>
  <c r="H744" i="61"/>
  <c r="J719" i="61"/>
  <c r="E716" i="61"/>
  <c r="J706" i="61"/>
  <c r="H693" i="61"/>
  <c r="E690" i="61"/>
  <c r="E684" i="61"/>
  <c r="F684" i="61" s="1"/>
  <c r="E667" i="61"/>
  <c r="H661" i="61"/>
  <c r="H657" i="61"/>
  <c r="H642" i="61"/>
  <c r="J627" i="61"/>
  <c r="H616" i="61"/>
  <c r="H528" i="61"/>
  <c r="H526" i="61"/>
  <c r="E515" i="61"/>
  <c r="F515" i="61" s="1"/>
  <c r="H507" i="61"/>
  <c r="H506" i="61"/>
  <c r="H497" i="61"/>
  <c r="H496" i="61"/>
  <c r="H484" i="61"/>
  <c r="J478" i="61"/>
  <c r="J477" i="61"/>
  <c r="E473" i="61"/>
  <c r="F474" i="61" s="1"/>
  <c r="J453" i="61"/>
  <c r="E446" i="61"/>
  <c r="E431" i="61"/>
  <c r="E429" i="61"/>
  <c r="H405" i="61"/>
  <c r="H404" i="61"/>
  <c r="H380" i="61"/>
  <c r="H367" i="61"/>
  <c r="H365" i="61"/>
  <c r="H356" i="61"/>
  <c r="C351" i="61"/>
  <c r="H340" i="61"/>
  <c r="J334" i="61"/>
  <c r="J330" i="61"/>
  <c r="J319" i="61"/>
  <c r="J317" i="61"/>
  <c r="E316" i="61"/>
  <c r="H191" i="61"/>
  <c r="J188" i="61"/>
  <c r="J184" i="61"/>
  <c r="J182" i="61"/>
  <c r="J180" i="61"/>
  <c r="E309" i="61"/>
  <c r="F309" i="61" s="1"/>
  <c r="E619" i="61"/>
  <c r="E569" i="61"/>
  <c r="J795" i="61"/>
  <c r="E769" i="61"/>
  <c r="C754" i="61"/>
  <c r="H740" i="61"/>
  <c r="J734" i="61"/>
  <c r="C729" i="61"/>
  <c r="C714" i="61"/>
  <c r="C713" i="61"/>
  <c r="J698" i="61"/>
  <c r="H691" i="61"/>
  <c r="J689" i="61"/>
  <c r="J687" i="61"/>
  <c r="J686" i="61"/>
  <c r="J670" i="61"/>
  <c r="J666" i="61"/>
  <c r="J664" i="61"/>
  <c r="H623" i="61"/>
  <c r="J608" i="61"/>
  <c r="E581" i="61"/>
  <c r="J560" i="61"/>
  <c r="J556" i="61"/>
  <c r="J555" i="61"/>
  <c r="C551" i="61"/>
  <c r="C545" i="61"/>
  <c r="J520" i="61"/>
  <c r="C519" i="61"/>
  <c r="J470" i="61"/>
  <c r="J451" i="61"/>
  <c r="J445" i="61"/>
  <c r="J443" i="61"/>
  <c r="H397" i="61"/>
  <c r="J396" i="61"/>
  <c r="J376" i="61"/>
  <c r="J352" i="61"/>
  <c r="J316" i="61"/>
  <c r="J315" i="61"/>
  <c r="J302" i="61"/>
  <c r="H287" i="61"/>
  <c r="J283" i="61"/>
  <c r="J282" i="61"/>
  <c r="J279" i="61"/>
  <c r="J277" i="61"/>
  <c r="C273" i="61"/>
  <c r="J260" i="61"/>
  <c r="J230" i="61"/>
  <c r="J228" i="61"/>
  <c r="E198" i="61"/>
  <c r="F199" i="61" s="1"/>
  <c r="J116" i="61"/>
  <c r="E307" i="61"/>
  <c r="E617" i="61"/>
  <c r="E592" i="61"/>
  <c r="E364" i="61"/>
  <c r="E294" i="61"/>
  <c r="H795" i="61"/>
  <c r="H761" i="61"/>
  <c r="J755" i="61"/>
  <c r="H736" i="61"/>
  <c r="J730" i="61"/>
  <c r="J726" i="61"/>
  <c r="H653" i="61"/>
  <c r="J645" i="61"/>
  <c r="C642" i="61"/>
  <c r="J632" i="61"/>
  <c r="J600" i="61"/>
  <c r="J596" i="61"/>
  <c r="J595" i="61"/>
  <c r="H558" i="61"/>
  <c r="H554" i="61"/>
  <c r="J533" i="61"/>
  <c r="J508" i="61"/>
  <c r="J487" i="61"/>
  <c r="J485" i="61"/>
  <c r="J466" i="61"/>
  <c r="J464" i="61"/>
  <c r="J463" i="61"/>
  <c r="J456" i="61"/>
  <c r="H453" i="61"/>
  <c r="H449" i="61"/>
  <c r="H448" i="61"/>
  <c r="C401" i="61"/>
  <c r="J393" i="61"/>
  <c r="E345" i="61"/>
  <c r="J309" i="61"/>
  <c r="J300" i="61"/>
  <c r="C297" i="61"/>
  <c r="H284" i="61"/>
  <c r="H279" i="61"/>
  <c r="J258" i="61"/>
  <c r="C249" i="61"/>
  <c r="J239" i="61"/>
  <c r="H230" i="61"/>
  <c r="J218" i="61"/>
  <c r="J216" i="61"/>
  <c r="J213" i="61"/>
  <c r="J210" i="61"/>
  <c r="H201" i="61"/>
  <c r="E372" i="61"/>
  <c r="E208" i="61"/>
  <c r="J24" i="61"/>
  <c r="J25" i="61"/>
  <c r="E613" i="61"/>
  <c r="E571" i="61"/>
  <c r="E324" i="61"/>
  <c r="F324" i="61" s="1"/>
  <c r="J753" i="61"/>
  <c r="J728" i="61"/>
  <c r="H793" i="61"/>
  <c r="H792" i="61"/>
  <c r="E786" i="61"/>
  <c r="E784" i="61"/>
  <c r="E778" i="61"/>
  <c r="F778" i="61" s="1"/>
  <c r="C765" i="61"/>
  <c r="H730" i="61"/>
  <c r="H728" i="61"/>
  <c r="H725" i="61"/>
  <c r="C721" i="61"/>
  <c r="E691" i="61"/>
  <c r="J658" i="61"/>
  <c r="H645" i="61"/>
  <c r="H632" i="61"/>
  <c r="E623" i="61"/>
  <c r="E621" i="61"/>
  <c r="H602" i="61"/>
  <c r="E579" i="61"/>
  <c r="E577" i="61"/>
  <c r="E573" i="61"/>
  <c r="J568" i="61"/>
  <c r="H550" i="61"/>
  <c r="J542" i="61"/>
  <c r="H510" i="61"/>
  <c r="J498" i="61"/>
  <c r="E491" i="61"/>
  <c r="H487" i="61"/>
  <c r="E478" i="61"/>
  <c r="H468" i="61"/>
  <c r="H464" i="61"/>
  <c r="C438" i="61"/>
  <c r="E434" i="61"/>
  <c r="H424" i="61"/>
  <c r="J416" i="61"/>
  <c r="J415" i="61"/>
  <c r="J412" i="61"/>
  <c r="J410" i="61"/>
  <c r="J408" i="61"/>
  <c r="J385" i="61"/>
  <c r="J381" i="61"/>
  <c r="J368" i="61"/>
  <c r="E350" i="61"/>
  <c r="E334" i="61"/>
  <c r="E332" i="61"/>
  <c r="J327" i="61"/>
  <c r="J324" i="61"/>
  <c r="E321" i="61"/>
  <c r="E319" i="61"/>
  <c r="H309" i="61"/>
  <c r="H300" i="61"/>
  <c r="J294" i="61"/>
  <c r="J293" i="61"/>
  <c r="E289" i="61"/>
  <c r="E287" i="61"/>
  <c r="F288" i="61" s="1"/>
  <c r="E281" i="61"/>
  <c r="H273" i="61"/>
  <c r="H254" i="61"/>
  <c r="J250" i="61"/>
  <c r="J246" i="61"/>
  <c r="H239" i="61"/>
  <c r="E234" i="61"/>
  <c r="H212" i="61"/>
  <c r="H211" i="61"/>
  <c r="C180" i="61"/>
  <c r="E180" i="61"/>
  <c r="E166" i="61"/>
  <c r="J197" i="61"/>
  <c r="J193" i="61"/>
  <c r="E188" i="61"/>
  <c r="H178" i="61"/>
  <c r="H176" i="61"/>
  <c r="C166" i="61"/>
  <c r="J159" i="61"/>
  <c r="C156" i="61"/>
  <c r="C152" i="61"/>
  <c r="H140" i="61"/>
  <c r="H138" i="61"/>
  <c r="C133" i="61"/>
  <c r="C118" i="61"/>
  <c r="E107" i="61"/>
  <c r="C95" i="61"/>
  <c r="J81" i="61"/>
  <c r="E74" i="61"/>
  <c r="E72" i="61"/>
  <c r="E70" i="61"/>
  <c r="C66" i="61"/>
  <c r="J42" i="61"/>
  <c r="J36" i="61"/>
  <c r="H7" i="61"/>
  <c r="H5" i="61"/>
  <c r="J143" i="61"/>
  <c r="E136" i="61"/>
  <c r="E123" i="61"/>
  <c r="H91" i="61"/>
  <c r="J49" i="61"/>
  <c r="J10" i="61"/>
  <c r="J6" i="61"/>
  <c r="J4" i="61"/>
  <c r="H137" i="61"/>
  <c r="H129" i="61"/>
  <c r="J122" i="61"/>
  <c r="E112" i="61"/>
  <c r="E106" i="61"/>
  <c r="E104" i="61"/>
  <c r="E605" i="61"/>
  <c r="E601" i="61"/>
  <c r="H581" i="61"/>
  <c r="H570" i="61"/>
  <c r="H566" i="61"/>
  <c r="J564" i="61"/>
  <c r="E557" i="61"/>
  <c r="H543" i="61"/>
  <c r="H542" i="61"/>
  <c r="C523" i="61"/>
  <c r="H519" i="61"/>
  <c r="H515" i="61"/>
  <c r="E508" i="61"/>
  <c r="F508" i="61" s="1"/>
  <c r="C504" i="61"/>
  <c r="E500" i="61"/>
  <c r="E496" i="61"/>
  <c r="H491" i="61"/>
  <c r="H479" i="61"/>
  <c r="J471" i="61"/>
  <c r="E445" i="61"/>
  <c r="E441" i="61"/>
  <c r="H439" i="61"/>
  <c r="J437" i="61"/>
  <c r="C428" i="61"/>
  <c r="H418" i="61"/>
  <c r="H412" i="61"/>
  <c r="H411" i="61"/>
  <c r="H408" i="61"/>
  <c r="J387" i="61"/>
  <c r="E382" i="61"/>
  <c r="E380" i="61"/>
  <c r="J370" i="61"/>
  <c r="E367" i="61"/>
  <c r="J357" i="61"/>
  <c r="E356" i="61"/>
  <c r="H354" i="61"/>
  <c r="H334" i="61"/>
  <c r="H333" i="61"/>
  <c r="J328" i="61"/>
  <c r="H321" i="61"/>
  <c r="E303" i="61"/>
  <c r="H297" i="61"/>
  <c r="J287" i="61"/>
  <c r="E286" i="61"/>
  <c r="E278" i="61"/>
  <c r="E263" i="61"/>
  <c r="F263" i="61" s="1"/>
  <c r="C261" i="61"/>
  <c r="H247" i="61"/>
  <c r="H245" i="61"/>
  <c r="J243" i="61"/>
  <c r="J232" i="61"/>
  <c r="C231" i="61"/>
  <c r="E225" i="61"/>
  <c r="H194" i="61"/>
  <c r="J190" i="61"/>
  <c r="C181" i="61"/>
  <c r="E164" i="61"/>
  <c r="E145" i="61"/>
  <c r="J120" i="61"/>
  <c r="J118" i="61"/>
  <c r="E115" i="61"/>
  <c r="J111" i="61"/>
  <c r="J109" i="61"/>
  <c r="J105" i="61"/>
  <c r="J103" i="61"/>
  <c r="J101" i="61"/>
  <c r="J97" i="61"/>
  <c r="E90" i="61"/>
  <c r="E88" i="61"/>
  <c r="J72" i="61"/>
  <c r="H43" i="61"/>
  <c r="H33" i="61"/>
  <c r="H31" i="61"/>
  <c r="H30" i="61"/>
  <c r="E16" i="61"/>
  <c r="E14" i="61"/>
  <c r="H152" i="61"/>
  <c r="J150" i="61"/>
  <c r="J148" i="61"/>
  <c r="J146" i="61"/>
  <c r="H136" i="61"/>
  <c r="H133" i="61"/>
  <c r="H118" i="61"/>
  <c r="H105" i="61"/>
  <c r="H99" i="61"/>
  <c r="H95" i="61"/>
  <c r="H94" i="61"/>
  <c r="J89" i="61"/>
  <c r="J87" i="61"/>
  <c r="H75" i="61"/>
  <c r="H62" i="61"/>
  <c r="H60" i="61"/>
  <c r="J56" i="61"/>
  <c r="H22" i="61"/>
  <c r="J17" i="61"/>
  <c r="J176" i="61"/>
  <c r="J168" i="61"/>
  <c r="C158" i="61"/>
  <c r="H151" i="61"/>
  <c r="F428" i="61"/>
  <c r="F75" i="61"/>
  <c r="F497" i="61"/>
  <c r="J747" i="61"/>
  <c r="J727" i="61"/>
  <c r="J683" i="61"/>
  <c r="J667" i="61"/>
  <c r="J588" i="61"/>
  <c r="J548" i="61"/>
  <c r="J541" i="61"/>
  <c r="J534" i="61"/>
  <c r="J511" i="61"/>
  <c r="J483" i="61"/>
  <c r="J472" i="61"/>
  <c r="J419" i="61"/>
  <c r="J404" i="61"/>
  <c r="J386" i="61"/>
  <c r="J372" i="61"/>
  <c r="J365" i="61"/>
  <c r="J318" i="61"/>
  <c r="J299" i="61"/>
  <c r="J286" i="61"/>
  <c r="J275" i="61"/>
  <c r="J255" i="61"/>
  <c r="J253" i="61"/>
  <c r="J233" i="61"/>
  <c r="J231" i="61"/>
  <c r="J226" i="61"/>
  <c r="J217" i="61"/>
  <c r="J208" i="61"/>
  <c r="J203" i="61"/>
  <c r="J198" i="61"/>
  <c r="J183" i="61"/>
  <c r="J172" i="61"/>
  <c r="J170" i="61"/>
  <c r="J160" i="61"/>
  <c r="J149" i="61"/>
  <c r="J142" i="61"/>
  <c r="J119" i="61"/>
  <c r="J117" i="61"/>
  <c r="J55" i="61"/>
  <c r="J53" i="61"/>
  <c r="J40" i="61"/>
  <c r="J23" i="61"/>
  <c r="J21" i="61"/>
  <c r="J8" i="61"/>
  <c r="J502" i="61"/>
  <c r="J448" i="61"/>
  <c r="J447" i="61"/>
  <c r="J424" i="61"/>
  <c r="J413" i="61"/>
  <c r="J402" i="61"/>
  <c r="J384" i="61"/>
  <c r="J360" i="61"/>
  <c r="J336" i="61"/>
  <c r="J295" i="61"/>
  <c r="J269" i="61"/>
  <c r="J251" i="61"/>
  <c r="J224" i="61"/>
  <c r="J196" i="61"/>
  <c r="J194" i="61"/>
  <c r="J147" i="61"/>
  <c r="J140" i="61"/>
  <c r="J138" i="61"/>
  <c r="J133" i="61"/>
  <c r="J68" i="61"/>
  <c r="J66" i="61"/>
  <c r="J34" i="61"/>
  <c r="J770" i="61"/>
  <c r="J745" i="61"/>
  <c r="J743" i="61"/>
  <c r="J704" i="61"/>
  <c r="J695" i="61"/>
  <c r="J656" i="61"/>
  <c r="J649" i="61"/>
  <c r="J638" i="61"/>
  <c r="J500" i="61"/>
  <c r="J481" i="61"/>
  <c r="J479" i="61"/>
  <c r="J459" i="61"/>
  <c r="J435" i="61"/>
  <c r="J411" i="61"/>
  <c r="J400" i="61"/>
  <c r="J389" i="61"/>
  <c r="J333" i="61"/>
  <c r="J307" i="61"/>
  <c r="J267" i="61"/>
  <c r="J247" i="61"/>
  <c r="J245" i="61"/>
  <c r="J238" i="61"/>
  <c r="J229" i="61"/>
  <c r="J222" i="61"/>
  <c r="J201" i="61"/>
  <c r="J192" i="61"/>
  <c r="J158" i="61"/>
  <c r="J145" i="61"/>
  <c r="J129" i="61"/>
  <c r="J104" i="61"/>
  <c r="J95" i="61"/>
  <c r="J93" i="61"/>
  <c r="J79" i="61"/>
  <c r="J77" i="61"/>
  <c r="J64" i="61"/>
  <c r="J47" i="61"/>
  <c r="J45" i="61"/>
  <c r="J32" i="61"/>
  <c r="J15" i="61"/>
  <c r="J13" i="61"/>
  <c r="J768" i="61"/>
  <c r="J759" i="61"/>
  <c r="J681" i="61"/>
  <c r="J325" i="61"/>
  <c r="J323" i="61"/>
  <c r="J278" i="61"/>
  <c r="J220" i="61"/>
  <c r="J211" i="61"/>
  <c r="J179" i="61"/>
  <c r="J156" i="61"/>
  <c r="J154" i="61"/>
  <c r="J152" i="61"/>
  <c r="J58" i="61"/>
  <c r="J26" i="61"/>
  <c r="J721" i="61"/>
  <c r="J496" i="61"/>
  <c r="J5" i="61"/>
  <c r="J791" i="61"/>
  <c r="J735" i="61"/>
  <c r="J696" i="61"/>
  <c r="J641" i="61"/>
  <c r="J531" i="61"/>
  <c r="J335" i="61"/>
  <c r="J285" i="61"/>
  <c r="J130" i="61"/>
  <c r="J50" i="61"/>
  <c r="J18" i="61"/>
  <c r="E787" i="61"/>
  <c r="E776" i="61"/>
  <c r="E742" i="61"/>
  <c r="E740" i="61"/>
  <c r="F741" i="61" s="1"/>
  <c r="E733" i="61"/>
  <c r="E726" i="61"/>
  <c r="E677" i="61"/>
  <c r="F678" i="61" s="1"/>
  <c r="E659" i="61"/>
  <c r="E652" i="61"/>
  <c r="E641" i="61"/>
  <c r="E634" i="61"/>
  <c r="F635" i="61" s="1"/>
  <c r="E627" i="61"/>
  <c r="F627" i="61" s="1"/>
  <c r="E625" i="61"/>
  <c r="E618" i="61"/>
  <c r="F618" i="61" s="1"/>
  <c r="E609" i="61"/>
  <c r="F610" i="61" s="1"/>
  <c r="E602" i="61"/>
  <c r="F602" i="61" s="1"/>
  <c r="E595" i="61"/>
  <c r="E593" i="61"/>
  <c r="E584" i="61"/>
  <c r="F584" i="61" s="1"/>
  <c r="E563" i="61"/>
  <c r="E561" i="61"/>
  <c r="E552" i="61"/>
  <c r="E529" i="61"/>
  <c r="E524" i="61"/>
  <c r="E517" i="61"/>
  <c r="E499" i="61"/>
  <c r="E476" i="61"/>
  <c r="E430" i="61"/>
  <c r="F431" i="61" s="1"/>
  <c r="E423" i="61"/>
  <c r="E403" i="61"/>
  <c r="F403" i="61" s="1"/>
  <c r="E366" i="61"/>
  <c r="F367" i="61" s="1"/>
  <c r="E273" i="61"/>
  <c r="E271" i="61"/>
  <c r="E262" i="61"/>
  <c r="E257" i="61"/>
  <c r="E212" i="61"/>
  <c r="E207" i="61"/>
  <c r="E125" i="61"/>
  <c r="E120" i="61"/>
  <c r="E109" i="61"/>
  <c r="E98" i="61"/>
  <c r="E82" i="61"/>
  <c r="E56" i="61"/>
  <c r="F56" i="61" s="1"/>
  <c r="E37" i="61"/>
  <c r="F38" i="61" s="1"/>
  <c r="E24" i="61"/>
  <c r="E22" i="61"/>
  <c r="E696" i="61"/>
  <c r="F697" i="61" s="1"/>
  <c r="E675" i="61"/>
  <c r="E666" i="61"/>
  <c r="E637" i="61"/>
  <c r="F359" i="61"/>
  <c r="E328" i="61"/>
  <c r="F294" i="61"/>
  <c r="E792" i="61"/>
  <c r="E774" i="61"/>
  <c r="E511" i="61"/>
  <c r="E450" i="61"/>
  <c r="E114" i="61"/>
  <c r="E94" i="61"/>
  <c r="E85" i="61"/>
  <c r="E80" i="61"/>
  <c r="E48" i="61"/>
  <c r="E758" i="61"/>
  <c r="F758" i="61" s="1"/>
  <c r="E781" i="61"/>
  <c r="E772" i="61"/>
  <c r="E747" i="61"/>
  <c r="E720" i="61"/>
  <c r="E715" i="61"/>
  <c r="E708" i="61"/>
  <c r="E694" i="61"/>
  <c r="E682" i="61"/>
  <c r="F683" i="61" s="1"/>
  <c r="E790" i="61"/>
  <c r="E779" i="61"/>
  <c r="E752" i="61"/>
  <c r="E738" i="61"/>
  <c r="F739" i="61" s="1"/>
  <c r="E736" i="61"/>
  <c r="E680" i="61"/>
  <c r="E669" i="61"/>
  <c r="F670" i="61" s="1"/>
  <c r="E662" i="61"/>
  <c r="E635" i="61"/>
  <c r="E587" i="61"/>
  <c r="E585" i="61"/>
  <c r="E553" i="61"/>
  <c r="F554" i="61" s="1"/>
  <c r="E539" i="61"/>
  <c r="F540" i="61" s="1"/>
  <c r="E527" i="61"/>
  <c r="E486" i="61"/>
  <c r="E481" i="61"/>
  <c r="E479" i="61"/>
  <c r="E470" i="61"/>
  <c r="E457" i="61"/>
  <c r="F458" i="61" s="1"/>
  <c r="E442" i="61"/>
  <c r="F442" i="61" s="1"/>
  <c r="E433" i="61"/>
  <c r="F434" i="61" s="1"/>
  <c r="E415" i="61"/>
  <c r="E406" i="61"/>
  <c r="E388" i="61"/>
  <c r="E374" i="61"/>
  <c r="E331" i="61"/>
  <c r="E215" i="61"/>
  <c r="E201" i="61"/>
  <c r="E151" i="61"/>
  <c r="E101" i="61"/>
  <c r="E83" i="61"/>
  <c r="E53" i="61"/>
  <c r="E40" i="61"/>
  <c r="E8" i="61"/>
  <c r="E782" i="61"/>
  <c r="F782" i="61" s="1"/>
  <c r="E773" i="61"/>
  <c r="F773" i="61" s="1"/>
  <c r="E766" i="61"/>
  <c r="E764" i="61"/>
  <c r="E755" i="61"/>
  <c r="E728" i="61"/>
  <c r="E709" i="61"/>
  <c r="E702" i="61"/>
  <c r="E700" i="61"/>
  <c r="E693" i="61"/>
  <c r="E686" i="61"/>
  <c r="E674" i="61"/>
  <c r="E629" i="61"/>
  <c r="E599" i="61"/>
  <c r="F599" i="61" s="1"/>
  <c r="E597" i="61"/>
  <c r="E567" i="61"/>
  <c r="E505" i="61"/>
  <c r="E492" i="61"/>
  <c r="F492" i="61" s="1"/>
  <c r="E466" i="61"/>
  <c r="F466" i="61" s="1"/>
  <c r="E462" i="61"/>
  <c r="E449" i="61"/>
  <c r="F450" i="61" s="1"/>
  <c r="E447" i="61"/>
  <c r="F447" i="61" s="1"/>
  <c r="E398" i="61"/>
  <c r="E393" i="61"/>
  <c r="F394" i="61" s="1"/>
  <c r="E391" i="61"/>
  <c r="E279" i="61"/>
  <c r="F279" i="61" s="1"/>
  <c r="E246" i="61"/>
  <c r="E230" i="61"/>
  <c r="E223" i="61"/>
  <c r="F223" i="61" s="1"/>
  <c r="E197" i="61"/>
  <c r="E161" i="61"/>
  <c r="E129" i="61"/>
  <c r="E93" i="61"/>
  <c r="E77" i="61"/>
  <c r="E64" i="61"/>
  <c r="E32" i="61"/>
  <c r="E2" i="61"/>
  <c r="F3" i="61" s="1"/>
  <c r="H784" i="61"/>
  <c r="H698" i="61"/>
  <c r="H689" i="61"/>
  <c r="H658" i="61"/>
  <c r="H557" i="61"/>
  <c r="H546" i="61"/>
  <c r="H532" i="61"/>
  <c r="H288" i="61"/>
  <c r="H188" i="61"/>
  <c r="H181" i="61"/>
  <c r="H59" i="61"/>
  <c r="H39" i="61"/>
  <c r="H764" i="61"/>
  <c r="H512" i="61"/>
  <c r="H495" i="61"/>
  <c r="H388" i="61"/>
  <c r="H364" i="61"/>
  <c r="H350" i="61"/>
  <c r="H295" i="61"/>
  <c r="H264" i="61"/>
  <c r="H244" i="61"/>
  <c r="H205" i="61"/>
  <c r="H180" i="61"/>
  <c r="H146" i="61"/>
  <c r="H122" i="61"/>
  <c r="H103" i="61"/>
  <c r="H55" i="61"/>
  <c r="H170" i="61"/>
  <c r="H789" i="61"/>
  <c r="H753" i="61"/>
  <c r="H732" i="61"/>
  <c r="H692" i="61"/>
  <c r="H640" i="61"/>
  <c r="H631" i="61"/>
  <c r="H622" i="61"/>
  <c r="H613" i="61"/>
  <c r="H594" i="61"/>
  <c r="H574" i="61"/>
  <c r="H562" i="61"/>
  <c r="H537" i="61"/>
  <c r="H527" i="61"/>
  <c r="H525" i="61"/>
  <c r="H504" i="61"/>
  <c r="H503" i="61"/>
  <c r="H493" i="61"/>
  <c r="H474" i="61"/>
  <c r="H472" i="61"/>
  <c r="H456" i="61"/>
  <c r="H441" i="61"/>
  <c r="H434" i="61"/>
  <c r="H425" i="61"/>
  <c r="H414" i="61"/>
  <c r="H409" i="61"/>
  <c r="H402" i="61"/>
  <c r="H395" i="61"/>
  <c r="H386" i="61"/>
  <c r="H336" i="61"/>
  <c r="H310" i="61"/>
  <c r="H241" i="61"/>
  <c r="H234" i="61"/>
  <c r="H217" i="61"/>
  <c r="H186" i="61"/>
  <c r="H184" i="61"/>
  <c r="H175" i="61"/>
  <c r="H163" i="61"/>
  <c r="H160" i="61"/>
  <c r="H139" i="61"/>
  <c r="H87" i="61"/>
  <c r="H17" i="61"/>
  <c r="H15" i="61"/>
  <c r="H14" i="61"/>
  <c r="H4" i="61"/>
  <c r="H794" i="61"/>
  <c r="H769" i="61"/>
  <c r="H760" i="61"/>
  <c r="H752" i="61"/>
  <c r="H706" i="61"/>
  <c r="H705" i="61"/>
  <c r="H680" i="61"/>
  <c r="H673" i="61"/>
  <c r="H672" i="61"/>
  <c r="H664" i="61"/>
  <c r="H647" i="61"/>
  <c r="H621" i="61"/>
  <c r="H592" i="61"/>
  <c r="H590" i="61"/>
  <c r="H560" i="61"/>
  <c r="H551" i="61"/>
  <c r="H549" i="61"/>
  <c r="H516" i="61"/>
  <c r="H514" i="61"/>
  <c r="H423" i="61"/>
  <c r="H372" i="61"/>
  <c r="H331" i="61"/>
  <c r="H303" i="61"/>
  <c r="H293" i="61"/>
  <c r="H252" i="61"/>
  <c r="H220" i="61"/>
  <c r="H215" i="61"/>
  <c r="H182" i="61"/>
  <c r="H171" i="61"/>
  <c r="H168" i="61"/>
  <c r="H158" i="61"/>
  <c r="H120" i="61"/>
  <c r="H107" i="61"/>
  <c r="H73" i="61"/>
  <c r="H44" i="61"/>
  <c r="H11" i="61"/>
  <c r="H589" i="61"/>
  <c r="H455" i="61"/>
  <c r="H132" i="61"/>
  <c r="H9" i="61"/>
  <c r="H781" i="61"/>
  <c r="H765" i="61"/>
  <c r="H677" i="61"/>
  <c r="H586" i="61"/>
  <c r="H505" i="61"/>
  <c r="H498" i="61"/>
  <c r="H461" i="61"/>
  <c r="H403" i="61"/>
  <c r="H351" i="61"/>
  <c r="H255" i="61"/>
  <c r="H228" i="61"/>
  <c r="H209" i="61"/>
  <c r="H199" i="61"/>
  <c r="H192" i="61"/>
  <c r="H154" i="61"/>
  <c r="H111" i="61"/>
  <c r="H49" i="61"/>
  <c r="H27" i="61"/>
  <c r="H786" i="61"/>
  <c r="H756" i="61"/>
  <c r="H720" i="61"/>
  <c r="H712" i="61"/>
  <c r="H704" i="61"/>
  <c r="H643" i="61"/>
  <c r="H624" i="61"/>
  <c r="H583" i="61"/>
  <c r="H502" i="61"/>
  <c r="H447" i="61"/>
  <c r="H437" i="61"/>
  <c r="H426" i="61"/>
  <c r="H383" i="61"/>
  <c r="H357" i="61"/>
  <c r="H349" i="61"/>
  <c r="H335" i="61"/>
  <c r="H332" i="61"/>
  <c r="H329" i="61"/>
  <c r="H318" i="61"/>
  <c r="H313" i="61"/>
  <c r="H311" i="61"/>
  <c r="H277" i="61"/>
  <c r="H253" i="61"/>
  <c r="H248" i="61"/>
  <c r="H218" i="61"/>
  <c r="H210" i="61"/>
  <c r="H144" i="61"/>
  <c r="H113" i="61"/>
  <c r="H106" i="61"/>
  <c r="H81" i="61"/>
  <c r="H74" i="61"/>
  <c r="H58" i="61"/>
  <c r="H42" i="61"/>
  <c r="H26" i="61"/>
  <c r="H10" i="61"/>
  <c r="H779" i="61"/>
  <c r="H746" i="61"/>
  <c r="H738" i="61"/>
  <c r="H723" i="61"/>
  <c r="H715" i="61"/>
  <c r="H699" i="61"/>
  <c r="H666" i="61"/>
  <c r="H615" i="61"/>
  <c r="H600" i="61"/>
  <c r="H598" i="61"/>
  <c r="H576" i="61"/>
  <c r="H568" i="61"/>
  <c r="H544" i="61"/>
  <c r="H521" i="61"/>
  <c r="H511" i="61"/>
  <c r="H466" i="61"/>
  <c r="H445" i="61"/>
  <c r="H378" i="61"/>
  <c r="H370" i="61"/>
  <c r="H362" i="61"/>
  <c r="H304" i="61"/>
  <c r="H256" i="61"/>
  <c r="H238" i="61"/>
  <c r="H179" i="61"/>
  <c r="H174" i="61"/>
  <c r="H142" i="61"/>
  <c r="H121" i="61"/>
  <c r="H89" i="61"/>
  <c r="H608" i="61"/>
  <c r="H591" i="61"/>
  <c r="H559" i="61"/>
  <c r="H539" i="61"/>
  <c r="H508" i="61"/>
  <c r="H500" i="61"/>
  <c r="H475" i="61"/>
  <c r="H450" i="61"/>
  <c r="H429" i="61"/>
  <c r="H421" i="61"/>
  <c r="H417" i="61"/>
  <c r="H396" i="61"/>
  <c r="H391" i="61"/>
  <c r="H389" i="61"/>
  <c r="H355" i="61"/>
  <c r="H347" i="61"/>
  <c r="H338" i="61"/>
  <c r="H294" i="61"/>
  <c r="H289" i="61"/>
  <c r="H221" i="61"/>
  <c r="H200" i="61"/>
  <c r="H172" i="61"/>
  <c r="H70" i="61"/>
  <c r="H52" i="61"/>
  <c r="H36" i="61"/>
  <c r="H20" i="61"/>
  <c r="H787" i="61"/>
  <c r="H724" i="61"/>
  <c r="H716" i="61"/>
  <c r="H700" i="61"/>
  <c r="H682" i="61"/>
  <c r="H674" i="61"/>
  <c r="H659" i="61"/>
  <c r="H651" i="61"/>
  <c r="H606" i="61"/>
  <c r="H582" i="61"/>
  <c r="H480" i="61"/>
  <c r="H415" i="61"/>
  <c r="H399" i="61"/>
  <c r="H382" i="61"/>
  <c r="H379" i="61"/>
  <c r="H374" i="61"/>
  <c r="H371" i="61"/>
  <c r="H363" i="61"/>
  <c r="H339" i="61"/>
  <c r="H337" i="61"/>
  <c r="H328" i="61"/>
  <c r="H317" i="61"/>
  <c r="H302" i="61"/>
  <c r="H285" i="61"/>
  <c r="H280" i="61"/>
  <c r="H272" i="61"/>
  <c r="H269" i="61"/>
  <c r="H224" i="61"/>
  <c r="H216" i="61"/>
  <c r="H208" i="61"/>
  <c r="H190" i="61"/>
  <c r="H185" i="61"/>
  <c r="H177" i="61"/>
  <c r="H134" i="61"/>
  <c r="H97" i="61"/>
  <c r="H90" i="61"/>
  <c r="H66" i="61"/>
  <c r="H50" i="61"/>
  <c r="H34" i="61"/>
  <c r="H18" i="61"/>
  <c r="H754" i="61"/>
  <c r="H729" i="61"/>
  <c r="H762" i="61"/>
  <c r="H690" i="61"/>
  <c r="H552" i="61"/>
  <c r="H522" i="61"/>
  <c r="H458" i="61"/>
  <c r="H229" i="61"/>
  <c r="H214" i="61"/>
  <c r="H162" i="61"/>
  <c r="H156" i="61"/>
  <c r="H127" i="61"/>
  <c r="H57" i="61"/>
  <c r="H41" i="61"/>
  <c r="H25" i="61"/>
  <c r="H23" i="61"/>
  <c r="H778" i="61"/>
  <c r="H770" i="61"/>
  <c r="H755" i="61"/>
  <c r="H737" i="61"/>
  <c r="H665" i="61"/>
  <c r="H614" i="61"/>
  <c r="H575" i="61"/>
  <c r="H567" i="61"/>
  <c r="H533" i="61"/>
  <c r="H465" i="61"/>
  <c r="H442" i="61"/>
  <c r="H410" i="61"/>
  <c r="H394" i="61"/>
  <c r="H222" i="61"/>
  <c r="H206" i="61"/>
  <c r="H198" i="61"/>
  <c r="H149" i="61"/>
  <c r="H196" i="61"/>
  <c r="C774" i="61"/>
  <c r="F771" i="61"/>
  <c r="C761" i="61"/>
  <c r="E705" i="61"/>
  <c r="C697" i="61"/>
  <c r="C666" i="61"/>
  <c r="E660" i="61"/>
  <c r="E630" i="61"/>
  <c r="F631" i="61" s="1"/>
  <c r="E535" i="61"/>
  <c r="C502" i="61"/>
  <c r="C408" i="61"/>
  <c r="F295" i="61"/>
  <c r="E288" i="61"/>
  <c r="C259" i="61"/>
  <c r="E199" i="61"/>
  <c r="C169" i="61"/>
  <c r="C143" i="61"/>
  <c r="C75" i="61"/>
  <c r="C72" i="61"/>
  <c r="C51" i="61"/>
  <c r="C28" i="61"/>
  <c r="C12" i="61"/>
  <c r="E754" i="61"/>
  <c r="C749" i="61"/>
  <c r="C730" i="61"/>
  <c r="E658" i="61"/>
  <c r="C657" i="61"/>
  <c r="C599" i="61"/>
  <c r="E570" i="61"/>
  <c r="F560" i="61"/>
  <c r="C533" i="61"/>
  <c r="E503" i="61"/>
  <c r="F496" i="61"/>
  <c r="C479" i="61"/>
  <c r="F463" i="61"/>
  <c r="C418" i="61"/>
  <c r="C360" i="61"/>
  <c r="C313" i="61"/>
  <c r="C286" i="61"/>
  <c r="C78" i="61"/>
  <c r="C250" i="61"/>
  <c r="C232" i="61"/>
  <c r="C229" i="61"/>
  <c r="C175" i="61"/>
  <c r="E142" i="61"/>
  <c r="C52" i="61"/>
  <c r="C38" i="61"/>
  <c r="C762" i="61"/>
  <c r="C746" i="61"/>
  <c r="C706" i="61"/>
  <c r="C693" i="61"/>
  <c r="C661" i="61"/>
  <c r="C641" i="61"/>
  <c r="C631" i="61"/>
  <c r="E614" i="61"/>
  <c r="F614" i="61" s="1"/>
  <c r="E586" i="61"/>
  <c r="F587" i="61" s="1"/>
  <c r="C536" i="61"/>
  <c r="E518" i="61"/>
  <c r="C477" i="61"/>
  <c r="C392" i="61"/>
  <c r="E377" i="61"/>
  <c r="C344" i="61"/>
  <c r="C339" i="61"/>
  <c r="F316" i="61"/>
  <c r="C253" i="61"/>
  <c r="C245" i="61"/>
  <c r="C212" i="61"/>
  <c r="C179" i="61"/>
  <c r="C131" i="61"/>
  <c r="C126" i="61"/>
  <c r="C64" i="61"/>
  <c r="E55" i="61"/>
  <c r="C481" i="61"/>
  <c r="E419" i="61"/>
  <c r="C377" i="61"/>
  <c r="E351" i="61"/>
  <c r="F351" i="61" s="1"/>
  <c r="C268" i="61"/>
  <c r="E119" i="61"/>
  <c r="E23" i="61"/>
  <c r="F24" i="61" s="1"/>
  <c r="C11" i="61"/>
  <c r="E724" i="61"/>
  <c r="C677" i="61"/>
  <c r="F674" i="61"/>
  <c r="F691" i="61"/>
  <c r="C497" i="61"/>
  <c r="C494" i="61"/>
  <c r="C436" i="61"/>
  <c r="E249" i="61"/>
  <c r="F624" i="61"/>
  <c r="C794" i="61"/>
  <c r="E737" i="61"/>
  <c r="E732" i="61"/>
  <c r="F733" i="61" s="1"/>
  <c r="C709" i="61"/>
  <c r="C689" i="61"/>
  <c r="E672" i="61"/>
  <c r="F673" i="61" s="1"/>
  <c r="C575" i="61"/>
  <c r="E523" i="61"/>
  <c r="F518" i="61"/>
  <c r="C508" i="61"/>
  <c r="E475" i="61"/>
  <c r="C461" i="61"/>
  <c r="E459" i="61"/>
  <c r="C426" i="61"/>
  <c r="C369" i="61"/>
  <c r="C325" i="61"/>
  <c r="E275" i="61"/>
  <c r="E243" i="61"/>
  <c r="C234" i="61"/>
  <c r="F215" i="61"/>
  <c r="F209" i="61"/>
  <c r="E165" i="61"/>
  <c r="F166" i="61" s="1"/>
  <c r="C148" i="61"/>
  <c r="E95" i="61"/>
  <c r="C67" i="61"/>
  <c r="C62" i="61"/>
  <c r="C20" i="61"/>
  <c r="E13" i="61"/>
  <c r="C10" i="61"/>
  <c r="C778" i="61"/>
  <c r="C760" i="61"/>
  <c r="E730" i="61"/>
  <c r="F731" i="61" s="1"/>
  <c r="C725" i="61"/>
  <c r="C702" i="61"/>
  <c r="C664" i="61"/>
  <c r="C578" i="61"/>
  <c r="C567" i="61"/>
  <c r="E551" i="61"/>
  <c r="C516" i="61"/>
  <c r="C484" i="61"/>
  <c r="F427" i="61"/>
  <c r="C400" i="61"/>
  <c r="E392" i="61"/>
  <c r="F393" i="61" s="1"/>
  <c r="C361" i="61"/>
  <c r="C306" i="61"/>
  <c r="E304" i="61"/>
  <c r="F305" i="61" s="1"/>
  <c r="E268" i="61"/>
  <c r="C204" i="61"/>
  <c r="C176" i="61"/>
  <c r="C151" i="61"/>
  <c r="E149" i="61"/>
  <c r="E143" i="61"/>
  <c r="E111" i="61"/>
  <c r="F111" i="61" s="1"/>
  <c r="E63" i="61"/>
  <c r="F64" i="61" s="1"/>
  <c r="C46" i="61"/>
  <c r="C30" i="61"/>
  <c r="C23" i="61"/>
  <c r="C16" i="61"/>
  <c r="C8" i="61"/>
  <c r="C741" i="61"/>
  <c r="C681" i="61"/>
  <c r="F675" i="61"/>
  <c r="E665" i="61"/>
  <c r="F666" i="61" s="1"/>
  <c r="F633" i="61"/>
  <c r="C586" i="61"/>
  <c r="C562" i="61"/>
  <c r="E554" i="61"/>
  <c r="C527" i="61"/>
  <c r="C468" i="61"/>
  <c r="C376" i="61"/>
  <c r="E368" i="61"/>
  <c r="F368" i="61" s="1"/>
  <c r="F319" i="61"/>
  <c r="C317" i="61"/>
  <c r="C281" i="61"/>
  <c r="C265" i="61"/>
  <c r="E236" i="61"/>
  <c r="C228" i="61"/>
  <c r="C127" i="61"/>
  <c r="E47" i="61"/>
  <c r="F47" i="61" s="1"/>
  <c r="C44" i="61"/>
  <c r="F795" i="61"/>
  <c r="E793" i="61"/>
  <c r="F794" i="61" s="1"/>
  <c r="C770" i="61"/>
  <c r="C738" i="61"/>
  <c r="C722" i="61"/>
  <c r="C705" i="61"/>
  <c r="C696" i="61"/>
  <c r="C665" i="61"/>
  <c r="C615" i="61"/>
  <c r="C602" i="61"/>
  <c r="E546" i="61"/>
  <c r="E541" i="61"/>
  <c r="F542" i="61" s="1"/>
  <c r="C538" i="61"/>
  <c r="E533" i="61"/>
  <c r="C524" i="61"/>
  <c r="C521" i="61"/>
  <c r="E516" i="61"/>
  <c r="E507" i="61"/>
  <c r="F500" i="61"/>
  <c r="E484" i="61"/>
  <c r="C476" i="61"/>
  <c r="C460" i="61"/>
  <c r="E435" i="61"/>
  <c r="F435" i="61" s="1"/>
  <c r="E401" i="61"/>
  <c r="C353" i="61"/>
  <c r="E338" i="61"/>
  <c r="F339" i="61" s="1"/>
  <c r="C332" i="61"/>
  <c r="C315" i="61"/>
  <c r="C307" i="61"/>
  <c r="E296" i="61"/>
  <c r="F296" i="61" s="1"/>
  <c r="F271" i="61"/>
  <c r="C260" i="61"/>
  <c r="C252" i="61"/>
  <c r="C202" i="61"/>
  <c r="C191" i="61"/>
  <c r="C183" i="61"/>
  <c r="C172" i="61"/>
  <c r="C86" i="61"/>
  <c r="C47" i="61"/>
  <c r="C42" i="61"/>
  <c r="E31" i="61"/>
  <c r="F32" i="61" s="1"/>
  <c r="C26" i="61"/>
  <c r="C583" i="61"/>
  <c r="E418" i="61"/>
  <c r="E360" i="61"/>
  <c r="F360" i="61" s="1"/>
  <c r="E291" i="61"/>
  <c r="C276" i="61"/>
  <c r="C244" i="61"/>
  <c r="E242" i="61"/>
  <c r="C233" i="61"/>
  <c r="C208" i="61"/>
  <c r="E181" i="61"/>
  <c r="F181" i="61" s="1"/>
  <c r="C177" i="61"/>
  <c r="E150" i="61"/>
  <c r="C141" i="61"/>
  <c r="E79" i="61"/>
  <c r="E45" i="61"/>
  <c r="F46" i="61" s="1"/>
  <c r="C24" i="61"/>
  <c r="E748" i="61"/>
  <c r="F748" i="61" s="1"/>
  <c r="C688" i="61"/>
  <c r="C652" i="61"/>
  <c r="C648" i="61"/>
  <c r="C634" i="61"/>
  <c r="C623" i="61"/>
  <c r="E566" i="61"/>
  <c r="F567" i="61" s="1"/>
  <c r="E525" i="61"/>
  <c r="E468" i="61"/>
  <c r="F426" i="61"/>
  <c r="C393" i="61"/>
  <c r="C275" i="61"/>
  <c r="E175" i="61"/>
  <c r="C84" i="61"/>
  <c r="C79" i="61"/>
  <c r="C71" i="61"/>
  <c r="E69" i="61"/>
  <c r="F70" i="61" s="1"/>
  <c r="E762" i="61"/>
  <c r="F762" i="61" s="1"/>
  <c r="E712" i="61"/>
  <c r="F713" i="61" s="1"/>
  <c r="E689" i="61"/>
  <c r="F690" i="61" s="1"/>
  <c r="E537" i="61"/>
  <c r="F451" i="61"/>
  <c r="E436" i="61"/>
  <c r="C321" i="61"/>
  <c r="E297" i="61"/>
  <c r="F298" i="61" s="1"/>
  <c r="C289" i="61"/>
  <c r="C277" i="61"/>
  <c r="E272" i="61"/>
  <c r="F272" i="61" s="1"/>
  <c r="E264" i="61"/>
  <c r="E256" i="61"/>
  <c r="C237" i="61"/>
  <c r="E190" i="61"/>
  <c r="E118" i="61"/>
  <c r="F118" i="61" s="1"/>
  <c r="C87" i="61"/>
  <c r="C15" i="61"/>
  <c r="E7" i="61"/>
  <c r="F8" i="61" s="1"/>
  <c r="F787" i="61"/>
  <c r="F786" i="61"/>
  <c r="C758" i="61"/>
  <c r="C733" i="61"/>
  <c r="C674" i="61"/>
  <c r="E668" i="61"/>
  <c r="E622" i="61"/>
  <c r="F622" i="61" s="1"/>
  <c r="C594" i="61"/>
  <c r="C591" i="61"/>
  <c r="C579" i="61"/>
  <c r="E483" i="61"/>
  <c r="E384" i="61"/>
  <c r="C384" i="61"/>
  <c r="C187" i="61"/>
  <c r="C188" i="61"/>
  <c r="C515" i="61"/>
  <c r="E326" i="61"/>
  <c r="C326" i="61"/>
  <c r="E241" i="61"/>
  <c r="C241" i="61"/>
  <c r="F594" i="61"/>
  <c r="C734" i="61"/>
  <c r="C595" i="61"/>
  <c r="F459" i="61"/>
  <c r="C416" i="61"/>
  <c r="E416" i="61"/>
  <c r="F402" i="61"/>
  <c r="C781" i="61"/>
  <c r="C777" i="61"/>
  <c r="C769" i="61"/>
  <c r="C766" i="61"/>
  <c r="E756" i="61"/>
  <c r="E745" i="61"/>
  <c r="E721" i="61"/>
  <c r="C701" i="61"/>
  <c r="C694" i="61"/>
  <c r="C669" i="61"/>
  <c r="E646" i="61"/>
  <c r="E638" i="61"/>
  <c r="F638" i="61" s="1"/>
  <c r="C635" i="61"/>
  <c r="F592" i="61"/>
  <c r="C570" i="61"/>
  <c r="C546" i="61"/>
  <c r="C539" i="61"/>
  <c r="C505" i="61"/>
  <c r="C495" i="61"/>
  <c r="C492" i="61"/>
  <c r="E467" i="61"/>
  <c r="E387" i="61"/>
  <c r="C387" i="61"/>
  <c r="C284" i="61"/>
  <c r="C283" i="61"/>
  <c r="F708" i="61"/>
  <c r="E420" i="61"/>
  <c r="C420" i="61"/>
  <c r="F788" i="61"/>
  <c r="C717" i="61"/>
  <c r="C511" i="61"/>
  <c r="F742" i="61"/>
  <c r="E698" i="61"/>
  <c r="F698" i="61" s="1"/>
  <c r="F632" i="61"/>
  <c r="C626" i="61"/>
  <c r="C611" i="61"/>
  <c r="E590" i="61"/>
  <c r="F590" i="61" s="1"/>
  <c r="E574" i="61"/>
  <c r="F574" i="61" s="1"/>
  <c r="E555" i="61"/>
  <c r="C555" i="61"/>
  <c r="E528" i="61"/>
  <c r="F528" i="61" s="1"/>
  <c r="C528" i="61"/>
  <c r="C525" i="61"/>
  <c r="C496" i="61"/>
  <c r="E493" i="61"/>
  <c r="C444" i="61"/>
  <c r="E444" i="61"/>
  <c r="F445" i="61" s="1"/>
  <c r="C388" i="61"/>
  <c r="E299" i="61"/>
  <c r="F299" i="61" s="1"/>
  <c r="C299" i="61"/>
  <c r="C201" i="61"/>
  <c r="C200" i="61"/>
  <c r="C170" i="61"/>
  <c r="E170" i="61"/>
  <c r="F170" i="61" s="1"/>
  <c r="C160" i="61"/>
  <c r="C54" i="61"/>
  <c r="E54" i="61"/>
  <c r="C776" i="61"/>
  <c r="C773" i="61"/>
  <c r="C649" i="61"/>
  <c r="F634" i="61"/>
  <c r="C610" i="61"/>
  <c r="E746" i="61"/>
  <c r="E722" i="61"/>
  <c r="F796" i="61"/>
  <c r="F785" i="61"/>
  <c r="C782" i="61"/>
  <c r="E760" i="61"/>
  <c r="E753" i="61"/>
  <c r="F753" i="61" s="1"/>
  <c r="C752" i="61"/>
  <c r="E729" i="61"/>
  <c r="C728" i="61"/>
  <c r="E714" i="61"/>
  <c r="F714" i="61" s="1"/>
  <c r="F709" i="61"/>
  <c r="E706" i="61"/>
  <c r="F707" i="61" s="1"/>
  <c r="C670" i="61"/>
  <c r="E647" i="61"/>
  <c r="E639" i="61"/>
  <c r="F626" i="61"/>
  <c r="E615" i="61"/>
  <c r="F616" i="61" s="1"/>
  <c r="F608" i="61"/>
  <c r="E578" i="61"/>
  <c r="F579" i="61" s="1"/>
  <c r="E575" i="61"/>
  <c r="F575" i="61" s="1"/>
  <c r="C534" i="61"/>
  <c r="E534" i="61"/>
  <c r="E411" i="61"/>
  <c r="C411" i="61"/>
  <c r="E220" i="61"/>
  <c r="F221" i="61" s="1"/>
  <c r="C220" i="61"/>
  <c r="E96" i="61"/>
  <c r="C96" i="61"/>
  <c r="C6" i="61"/>
  <c r="C790" i="61"/>
  <c r="F598" i="61"/>
  <c r="C290" i="61"/>
  <c r="C291" i="61"/>
  <c r="E196" i="61"/>
  <c r="C196" i="61"/>
  <c r="F777" i="61"/>
  <c r="C737" i="61"/>
  <c r="C712" i="61"/>
  <c r="C789" i="61"/>
  <c r="C757" i="61"/>
  <c r="C710" i="61"/>
  <c r="E692" i="61"/>
  <c r="F692" i="61" s="1"/>
  <c r="E688" i="61"/>
  <c r="E681" i="61"/>
  <c r="F682" i="61" s="1"/>
  <c r="F667" i="61"/>
  <c r="E664" i="61"/>
  <c r="E657" i="61"/>
  <c r="F658" i="61" s="1"/>
  <c r="C627" i="61"/>
  <c r="E606" i="61"/>
  <c r="F606" i="61" s="1"/>
  <c r="F568" i="61"/>
  <c r="E562" i="61"/>
  <c r="F563" i="61" s="1"/>
  <c r="E547" i="61"/>
  <c r="F547" i="61" s="1"/>
  <c r="C547" i="61"/>
  <c r="E526" i="61"/>
  <c r="F527" i="61" s="1"/>
  <c r="F523" i="61"/>
  <c r="C513" i="61"/>
  <c r="E513" i="61"/>
  <c r="F513" i="61" s="1"/>
  <c r="C503" i="61"/>
  <c r="E485" i="61"/>
  <c r="F486" i="61" s="1"/>
  <c r="C485" i="61"/>
  <c r="E417" i="61"/>
  <c r="C417" i="61"/>
  <c r="F375" i="61"/>
  <c r="C308" i="61"/>
  <c r="E308" i="61"/>
  <c r="F287" i="61"/>
  <c r="E99" i="61"/>
  <c r="F99" i="61" s="1"/>
  <c r="C99" i="61"/>
  <c r="E59" i="61"/>
  <c r="C59" i="61"/>
  <c r="F780" i="61"/>
  <c r="E761" i="61"/>
  <c r="E648" i="61"/>
  <c r="C618" i="61"/>
  <c r="C603" i="61"/>
  <c r="E582" i="61"/>
  <c r="F582" i="61" s="1"/>
  <c r="E545" i="61"/>
  <c r="F546" i="61" s="1"/>
  <c r="C526" i="61"/>
  <c r="C517" i="61"/>
  <c r="F460" i="61"/>
  <c r="C452" i="61"/>
  <c r="E452" i="61"/>
  <c r="F452" i="61" s="1"/>
  <c r="C324" i="61"/>
  <c r="C323" i="61"/>
  <c r="E251" i="61"/>
  <c r="C251" i="61"/>
  <c r="C173" i="61"/>
  <c r="E173" i="61"/>
  <c r="C102" i="61"/>
  <c r="E102" i="61"/>
  <c r="F102" i="61" s="1"/>
  <c r="C103" i="61"/>
  <c r="E550" i="61"/>
  <c r="F550" i="61" s="1"/>
  <c r="E461" i="61"/>
  <c r="F461" i="61" s="1"/>
  <c r="C434" i="61"/>
  <c r="C429" i="61"/>
  <c r="E344" i="61"/>
  <c r="F344" i="61" s="1"/>
  <c r="C342" i="61"/>
  <c r="E340" i="61"/>
  <c r="F340" i="61" s="1"/>
  <c r="E336" i="61"/>
  <c r="E320" i="61"/>
  <c r="F320" i="61" s="1"/>
  <c r="C298" i="61"/>
  <c r="E280" i="61"/>
  <c r="F281" i="61" s="1"/>
  <c r="E265" i="61"/>
  <c r="E258" i="61"/>
  <c r="F258" i="61" s="1"/>
  <c r="E252" i="61"/>
  <c r="F252" i="61" s="1"/>
  <c r="E238" i="61"/>
  <c r="E231" i="61"/>
  <c r="F231" i="61" s="1"/>
  <c r="E204" i="61"/>
  <c r="E174" i="61"/>
  <c r="E156" i="61"/>
  <c r="F157" i="61" s="1"/>
  <c r="C149" i="61"/>
  <c r="C108" i="61"/>
  <c r="E78" i="61"/>
  <c r="F78" i="61" s="1"/>
  <c r="E62" i="61"/>
  <c r="E39" i="61"/>
  <c r="F40" i="61" s="1"/>
  <c r="C36" i="61"/>
  <c r="C31" i="61"/>
  <c r="E21" i="61"/>
  <c r="C18" i="61"/>
  <c r="C466" i="61"/>
  <c r="C458" i="61"/>
  <c r="C391" i="61"/>
  <c r="E312" i="61"/>
  <c r="E248" i="61"/>
  <c r="C242" i="61"/>
  <c r="E232" i="61"/>
  <c r="F222" i="61"/>
  <c r="C207" i="61"/>
  <c r="E191" i="61"/>
  <c r="C174" i="61"/>
  <c r="C139" i="61"/>
  <c r="C128" i="61"/>
  <c r="C124" i="61"/>
  <c r="C115" i="61"/>
  <c r="C112" i="61"/>
  <c r="F79" i="61"/>
  <c r="C34" i="61"/>
  <c r="C402" i="61"/>
  <c r="C399" i="61"/>
  <c r="C221" i="61"/>
  <c r="C218" i="61"/>
  <c r="C197" i="61"/>
  <c r="C194" i="61"/>
  <c r="C100" i="61"/>
  <c r="C91" i="61"/>
  <c r="C88" i="61"/>
  <c r="C60" i="61"/>
  <c r="C55" i="61"/>
  <c r="C32" i="61"/>
  <c r="C19" i="61"/>
  <c r="E6" i="61"/>
  <c r="E558" i="61"/>
  <c r="F558" i="61" s="1"/>
  <c r="C491" i="61"/>
  <c r="F409" i="61"/>
  <c r="E400" i="61"/>
  <c r="F400" i="61" s="1"/>
  <c r="E376" i="61"/>
  <c r="F376" i="61" s="1"/>
  <c r="C359" i="61"/>
  <c r="E353" i="61"/>
  <c r="F353" i="61" s="1"/>
  <c r="C352" i="61"/>
  <c r="C341" i="61"/>
  <c r="E313" i="61"/>
  <c r="E276" i="61"/>
  <c r="C266" i="61"/>
  <c r="C243" i="61"/>
  <c r="E229" i="61"/>
  <c r="F229" i="61" s="1"/>
  <c r="C222" i="61"/>
  <c r="E202" i="61"/>
  <c r="F202" i="61" s="1"/>
  <c r="C198" i="61"/>
  <c r="E183" i="61"/>
  <c r="C182" i="61"/>
  <c r="E172" i="61"/>
  <c r="E158" i="61"/>
  <c r="F158" i="61" s="1"/>
  <c r="E148" i="61"/>
  <c r="C144" i="61"/>
  <c r="C140" i="61"/>
  <c r="E110" i="61"/>
  <c r="C94" i="61"/>
  <c r="C76" i="61"/>
  <c r="C70" i="61"/>
  <c r="C68" i="61"/>
  <c r="C63" i="61"/>
  <c r="C50" i="61"/>
  <c r="C40" i="61"/>
  <c r="E30" i="61"/>
  <c r="C27" i="61"/>
  <c r="C14" i="61"/>
  <c r="E502" i="61"/>
  <c r="F502" i="61" s="1"/>
  <c r="E494" i="61"/>
  <c r="E469" i="61"/>
  <c r="F469" i="61" s="1"/>
  <c r="C450" i="61"/>
  <c r="C445" i="61"/>
  <c r="C442" i="61"/>
  <c r="C403" i="61"/>
  <c r="E383" i="61"/>
  <c r="E369" i="61"/>
  <c r="C367" i="61"/>
  <c r="C364" i="61"/>
  <c r="E361" i="61"/>
  <c r="F361" i="61" s="1"/>
  <c r="E322" i="61"/>
  <c r="F322" i="61" s="1"/>
  <c r="C310" i="61"/>
  <c r="E306" i="61"/>
  <c r="F306" i="61" s="1"/>
  <c r="E267" i="61"/>
  <c r="E250" i="61"/>
  <c r="E240" i="61"/>
  <c r="E237" i="61"/>
  <c r="F237" i="61" s="1"/>
  <c r="E226" i="61"/>
  <c r="C219" i="61"/>
  <c r="E210" i="61"/>
  <c r="F210" i="61" s="1"/>
  <c r="C195" i="61"/>
  <c r="C192" i="61"/>
  <c r="C189" i="61"/>
  <c r="C165" i="61"/>
  <c r="C157" i="61"/>
  <c r="E141" i="61"/>
  <c r="F141" i="61" s="1"/>
  <c r="E126" i="61"/>
  <c r="C125" i="61"/>
  <c r="C116" i="61"/>
  <c r="C107" i="61"/>
  <c r="C104" i="61"/>
  <c r="E86" i="61"/>
  <c r="E71" i="61"/>
  <c r="F72" i="61" s="1"/>
  <c r="E61" i="61"/>
  <c r="C58" i="61"/>
  <c r="C48" i="61"/>
  <c r="E38" i="61"/>
  <c r="C35" i="61"/>
  <c r="C22" i="61"/>
  <c r="E15" i="61"/>
  <c r="F16" i="61" s="1"/>
  <c r="E443" i="61"/>
  <c r="F443" i="61" s="1"/>
  <c r="C394" i="61"/>
  <c r="C375" i="61"/>
  <c r="C302" i="61"/>
  <c r="C223" i="61"/>
  <c r="E206" i="61"/>
  <c r="F207" i="61" s="1"/>
  <c r="F104" i="61"/>
  <c r="C92" i="61"/>
  <c r="C83" i="61"/>
  <c r="C80" i="61"/>
  <c r="C56" i="61"/>
  <c r="C43" i="61"/>
  <c r="E323" i="61"/>
  <c r="E283" i="61"/>
  <c r="E159" i="61"/>
  <c r="F159" i="61" s="1"/>
  <c r="E133" i="61"/>
  <c r="F133" i="61" s="1"/>
  <c r="C132" i="61"/>
  <c r="E127" i="61"/>
  <c r="F127" i="61" s="1"/>
  <c r="C120" i="61"/>
  <c r="C111" i="61"/>
  <c r="E87" i="61"/>
  <c r="C723" i="61"/>
  <c r="C724" i="61"/>
  <c r="J780" i="61"/>
  <c r="J781" i="61"/>
  <c r="C699" i="61"/>
  <c r="C700" i="61"/>
  <c r="J668" i="61"/>
  <c r="J669" i="61"/>
  <c r="H571" i="61"/>
  <c r="H572" i="61"/>
  <c r="J761" i="61"/>
  <c r="F734" i="61"/>
  <c r="J712" i="61"/>
  <c r="H707" i="61"/>
  <c r="H766" i="61"/>
  <c r="H767" i="61"/>
  <c r="C759" i="61"/>
  <c r="E759" i="61"/>
  <c r="J752" i="61"/>
  <c r="C750" i="61"/>
  <c r="J748" i="61"/>
  <c r="J749" i="61"/>
  <c r="H747" i="61"/>
  <c r="F745" i="61"/>
  <c r="C744" i="61"/>
  <c r="J737" i="61"/>
  <c r="E725" i="61"/>
  <c r="C715" i="61"/>
  <c r="C716" i="61"/>
  <c r="F710" i="61"/>
  <c r="H702" i="61"/>
  <c r="H703" i="61"/>
  <c r="C695" i="61"/>
  <c r="E695" i="61"/>
  <c r="J688" i="61"/>
  <c r="C686" i="61"/>
  <c r="J684" i="61"/>
  <c r="J685" i="61"/>
  <c r="H683" i="61"/>
  <c r="C680" i="61"/>
  <c r="J673" i="61"/>
  <c r="E661" i="61"/>
  <c r="F789" i="61"/>
  <c r="J788" i="61"/>
  <c r="J789" i="61"/>
  <c r="C763" i="61"/>
  <c r="C764" i="61"/>
  <c r="J732" i="61"/>
  <c r="J733" i="61"/>
  <c r="H686" i="61"/>
  <c r="H687" i="61"/>
  <c r="J672" i="61"/>
  <c r="C640" i="61"/>
  <c r="E640" i="61"/>
  <c r="F640" i="61" s="1"/>
  <c r="C719" i="61"/>
  <c r="E719" i="61"/>
  <c r="F719" i="61" s="1"/>
  <c r="F716" i="61"/>
  <c r="J697" i="61"/>
  <c r="E685" i="61"/>
  <c r="C675" i="61"/>
  <c r="C676" i="61"/>
  <c r="C655" i="61"/>
  <c r="E655" i="61"/>
  <c r="F655" i="61" s="1"/>
  <c r="C795" i="61"/>
  <c r="C796" i="61"/>
  <c r="J793" i="61"/>
  <c r="C783" i="61"/>
  <c r="E783" i="61"/>
  <c r="C779" i="61"/>
  <c r="C780" i="61"/>
  <c r="J777" i="61"/>
  <c r="E765" i="61"/>
  <c r="F765" i="61" s="1"/>
  <c r="C755" i="61"/>
  <c r="C756" i="61"/>
  <c r="H742" i="61"/>
  <c r="H743" i="61"/>
  <c r="C735" i="61"/>
  <c r="E735" i="61"/>
  <c r="F735" i="61" s="1"/>
  <c r="C726" i="61"/>
  <c r="J724" i="61"/>
  <c r="J725" i="61"/>
  <c r="C720" i="61"/>
  <c r="J713" i="61"/>
  <c r="E701" i="61"/>
  <c r="C691" i="61"/>
  <c r="C692" i="61"/>
  <c r="H678" i="61"/>
  <c r="H679" i="61"/>
  <c r="C671" i="61"/>
  <c r="E671" i="61"/>
  <c r="F671" i="61" s="1"/>
  <c r="C662" i="61"/>
  <c r="J660" i="61"/>
  <c r="J661" i="61"/>
  <c r="C656" i="61"/>
  <c r="H646" i="61"/>
  <c r="H627" i="61"/>
  <c r="H628" i="61"/>
  <c r="H611" i="61"/>
  <c r="H612" i="61"/>
  <c r="H595" i="61"/>
  <c r="H596" i="61"/>
  <c r="H579" i="61"/>
  <c r="H580" i="61"/>
  <c r="F475" i="61"/>
  <c r="C767" i="61"/>
  <c r="E767" i="61"/>
  <c r="C703" i="61"/>
  <c r="E703" i="61"/>
  <c r="F703" i="61" s="1"/>
  <c r="J692" i="61"/>
  <c r="J693" i="61"/>
  <c r="J784" i="61"/>
  <c r="J736" i="61"/>
  <c r="C679" i="61"/>
  <c r="E679" i="61"/>
  <c r="F679" i="61" s="1"/>
  <c r="H667" i="61"/>
  <c r="H726" i="61"/>
  <c r="H727" i="61"/>
  <c r="H662" i="61"/>
  <c r="H663" i="61"/>
  <c r="J764" i="61"/>
  <c r="J765" i="61"/>
  <c r="H763" i="61"/>
  <c r="C731" i="61"/>
  <c r="C732" i="61"/>
  <c r="H718" i="61"/>
  <c r="H719" i="61"/>
  <c r="C711" i="61"/>
  <c r="E711" i="61"/>
  <c r="F711" i="61" s="1"/>
  <c r="J700" i="61"/>
  <c r="J701" i="61"/>
  <c r="C667" i="61"/>
  <c r="C668" i="61"/>
  <c r="H654" i="61"/>
  <c r="H655" i="61"/>
  <c r="J651" i="61"/>
  <c r="J652" i="61"/>
  <c r="H638" i="61"/>
  <c r="H637" i="61"/>
  <c r="H538" i="61"/>
  <c r="J525" i="61"/>
  <c r="J526" i="61"/>
  <c r="H774" i="61"/>
  <c r="H775" i="61"/>
  <c r="H710" i="61"/>
  <c r="H711" i="61"/>
  <c r="J792" i="61"/>
  <c r="C743" i="61"/>
  <c r="E743" i="61"/>
  <c r="H731" i="61"/>
  <c r="F676" i="61"/>
  <c r="J772" i="61"/>
  <c r="J773" i="61"/>
  <c r="F770" i="61"/>
  <c r="E749" i="61"/>
  <c r="C739" i="61"/>
  <c r="C740" i="61"/>
  <c r="C791" i="61"/>
  <c r="E791" i="61"/>
  <c r="F791" i="61" s="1"/>
  <c r="C787" i="61"/>
  <c r="C788" i="61"/>
  <c r="J785" i="61"/>
  <c r="C775" i="61"/>
  <c r="E775" i="61"/>
  <c r="F772" i="61"/>
  <c r="C792" i="61"/>
  <c r="C784" i="61"/>
  <c r="C771" i="61"/>
  <c r="C772" i="61"/>
  <c r="H758" i="61"/>
  <c r="H759" i="61"/>
  <c r="C751" i="61"/>
  <c r="E751" i="61"/>
  <c r="F751" i="61" s="1"/>
  <c r="J744" i="61"/>
  <c r="C742" i="61"/>
  <c r="J740" i="61"/>
  <c r="J741" i="61"/>
  <c r="H739" i="61"/>
  <c r="C736" i="61"/>
  <c r="J729" i="61"/>
  <c r="E723" i="61"/>
  <c r="F723" i="61" s="1"/>
  <c r="E717" i="61"/>
  <c r="F717" i="61" s="1"/>
  <c r="C707" i="61"/>
  <c r="C708" i="61"/>
  <c r="H694" i="61"/>
  <c r="H695" i="61"/>
  <c r="C687" i="61"/>
  <c r="E687" i="61"/>
  <c r="J680" i="61"/>
  <c r="C678" i="61"/>
  <c r="J676" i="61"/>
  <c r="J677" i="61"/>
  <c r="H675" i="61"/>
  <c r="C672" i="61"/>
  <c r="J665" i="61"/>
  <c r="C653" i="61"/>
  <c r="E653" i="61"/>
  <c r="F653" i="61" s="1"/>
  <c r="C650" i="61"/>
  <c r="E650" i="61"/>
  <c r="F650" i="61" s="1"/>
  <c r="J644" i="61"/>
  <c r="F781" i="61"/>
  <c r="J756" i="61"/>
  <c r="J757" i="61"/>
  <c r="H750" i="61"/>
  <c r="H751" i="61"/>
  <c r="F790" i="61"/>
  <c r="J776" i="61"/>
  <c r="H771" i="61"/>
  <c r="C768" i="61"/>
  <c r="J708" i="61"/>
  <c r="J709" i="61"/>
  <c r="C704" i="61"/>
  <c r="H790" i="61"/>
  <c r="H791" i="61"/>
  <c r="H782" i="61"/>
  <c r="H783" i="61"/>
  <c r="E763" i="61"/>
  <c r="C747" i="61"/>
  <c r="C748" i="61"/>
  <c r="H734" i="61"/>
  <c r="H735" i="61"/>
  <c r="C727" i="61"/>
  <c r="E727" i="61"/>
  <c r="C718" i="61"/>
  <c r="J716" i="61"/>
  <c r="J717" i="61"/>
  <c r="E699" i="61"/>
  <c r="F699" i="61" s="1"/>
  <c r="F693" i="61"/>
  <c r="C683" i="61"/>
  <c r="C684" i="61"/>
  <c r="H670" i="61"/>
  <c r="H671" i="61"/>
  <c r="C663" i="61"/>
  <c r="E663" i="61"/>
  <c r="C654" i="61"/>
  <c r="E643" i="61"/>
  <c r="C643" i="61"/>
  <c r="C659" i="61"/>
  <c r="C660" i="61"/>
  <c r="E651" i="61"/>
  <c r="C651" i="61"/>
  <c r="H635" i="61"/>
  <c r="H636" i="61"/>
  <c r="H619" i="61"/>
  <c r="H620" i="61"/>
  <c r="H603" i="61"/>
  <c r="H604" i="61"/>
  <c r="H587" i="61"/>
  <c r="H588" i="61"/>
  <c r="C489" i="61"/>
  <c r="E489" i="61"/>
  <c r="C482" i="61"/>
  <c r="C483" i="61"/>
  <c r="E482" i="61"/>
  <c r="C456" i="61"/>
  <c r="C457" i="61"/>
  <c r="E456" i="61"/>
  <c r="C440" i="61"/>
  <c r="C441" i="61"/>
  <c r="E440" i="61"/>
  <c r="H648" i="61"/>
  <c r="H649" i="61"/>
  <c r="C644" i="61"/>
  <c r="E644" i="61"/>
  <c r="J637" i="61"/>
  <c r="J633" i="61"/>
  <c r="J634" i="61"/>
  <c r="J629" i="61"/>
  <c r="J625" i="61"/>
  <c r="J626" i="61"/>
  <c r="J621" i="61"/>
  <c r="J617" i="61"/>
  <c r="J618" i="61"/>
  <c r="J613" i="61"/>
  <c r="J609" i="61"/>
  <c r="J610" i="61"/>
  <c r="J605" i="61"/>
  <c r="J601" i="61"/>
  <c r="J602" i="61"/>
  <c r="J597" i="61"/>
  <c r="J593" i="61"/>
  <c r="J594" i="61"/>
  <c r="J589" i="61"/>
  <c r="J585" i="61"/>
  <c r="J586" i="61"/>
  <c r="J581" i="61"/>
  <c r="J577" i="61"/>
  <c r="J578" i="61"/>
  <c r="J573" i="61"/>
  <c r="J569" i="61"/>
  <c r="J570" i="61"/>
  <c r="J565" i="61"/>
  <c r="J561" i="61"/>
  <c r="J562" i="61"/>
  <c r="J557" i="61"/>
  <c r="J553" i="61"/>
  <c r="J554" i="61"/>
  <c r="J549" i="61"/>
  <c r="J545" i="61"/>
  <c r="J546" i="61"/>
  <c r="E519" i="61"/>
  <c r="F519" i="61" s="1"/>
  <c r="H477" i="61"/>
  <c r="H478" i="61"/>
  <c r="C453" i="61"/>
  <c r="E453" i="61"/>
  <c r="H451" i="61"/>
  <c r="H452" i="61"/>
  <c r="C437" i="61"/>
  <c r="E437" i="61"/>
  <c r="F437" i="61" s="1"/>
  <c r="H435" i="61"/>
  <c r="H436" i="61"/>
  <c r="C421" i="61"/>
  <c r="E421" i="61"/>
  <c r="H419" i="61"/>
  <c r="H420" i="61"/>
  <c r="F399" i="61"/>
  <c r="E379" i="61"/>
  <c r="F380" i="61" s="1"/>
  <c r="C379" i="61"/>
  <c r="E371" i="61"/>
  <c r="F372" i="61" s="1"/>
  <c r="C371" i="61"/>
  <c r="J270" i="61"/>
  <c r="J271" i="61"/>
  <c r="J262" i="61"/>
  <c r="J261" i="61"/>
  <c r="C498" i="61"/>
  <c r="C499" i="61"/>
  <c r="E498" i="61"/>
  <c r="F498" i="61" s="1"/>
  <c r="C424" i="61"/>
  <c r="C425" i="61"/>
  <c r="E424" i="61"/>
  <c r="H392" i="61"/>
  <c r="H393" i="61"/>
  <c r="C645" i="61"/>
  <c r="F611" i="61"/>
  <c r="F595" i="61"/>
  <c r="C542" i="61"/>
  <c r="C543" i="61"/>
  <c r="C532" i="61"/>
  <c r="E532" i="61"/>
  <c r="F532" i="61" s="1"/>
  <c r="C529" i="61"/>
  <c r="H520" i="61"/>
  <c r="C487" i="61"/>
  <c r="E487" i="61"/>
  <c r="H481" i="61"/>
  <c r="E477" i="61"/>
  <c r="C471" i="61"/>
  <c r="E471" i="61"/>
  <c r="F471" i="61" s="1"/>
  <c r="J462" i="61"/>
  <c r="J446" i="61"/>
  <c r="J430" i="61"/>
  <c r="F416" i="61"/>
  <c r="C405" i="61"/>
  <c r="E405" i="61"/>
  <c r="F406" i="61" s="1"/>
  <c r="E395" i="61"/>
  <c r="F395" i="61" s="1"/>
  <c r="C395" i="61"/>
  <c r="C396" i="61"/>
  <c r="C380" i="61"/>
  <c r="C372" i="61"/>
  <c r="E363" i="61"/>
  <c r="C363" i="61"/>
  <c r="E355" i="61"/>
  <c r="F356" i="61" s="1"/>
  <c r="C355" i="61"/>
  <c r="F617" i="61"/>
  <c r="F609" i="61"/>
  <c r="F569" i="61"/>
  <c r="H530" i="61"/>
  <c r="H531" i="61"/>
  <c r="H796" i="61"/>
  <c r="C793" i="61"/>
  <c r="H788" i="61"/>
  <c r="C785" i="61"/>
  <c r="H780" i="61"/>
  <c r="C636" i="61"/>
  <c r="E636" i="61"/>
  <c r="F636" i="61" s="1"/>
  <c r="C632" i="61"/>
  <c r="C633" i="61"/>
  <c r="J630" i="61"/>
  <c r="C628" i="61"/>
  <c r="E628" i="61"/>
  <c r="C624" i="61"/>
  <c r="C625" i="61"/>
  <c r="J622" i="61"/>
  <c r="C620" i="61"/>
  <c r="E620" i="61"/>
  <c r="F620" i="61" s="1"/>
  <c r="C616" i="61"/>
  <c r="C617" i="61"/>
  <c r="J614" i="61"/>
  <c r="C612" i="61"/>
  <c r="E612" i="61"/>
  <c r="F612" i="61" s="1"/>
  <c r="C608" i="61"/>
  <c r="C609" i="61"/>
  <c r="J606" i="61"/>
  <c r="C604" i="61"/>
  <c r="E604" i="61"/>
  <c r="F604" i="61" s="1"/>
  <c r="C600" i="61"/>
  <c r="C601" i="61"/>
  <c r="J598" i="61"/>
  <c r="C596" i="61"/>
  <c r="E596" i="61"/>
  <c r="F596" i="61" s="1"/>
  <c r="C592" i="61"/>
  <c r="C593" i="61"/>
  <c r="J590" i="61"/>
  <c r="C588" i="61"/>
  <c r="E588" i="61"/>
  <c r="F588" i="61" s="1"/>
  <c r="C584" i="61"/>
  <c r="C585" i="61"/>
  <c r="J582" i="61"/>
  <c r="C580" i="61"/>
  <c r="E580" i="61"/>
  <c r="F580" i="61" s="1"/>
  <c r="C576" i="61"/>
  <c r="C577" i="61"/>
  <c r="J574" i="61"/>
  <c r="C572" i="61"/>
  <c r="E572" i="61"/>
  <c r="C568" i="61"/>
  <c r="C569" i="61"/>
  <c r="J566" i="61"/>
  <c r="C564" i="61"/>
  <c r="E564" i="61"/>
  <c r="C560" i="61"/>
  <c r="C561" i="61"/>
  <c r="J558" i="61"/>
  <c r="C556" i="61"/>
  <c r="E556" i="61"/>
  <c r="F556" i="61" s="1"/>
  <c r="C552" i="61"/>
  <c r="C553" i="61"/>
  <c r="J550" i="61"/>
  <c r="C548" i="61"/>
  <c r="E548" i="61"/>
  <c r="H540" i="61"/>
  <c r="J532" i="61"/>
  <c r="J523" i="61"/>
  <c r="J524" i="61"/>
  <c r="H517" i="61"/>
  <c r="H518" i="61"/>
  <c r="J513" i="61"/>
  <c r="C509" i="61"/>
  <c r="E509" i="61"/>
  <c r="C500" i="61"/>
  <c r="C501" i="61"/>
  <c r="C472" i="61"/>
  <c r="E472" i="61"/>
  <c r="E454" i="61"/>
  <c r="F455" i="61" s="1"/>
  <c r="C455" i="61"/>
  <c r="E438" i="61"/>
  <c r="C439" i="61"/>
  <c r="E422" i="61"/>
  <c r="F423" i="61" s="1"/>
  <c r="C423" i="61"/>
  <c r="C406" i="61"/>
  <c r="H366" i="61"/>
  <c r="C348" i="61"/>
  <c r="J337" i="61"/>
  <c r="F593" i="61"/>
  <c r="F577" i="61"/>
  <c r="H488" i="61"/>
  <c r="H489" i="61"/>
  <c r="H485" i="61"/>
  <c r="H486" i="61"/>
  <c r="C464" i="61"/>
  <c r="C465" i="61"/>
  <c r="E464" i="61"/>
  <c r="C448" i="61"/>
  <c r="C449" i="61"/>
  <c r="E448" i="61"/>
  <c r="F429" i="61"/>
  <c r="E347" i="61"/>
  <c r="F348" i="61" s="1"/>
  <c r="C347" i="61"/>
  <c r="J794" i="61"/>
  <c r="J786" i="61"/>
  <c r="J778" i="61"/>
  <c r="H644" i="61"/>
  <c r="J536" i="61"/>
  <c r="C530" i="61"/>
  <c r="C531" i="61"/>
  <c r="E530" i="61"/>
  <c r="E521" i="61"/>
  <c r="E520" i="61"/>
  <c r="C520" i="61"/>
  <c r="C506" i="61"/>
  <c r="E506" i="61"/>
  <c r="J504" i="61"/>
  <c r="J505" i="61"/>
  <c r="E488" i="61"/>
  <c r="C488" i="61"/>
  <c r="C478" i="61"/>
  <c r="E410" i="61"/>
  <c r="F410" i="61" s="1"/>
  <c r="C410" i="61"/>
  <c r="H384" i="61"/>
  <c r="H385" i="61"/>
  <c r="H358" i="61"/>
  <c r="C329" i="61"/>
  <c r="E329" i="61"/>
  <c r="F303" i="61"/>
  <c r="F304" i="61"/>
  <c r="F625" i="61"/>
  <c r="F561" i="61"/>
  <c r="J535" i="61"/>
  <c r="F501" i="61"/>
  <c r="C432" i="61"/>
  <c r="C433" i="61"/>
  <c r="E432" i="61"/>
  <c r="H400" i="61"/>
  <c r="H401" i="61"/>
  <c r="J646" i="61"/>
  <c r="J647" i="61"/>
  <c r="E642" i="61"/>
  <c r="F642" i="61" s="1"/>
  <c r="C637" i="61"/>
  <c r="C629" i="61"/>
  <c r="C621" i="61"/>
  <c r="C613" i="61"/>
  <c r="C605" i="61"/>
  <c r="C597" i="61"/>
  <c r="C589" i="61"/>
  <c r="C581" i="61"/>
  <c r="F578" i="61"/>
  <c r="C573" i="61"/>
  <c r="C565" i="61"/>
  <c r="C557" i="61"/>
  <c r="C549" i="61"/>
  <c r="J537" i="61"/>
  <c r="J514" i="61"/>
  <c r="F512" i="61"/>
  <c r="C510" i="61"/>
  <c r="E510" i="61"/>
  <c r="C507" i="61"/>
  <c r="H499" i="61"/>
  <c r="J494" i="61"/>
  <c r="J491" i="61"/>
  <c r="J492" i="61"/>
  <c r="J480" i="61"/>
  <c r="C473" i="61"/>
  <c r="H467" i="61"/>
  <c r="C462" i="61"/>
  <c r="J457" i="61"/>
  <c r="J458" i="61"/>
  <c r="C446" i="61"/>
  <c r="J441" i="61"/>
  <c r="J442" i="61"/>
  <c r="C430" i="61"/>
  <c r="J425" i="61"/>
  <c r="J426" i="61"/>
  <c r="J409" i="61"/>
  <c r="C370" i="61"/>
  <c r="E370" i="61"/>
  <c r="H368" i="61"/>
  <c r="H369" i="61"/>
  <c r="H359" i="61"/>
  <c r="C311" i="61"/>
  <c r="C312" i="61"/>
  <c r="E311" i="61"/>
  <c r="F311" i="61" s="1"/>
  <c r="E292" i="61"/>
  <c r="C293" i="61"/>
  <c r="C292" i="61"/>
  <c r="H290" i="61"/>
  <c r="H291" i="61"/>
  <c r="H563" i="61"/>
  <c r="H564" i="61"/>
  <c r="H555" i="61"/>
  <c r="H556" i="61"/>
  <c r="H547" i="61"/>
  <c r="H548" i="61"/>
  <c r="C486" i="61"/>
  <c r="J406" i="61"/>
  <c r="J407" i="61"/>
  <c r="C354" i="61"/>
  <c r="E354" i="61"/>
  <c r="H352" i="61"/>
  <c r="H353" i="61"/>
  <c r="H342" i="61"/>
  <c r="J332" i="61"/>
  <c r="C330" i="61"/>
  <c r="E504" i="61"/>
  <c r="C474" i="61"/>
  <c r="C475" i="61"/>
  <c r="H469" i="61"/>
  <c r="H470" i="61"/>
  <c r="C386" i="61"/>
  <c r="E386" i="61"/>
  <c r="C381" i="61"/>
  <c r="C382" i="61"/>
  <c r="E381" i="61"/>
  <c r="C365" i="61"/>
  <c r="C366" i="61"/>
  <c r="E365" i="61"/>
  <c r="C349" i="61"/>
  <c r="C350" i="61"/>
  <c r="E349" i="61"/>
  <c r="C335" i="61"/>
  <c r="C336" i="61"/>
  <c r="E335" i="61"/>
  <c r="F335" i="61" s="1"/>
  <c r="H319" i="61"/>
  <c r="C314" i="61"/>
  <c r="E314" i="61"/>
  <c r="F314" i="61" s="1"/>
  <c r="H270" i="61"/>
  <c r="J98" i="61"/>
  <c r="J99" i="61"/>
  <c r="C81" i="61"/>
  <c r="C82" i="61"/>
  <c r="E81" i="61"/>
  <c r="F81" i="61" s="1"/>
  <c r="E544" i="61"/>
  <c r="F544" i="61" s="1"/>
  <c r="E538" i="61"/>
  <c r="C522" i="61"/>
  <c r="H509" i="61"/>
  <c r="F479" i="61"/>
  <c r="J473" i="61"/>
  <c r="C412" i="61"/>
  <c r="E412" i="61"/>
  <c r="C407" i="61"/>
  <c r="E407" i="61"/>
  <c r="F407" i="61" s="1"/>
  <c r="H305" i="61"/>
  <c r="C303" i="61"/>
  <c r="C304" i="61"/>
  <c r="H296" i="61"/>
  <c r="J248" i="61"/>
  <c r="J249" i="61"/>
  <c r="C646" i="61"/>
  <c r="H641" i="61"/>
  <c r="J639" i="61"/>
  <c r="C638" i="61"/>
  <c r="H633" i="61"/>
  <c r="J631" i="61"/>
  <c r="C630" i="61"/>
  <c r="H625" i="61"/>
  <c r="J623" i="61"/>
  <c r="C622" i="61"/>
  <c r="H617" i="61"/>
  <c r="J615" i="61"/>
  <c r="C614" i="61"/>
  <c r="H609" i="61"/>
  <c r="J607" i="61"/>
  <c r="C606" i="61"/>
  <c r="H601" i="61"/>
  <c r="J599" i="61"/>
  <c r="C598" i="61"/>
  <c r="H593" i="61"/>
  <c r="J591" i="61"/>
  <c r="C590" i="61"/>
  <c r="H585" i="61"/>
  <c r="J583" i="61"/>
  <c r="C582" i="61"/>
  <c r="H577" i="61"/>
  <c r="J575" i="61"/>
  <c r="C574" i="61"/>
  <c r="H569" i="61"/>
  <c r="J567" i="61"/>
  <c r="C566" i="61"/>
  <c r="H561" i="61"/>
  <c r="J559" i="61"/>
  <c r="C558" i="61"/>
  <c r="H553" i="61"/>
  <c r="J551" i="61"/>
  <c r="C550" i="61"/>
  <c r="H545" i="61"/>
  <c r="C535" i="61"/>
  <c r="H523" i="61"/>
  <c r="J518" i="61"/>
  <c r="J497" i="61"/>
  <c r="C493" i="61"/>
  <c r="E490" i="61"/>
  <c r="J475" i="61"/>
  <c r="J476" i="61"/>
  <c r="J465" i="61"/>
  <c r="F462" i="61"/>
  <c r="H459" i="61"/>
  <c r="H460" i="61"/>
  <c r="J449" i="61"/>
  <c r="J450" i="61"/>
  <c r="F446" i="61"/>
  <c r="H443" i="61"/>
  <c r="H444" i="61"/>
  <c r="J433" i="61"/>
  <c r="J434" i="61"/>
  <c r="H427" i="61"/>
  <c r="H428" i="61"/>
  <c r="J417" i="61"/>
  <c r="J418" i="61"/>
  <c r="H416" i="61"/>
  <c r="E413" i="61"/>
  <c r="C413" i="61"/>
  <c r="C397" i="61"/>
  <c r="C398" i="61"/>
  <c r="E397" i="61"/>
  <c r="F397" i="61" s="1"/>
  <c r="C378" i="61"/>
  <c r="E378" i="61"/>
  <c r="H376" i="61"/>
  <c r="H377" i="61"/>
  <c r="C362" i="61"/>
  <c r="E362" i="61"/>
  <c r="H360" i="61"/>
  <c r="H361" i="61"/>
  <c r="C346" i="61"/>
  <c r="E346" i="61"/>
  <c r="F346" i="61" s="1"/>
  <c r="H344" i="61"/>
  <c r="H345" i="61"/>
  <c r="C327" i="61"/>
  <c r="E327" i="61"/>
  <c r="H281" i="61"/>
  <c r="H278" i="61"/>
  <c r="H261" i="61"/>
  <c r="H262" i="61"/>
  <c r="F260" i="61"/>
  <c r="C162" i="61"/>
  <c r="E162" i="61"/>
  <c r="F162" i="61" s="1"/>
  <c r="J539" i="61"/>
  <c r="E536" i="61"/>
  <c r="C514" i="61"/>
  <c r="C512" i="61"/>
  <c r="H501" i="61"/>
  <c r="C480" i="61"/>
  <c r="E480" i="61"/>
  <c r="F480" i="61" s="1"/>
  <c r="C470" i="61"/>
  <c r="C463" i="61"/>
  <c r="C447" i="61"/>
  <c r="C431" i="61"/>
  <c r="C409" i="61"/>
  <c r="C404" i="61"/>
  <c r="E404" i="61"/>
  <c r="F404" i="61" s="1"/>
  <c r="H390" i="61"/>
  <c r="C373" i="61"/>
  <c r="C374" i="61"/>
  <c r="E373" i="61"/>
  <c r="C357" i="61"/>
  <c r="C358" i="61"/>
  <c r="E357" i="61"/>
  <c r="C328" i="61"/>
  <c r="H325" i="61"/>
  <c r="H326" i="61"/>
  <c r="C316" i="61"/>
  <c r="J254" i="61"/>
  <c r="E224" i="61"/>
  <c r="C224" i="61"/>
  <c r="C225" i="61"/>
  <c r="H541" i="61"/>
  <c r="J515" i="61"/>
  <c r="C490" i="61"/>
  <c r="J467" i="61"/>
  <c r="J468" i="61"/>
  <c r="C414" i="61"/>
  <c r="E414" i="61"/>
  <c r="C389" i="61"/>
  <c r="C390" i="61"/>
  <c r="E389" i="61"/>
  <c r="C385" i="61"/>
  <c r="E385" i="61"/>
  <c r="E333" i="61"/>
  <c r="F333" i="61" s="1"/>
  <c r="C333" i="61"/>
  <c r="E317" i="61"/>
  <c r="C318" i="61"/>
  <c r="C467" i="61"/>
  <c r="H462" i="61"/>
  <c r="J460" i="61"/>
  <c r="C459" i="61"/>
  <c r="H454" i="61"/>
  <c r="J452" i="61"/>
  <c r="C451" i="61"/>
  <c r="H446" i="61"/>
  <c r="J444" i="61"/>
  <c r="C443" i="61"/>
  <c r="H438" i="61"/>
  <c r="J436" i="61"/>
  <c r="C435" i="61"/>
  <c r="H430" i="61"/>
  <c r="J428" i="61"/>
  <c r="C427" i="61"/>
  <c r="H422" i="61"/>
  <c r="J420" i="61"/>
  <c r="C419" i="61"/>
  <c r="E330" i="61"/>
  <c r="E284" i="61"/>
  <c r="E277" i="61"/>
  <c r="C278" i="61"/>
  <c r="H226" i="61"/>
  <c r="H227" i="61"/>
  <c r="F191" i="61"/>
  <c r="J153" i="61"/>
  <c r="J398" i="61"/>
  <c r="J399" i="61"/>
  <c r="J340" i="61"/>
  <c r="C331" i="61"/>
  <c r="H320" i="61"/>
  <c r="J308" i="61"/>
  <c r="H306" i="61"/>
  <c r="H307" i="61"/>
  <c r="C300" i="61"/>
  <c r="E300" i="61"/>
  <c r="C294" i="61"/>
  <c r="J292" i="61"/>
  <c r="E285" i="61"/>
  <c r="H271" i="61"/>
  <c r="J214" i="61"/>
  <c r="J215" i="61"/>
  <c r="C205" i="61"/>
  <c r="E205" i="61"/>
  <c r="F206" i="61" s="1"/>
  <c r="C206" i="61"/>
  <c r="J390" i="61"/>
  <c r="J391" i="61"/>
  <c r="F331" i="61"/>
  <c r="C295" i="61"/>
  <c r="C296" i="61"/>
  <c r="J288" i="61"/>
  <c r="J289" i="61"/>
  <c r="C282" i="61"/>
  <c r="E282" i="61"/>
  <c r="F282" i="61" s="1"/>
  <c r="C274" i="61"/>
  <c r="E274" i="61"/>
  <c r="J272" i="61"/>
  <c r="J273" i="61"/>
  <c r="E266" i="61"/>
  <c r="F266" i="61" s="1"/>
  <c r="E245" i="61"/>
  <c r="C246" i="61"/>
  <c r="J236" i="61"/>
  <c r="J237" i="61"/>
  <c r="C213" i="61"/>
  <c r="E213" i="61"/>
  <c r="C214" i="61"/>
  <c r="C415" i="61"/>
  <c r="J382" i="61"/>
  <c r="J383" i="61"/>
  <c r="J374" i="61"/>
  <c r="J375" i="61"/>
  <c r="J366" i="61"/>
  <c r="J367" i="61"/>
  <c r="J358" i="61"/>
  <c r="J359" i="61"/>
  <c r="J350" i="61"/>
  <c r="J351" i="61"/>
  <c r="J341" i="61"/>
  <c r="J342" i="61"/>
  <c r="C337" i="61"/>
  <c r="C338" i="61"/>
  <c r="E337" i="61"/>
  <c r="F332" i="61"/>
  <c r="H322" i="61"/>
  <c r="H323" i="61"/>
  <c r="E301" i="61"/>
  <c r="C301" i="61"/>
  <c r="H298" i="61"/>
  <c r="H299" i="61"/>
  <c r="J280" i="61"/>
  <c r="J281" i="61"/>
  <c r="H235" i="61"/>
  <c r="E216" i="61"/>
  <c r="C217" i="61"/>
  <c r="C216" i="61"/>
  <c r="J212" i="61"/>
  <c r="C186" i="61"/>
  <c r="E186" i="61"/>
  <c r="J178" i="61"/>
  <c r="J177" i="61"/>
  <c r="J264" i="61"/>
  <c r="J265" i="61"/>
  <c r="J240" i="61"/>
  <c r="J241" i="61"/>
  <c r="H232" i="61"/>
  <c r="H233" i="61"/>
  <c r="J185" i="61"/>
  <c r="J186" i="61"/>
  <c r="J174" i="61"/>
  <c r="J175" i="61"/>
  <c r="E153" i="61"/>
  <c r="C153" i="61"/>
  <c r="E325" i="61"/>
  <c r="C319" i="61"/>
  <c r="C320" i="61"/>
  <c r="J312" i="61"/>
  <c r="J313" i="61"/>
  <c r="F308" i="61"/>
  <c r="C287" i="61"/>
  <c r="C288" i="61"/>
  <c r="H282" i="61"/>
  <c r="H283" i="61"/>
  <c r="E269" i="61"/>
  <c r="J256" i="61"/>
  <c r="J257" i="61"/>
  <c r="E253" i="61"/>
  <c r="J204" i="61"/>
  <c r="H173" i="61"/>
  <c r="C171" i="61"/>
  <c r="C167" i="61"/>
  <c r="E167" i="61"/>
  <c r="F167" i="61" s="1"/>
  <c r="E134" i="61"/>
  <c r="F134" i="61" s="1"/>
  <c r="C134" i="61"/>
  <c r="J114" i="61"/>
  <c r="J115" i="61"/>
  <c r="C97" i="61"/>
  <c r="C98" i="61"/>
  <c r="E97" i="61"/>
  <c r="F97" i="61" s="1"/>
  <c r="H76" i="61"/>
  <c r="H77" i="61"/>
  <c r="C343" i="61"/>
  <c r="H330" i="61"/>
  <c r="E290" i="61"/>
  <c r="F290" i="61" s="1"/>
  <c r="C279" i="61"/>
  <c r="C280" i="61"/>
  <c r="H274" i="61"/>
  <c r="H275" i="61"/>
  <c r="C270" i="61"/>
  <c r="E261" i="61"/>
  <c r="C254" i="61"/>
  <c r="H242" i="61"/>
  <c r="H243" i="61"/>
  <c r="C239" i="61"/>
  <c r="C240" i="61"/>
  <c r="E239" i="61"/>
  <c r="F239" i="61" s="1"/>
  <c r="J195" i="61"/>
  <c r="E189" i="61"/>
  <c r="H165" i="61"/>
  <c r="E341" i="61"/>
  <c r="J320" i="61"/>
  <c r="J321" i="61"/>
  <c r="H314" i="61"/>
  <c r="H315" i="61"/>
  <c r="C309" i="61"/>
  <c r="J304" i="61"/>
  <c r="J305" i="61"/>
  <c r="C271" i="61"/>
  <c r="C272" i="61"/>
  <c r="H266" i="61"/>
  <c r="H267" i="61"/>
  <c r="C262" i="61"/>
  <c r="H250" i="61"/>
  <c r="H251" i="61"/>
  <c r="C247" i="61"/>
  <c r="C248" i="61"/>
  <c r="E247" i="61"/>
  <c r="C215" i="61"/>
  <c r="E185" i="61"/>
  <c r="C185" i="61"/>
  <c r="C178" i="61"/>
  <c r="E178" i="61"/>
  <c r="F178" i="61" s="1"/>
  <c r="E168" i="61"/>
  <c r="F169" i="61" s="1"/>
  <c r="C168" i="61"/>
  <c r="H166" i="61"/>
  <c r="J296" i="61"/>
  <c r="J297" i="61"/>
  <c r="C263" i="61"/>
  <c r="C264" i="61"/>
  <c r="H258" i="61"/>
  <c r="H259" i="61"/>
  <c r="C255" i="61"/>
  <c r="C256" i="61"/>
  <c r="E255" i="61"/>
  <c r="F255" i="61" s="1"/>
  <c r="C146" i="61"/>
  <c r="E146" i="61"/>
  <c r="F146" i="61" s="1"/>
  <c r="E135" i="61"/>
  <c r="F136" i="61" s="1"/>
  <c r="C135" i="61"/>
  <c r="J234" i="61"/>
  <c r="F208" i="61"/>
  <c r="F183" i="61"/>
  <c r="H150" i="61"/>
  <c r="C147" i="61"/>
  <c r="C136" i="61"/>
  <c r="C230" i="61"/>
  <c r="C227" i="61"/>
  <c r="E227" i="61"/>
  <c r="H213" i="61"/>
  <c r="C209" i="61"/>
  <c r="E200" i="61"/>
  <c r="J187" i="61"/>
  <c r="C163" i="61"/>
  <c r="J139" i="61"/>
  <c r="C113" i="61"/>
  <c r="C114" i="61"/>
  <c r="E113" i="61"/>
  <c r="H92" i="61"/>
  <c r="H93" i="61"/>
  <c r="F91" i="61"/>
  <c r="F14" i="61"/>
  <c r="E192" i="61"/>
  <c r="E144" i="61"/>
  <c r="F144" i="61" s="1"/>
  <c r="C137" i="61"/>
  <c r="E137" i="61"/>
  <c r="F137" i="61" s="1"/>
  <c r="J131" i="61"/>
  <c r="H108" i="61"/>
  <c r="H109" i="61"/>
  <c r="F107" i="61"/>
  <c r="C235" i="61"/>
  <c r="E235" i="61"/>
  <c r="E233" i="61"/>
  <c r="F233" i="61" s="1"/>
  <c r="C211" i="61"/>
  <c r="H197" i="61"/>
  <c r="C193" i="61"/>
  <c r="E184" i="61"/>
  <c r="F184" i="61" s="1"/>
  <c r="J171" i="61"/>
  <c r="J155" i="61"/>
  <c r="E152" i="61"/>
  <c r="C145" i="61"/>
  <c r="J132" i="61"/>
  <c r="F30" i="61"/>
  <c r="C203" i="61"/>
  <c r="H189" i="61"/>
  <c r="E176" i="61"/>
  <c r="F176" i="61" s="1"/>
  <c r="J163" i="61"/>
  <c r="E160" i="61"/>
  <c r="H141" i="61"/>
  <c r="C138" i="61"/>
  <c r="E138" i="61"/>
  <c r="H125" i="61"/>
  <c r="H126" i="61"/>
  <c r="H157" i="61"/>
  <c r="C154" i="61"/>
  <c r="E154" i="61"/>
  <c r="J82" i="61"/>
  <c r="J83" i="61"/>
  <c r="E219" i="61"/>
  <c r="E211" i="61"/>
  <c r="F211" i="61" s="1"/>
  <c r="E203" i="61"/>
  <c r="E195" i="61"/>
  <c r="E187" i="61"/>
  <c r="F187" i="61" s="1"/>
  <c r="E179" i="61"/>
  <c r="E171" i="61"/>
  <c r="E163" i="61"/>
  <c r="E155" i="61"/>
  <c r="E147" i="61"/>
  <c r="E139" i="61"/>
  <c r="H135" i="61"/>
  <c r="C129" i="61"/>
  <c r="C121" i="61"/>
  <c r="J106" i="61"/>
  <c r="J107" i="61"/>
  <c r="J90" i="61"/>
  <c r="J91" i="61"/>
  <c r="J74" i="61"/>
  <c r="J75" i="61"/>
  <c r="H68" i="61"/>
  <c r="H69" i="61"/>
  <c r="F129" i="61"/>
  <c r="J123" i="61"/>
  <c r="J124" i="61"/>
  <c r="F121" i="61"/>
  <c r="C105" i="61"/>
  <c r="C106" i="61"/>
  <c r="E105" i="61"/>
  <c r="F105" i="61" s="1"/>
  <c r="C89" i="61"/>
  <c r="C90" i="61"/>
  <c r="E89" i="61"/>
  <c r="C73" i="61"/>
  <c r="C74" i="61"/>
  <c r="E73" i="61"/>
  <c r="F73" i="61" s="1"/>
  <c r="C65" i="61"/>
  <c r="E65" i="61"/>
  <c r="F65" i="61" s="1"/>
  <c r="C57" i="61"/>
  <c r="E57" i="61"/>
  <c r="C49" i="61"/>
  <c r="E49" i="61"/>
  <c r="F49" i="61" s="1"/>
  <c r="C41" i="61"/>
  <c r="E41" i="61"/>
  <c r="F41" i="61" s="1"/>
  <c r="C33" i="61"/>
  <c r="E33" i="61"/>
  <c r="F33" i="61" s="1"/>
  <c r="C25" i="61"/>
  <c r="E25" i="61"/>
  <c r="F25" i="61" s="1"/>
  <c r="C17" i="61"/>
  <c r="E17" i="61"/>
  <c r="F17" i="61" s="1"/>
  <c r="C9" i="61"/>
  <c r="E9" i="61"/>
  <c r="F9" i="61" s="1"/>
  <c r="C130" i="61"/>
  <c r="E130" i="61"/>
  <c r="F130" i="61" s="1"/>
  <c r="F103" i="61"/>
  <c r="H61" i="61"/>
  <c r="H53" i="61"/>
  <c r="H45" i="61"/>
  <c r="H37" i="61"/>
  <c r="H29" i="61"/>
  <c r="H21" i="61"/>
  <c r="H13" i="61"/>
  <c r="C122" i="61"/>
  <c r="C123" i="61"/>
  <c r="E122" i="61"/>
  <c r="F122" i="61" s="1"/>
  <c r="H116" i="61"/>
  <c r="H117" i="61"/>
  <c r="F115" i="61"/>
  <c r="F112" i="61"/>
  <c r="H100" i="61"/>
  <c r="H101" i="61"/>
  <c r="H84" i="61"/>
  <c r="H85" i="61"/>
  <c r="F83" i="61"/>
  <c r="F80" i="61"/>
  <c r="J67" i="61"/>
  <c r="J59" i="61"/>
  <c r="J51" i="61"/>
  <c r="J43" i="61"/>
  <c r="J35" i="61"/>
  <c r="J27" i="61"/>
  <c r="J19" i="61"/>
  <c r="J11" i="61"/>
  <c r="C4" i="61"/>
  <c r="E4" i="61"/>
  <c r="F4" i="61" s="1"/>
  <c r="E124" i="61"/>
  <c r="E116" i="61"/>
  <c r="E108" i="61"/>
  <c r="E100" i="61"/>
  <c r="E92" i="61"/>
  <c r="E84" i="61"/>
  <c r="E76" i="61"/>
  <c r="E68" i="61"/>
  <c r="F68" i="61" s="1"/>
  <c r="E60" i="61"/>
  <c r="E52" i="61"/>
  <c r="F52" i="61" s="1"/>
  <c r="E44" i="61"/>
  <c r="F44" i="61" s="1"/>
  <c r="E36" i="61"/>
  <c r="F36" i="61" s="1"/>
  <c r="E28" i="61"/>
  <c r="F28" i="61" s="1"/>
  <c r="E20" i="61"/>
  <c r="F20" i="61" s="1"/>
  <c r="E12" i="61"/>
  <c r="F12" i="61" s="1"/>
  <c r="E131" i="61"/>
  <c r="H128" i="61"/>
  <c r="J126" i="61"/>
  <c r="C117" i="61"/>
  <c r="H112" i="61"/>
  <c r="J110" i="61"/>
  <c r="C109" i="61"/>
  <c r="H104" i="61"/>
  <c r="J102" i="61"/>
  <c r="C101" i="61"/>
  <c r="H96" i="61"/>
  <c r="J94" i="61"/>
  <c r="C93" i="61"/>
  <c r="H88" i="61"/>
  <c r="J86" i="61"/>
  <c r="C85" i="61"/>
  <c r="H80" i="61"/>
  <c r="J78" i="61"/>
  <c r="C77" i="61"/>
  <c r="H72" i="61"/>
  <c r="J70" i="61"/>
  <c r="C69" i="61"/>
  <c r="H64" i="61"/>
  <c r="J62" i="61"/>
  <c r="C61" i="61"/>
  <c r="H56" i="61"/>
  <c r="J54" i="61"/>
  <c r="C53" i="61"/>
  <c r="H48" i="61"/>
  <c r="J46" i="61"/>
  <c r="C45" i="61"/>
  <c r="H40" i="61"/>
  <c r="J38" i="61"/>
  <c r="C37" i="61"/>
  <c r="H32" i="61"/>
  <c r="J30" i="61"/>
  <c r="C29" i="61"/>
  <c r="H24" i="61"/>
  <c r="J22" i="61"/>
  <c r="C21" i="61"/>
  <c r="H16" i="61"/>
  <c r="J14" i="61"/>
  <c r="C13" i="61"/>
  <c r="J7" i="61"/>
  <c r="E66" i="61"/>
  <c r="F67" i="61" s="1"/>
  <c r="E58" i="61"/>
  <c r="E50" i="61"/>
  <c r="E42" i="61"/>
  <c r="E34" i="61"/>
  <c r="E26" i="61"/>
  <c r="E18" i="61"/>
  <c r="F18" i="61" s="1"/>
  <c r="E10" i="61"/>
  <c r="E5" i="61"/>
  <c r="G38" i="54"/>
  <c r="AG15" i="8"/>
  <c r="AE70" i="39"/>
  <c r="AC70" i="39"/>
  <c r="AB70" i="39"/>
  <c r="Z70" i="39"/>
  <c r="Y70" i="39"/>
  <c r="X70" i="39"/>
  <c r="Y71" i="39" s="1"/>
  <c r="W70" i="39"/>
  <c r="U70" i="39"/>
  <c r="T70" i="39"/>
  <c r="S70" i="39"/>
  <c r="R70" i="39"/>
  <c r="P70" i="39"/>
  <c r="O70" i="39"/>
  <c r="N70" i="39"/>
  <c r="O71" i="39" s="1"/>
  <c r="M70" i="39"/>
  <c r="K70" i="39"/>
  <c r="J70" i="39"/>
  <c r="I70" i="39"/>
  <c r="H70" i="39"/>
  <c r="F70" i="39"/>
  <c r="E70" i="39"/>
  <c r="D70" i="39"/>
  <c r="E71" i="39" s="1"/>
  <c r="C70" i="39"/>
  <c r="C67" i="15"/>
  <c r="AG50" i="40"/>
  <c r="B3" i="8"/>
  <c r="F740" i="61" l="1"/>
  <c r="F113" i="61"/>
  <c r="F247" i="61"/>
  <c r="F182" i="61"/>
  <c r="F362" i="61"/>
  <c r="F430" i="61"/>
  <c r="F767" i="61"/>
  <c r="F61" i="61"/>
  <c r="F226" i="61"/>
  <c r="F668" i="61"/>
  <c r="F189" i="61"/>
  <c r="F329" i="61"/>
  <c r="F585" i="61"/>
  <c r="F509" i="61"/>
  <c r="F572" i="61"/>
  <c r="F687" i="61"/>
  <c r="F743" i="61"/>
  <c r="F681" i="61"/>
  <c r="F88" i="61"/>
  <c r="F250" i="61"/>
  <c r="F721" i="61"/>
  <c r="F484" i="61"/>
  <c r="F94" i="61"/>
  <c r="F586" i="61"/>
  <c r="F749" i="61"/>
  <c r="F165" i="61"/>
  <c r="F493" i="61"/>
  <c r="F779" i="61"/>
  <c r="F245" i="61"/>
  <c r="F645" i="61"/>
  <c r="F383" i="61"/>
  <c r="F249" i="61"/>
  <c r="F467" i="61"/>
  <c r="F257" i="61"/>
  <c r="F516" i="61"/>
  <c r="F571" i="61"/>
  <c r="F289" i="61"/>
  <c r="F659" i="61"/>
  <c r="F253" i="61"/>
  <c r="F89" i="61"/>
  <c r="F504" i="61"/>
  <c r="F564" i="61"/>
  <c r="F628" i="61"/>
  <c r="F310" i="61"/>
  <c r="F418" i="61"/>
  <c r="F541" i="61"/>
  <c r="F264" i="61"/>
  <c r="F738" i="61"/>
  <c r="F706" i="61"/>
  <c r="F198" i="61"/>
  <c r="F774" i="61"/>
  <c r="F120" i="61"/>
  <c r="F86" i="61"/>
  <c r="F71" i="61"/>
  <c r="F57" i="61"/>
  <c r="F325" i="61"/>
  <c r="F284" i="61"/>
  <c r="F562" i="61"/>
  <c r="F685" i="61"/>
  <c r="F345" i="61"/>
  <c r="F646" i="61"/>
  <c r="F150" i="61"/>
  <c r="F630" i="61"/>
  <c r="F694" i="61"/>
  <c r="F48" i="61"/>
  <c r="F553" i="61"/>
  <c r="F227" i="61"/>
  <c r="F274" i="61"/>
  <c r="F487" i="61"/>
  <c r="F705" i="61"/>
  <c r="F110" i="61"/>
  <c r="F297" i="61"/>
  <c r="F603" i="61"/>
  <c r="F663" i="61"/>
  <c r="F388" i="61"/>
  <c r="F524" i="61"/>
  <c r="F119" i="61"/>
  <c r="F763" i="61"/>
  <c r="F323" i="61"/>
  <c r="F149" i="61"/>
  <c r="F419" i="61"/>
  <c r="F23" i="61"/>
  <c r="F389" i="61"/>
  <c r="F42" i="61"/>
  <c r="F205" i="61"/>
  <c r="F583" i="61"/>
  <c r="F775" i="61"/>
  <c r="F494" i="61"/>
  <c r="F197" i="61"/>
  <c r="F420" i="61"/>
  <c r="F600" i="61"/>
  <c r="F151" i="61"/>
  <c r="F737" i="61"/>
  <c r="F50" i="61"/>
  <c r="F591" i="61"/>
  <c r="F648" i="61"/>
  <c r="F54" i="61"/>
  <c r="F756" i="61"/>
  <c r="F525" i="61"/>
  <c r="F59" i="61"/>
  <c r="F160" i="61"/>
  <c r="F292" i="61"/>
  <c r="F482" i="61"/>
  <c r="F725" i="61"/>
  <c r="F793" i="61"/>
  <c r="F755" i="61"/>
  <c r="F660" i="61"/>
  <c r="F392" i="61"/>
  <c r="F60" i="61"/>
  <c r="F293" i="61"/>
  <c r="F436" i="61"/>
  <c r="F677" i="61"/>
  <c r="F695" i="61"/>
  <c r="F759" i="61"/>
  <c r="F729" i="61"/>
  <c r="F476" i="61"/>
  <c r="F396" i="61"/>
  <c r="F619" i="61"/>
  <c r="F732" i="61"/>
  <c r="F727" i="61"/>
  <c r="F661" i="61"/>
  <c r="F31" i="61"/>
  <c r="F391" i="61"/>
  <c r="F552" i="61"/>
  <c r="F377" i="61"/>
  <c r="F330" i="61"/>
  <c r="F485" i="61"/>
  <c r="F548" i="61"/>
  <c r="F657" i="61"/>
  <c r="F517" i="61"/>
  <c r="F268" i="61"/>
  <c r="F96" i="61"/>
  <c r="F10" i="61"/>
  <c r="F15" i="61"/>
  <c r="F179" i="61"/>
  <c r="F387" i="61"/>
  <c r="F506" i="61"/>
  <c r="F766" i="61"/>
  <c r="F754" i="61"/>
  <c r="F689" i="61"/>
  <c r="F555" i="61"/>
  <c r="F468" i="61"/>
  <c r="F701" i="61"/>
  <c r="F783" i="61"/>
  <c r="F126" i="61"/>
  <c r="F22" i="61"/>
  <c r="F39" i="61"/>
  <c r="F152" i="61"/>
  <c r="F746" i="61"/>
  <c r="F243" i="61"/>
  <c r="S6" i="61"/>
  <c r="S8" i="61" s="1"/>
  <c r="B101" i="15" s="1"/>
  <c r="E104" i="15" s="1"/>
  <c r="F104" i="15" s="1"/>
  <c r="G104" i="15" s="1"/>
  <c r="H104" i="15" s="1"/>
  <c r="I104" i="15" s="1"/>
  <c r="J104" i="15" s="1"/>
  <c r="K104" i="15" s="1"/>
  <c r="L104" i="15" s="1"/>
  <c r="M104" i="15" s="1"/>
  <c r="N104" i="15" s="1"/>
  <c r="O104" i="15" s="1"/>
  <c r="P104" i="15" s="1"/>
  <c r="Q104" i="15" s="1"/>
  <c r="R104" i="15" s="1"/>
  <c r="S104" i="15" s="1"/>
  <c r="T104" i="15" s="1"/>
  <c r="U104" i="15" s="1"/>
  <c r="V104" i="15" s="1"/>
  <c r="W104" i="15" s="1"/>
  <c r="X104" i="15" s="1"/>
  <c r="Y104" i="15" s="1"/>
  <c r="Z104" i="15" s="1"/>
  <c r="AA104" i="15" s="1"/>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F63" i="61"/>
  <c r="F265" i="61"/>
  <c r="F665" i="61"/>
  <c r="F570" i="61"/>
  <c r="F385" i="61"/>
  <c r="F378" i="61"/>
  <c r="F412" i="61"/>
  <c r="F470" i="61"/>
  <c r="F529" i="61"/>
  <c r="F534" i="61"/>
  <c r="F722" i="61"/>
  <c r="F242" i="61"/>
  <c r="F95" i="61"/>
  <c r="F74" i="61"/>
  <c r="F503" i="61"/>
  <c r="F712" i="61"/>
  <c r="F143" i="61"/>
  <c r="F369" i="61"/>
  <c r="F7" i="61"/>
  <c r="F526" i="61"/>
  <c r="F55" i="61"/>
  <c r="F370" i="61"/>
  <c r="F510" i="61"/>
  <c r="F623" i="61"/>
  <c r="F276" i="61"/>
  <c r="F514" i="61"/>
  <c r="F251" i="61"/>
  <c r="F300" i="61"/>
  <c r="F488" i="61"/>
  <c r="F421" i="61"/>
  <c r="F453" i="61"/>
  <c r="F669" i="61"/>
  <c r="F566" i="61"/>
  <c r="F352" i="61"/>
  <c r="F401" i="61"/>
  <c r="F154" i="61"/>
  <c r="F576" i="61"/>
  <c r="F273" i="61"/>
  <c r="F275" i="61"/>
  <c r="F438" i="61"/>
  <c r="F490" i="61"/>
  <c r="F439" i="61"/>
  <c r="F651" i="61"/>
  <c r="F664" i="61"/>
  <c r="F784" i="61"/>
  <c r="F138" i="61"/>
  <c r="F597" i="61"/>
  <c r="F82" i="61"/>
  <c r="F139" i="61"/>
  <c r="F607" i="61"/>
  <c r="F128" i="61"/>
  <c r="F647" i="61"/>
  <c r="F520" i="61"/>
  <c r="F615" i="61"/>
  <c r="F680" i="61"/>
  <c r="F313" i="61"/>
  <c r="F551" i="61"/>
  <c r="F649" i="61"/>
  <c r="F34" i="61"/>
  <c r="F131" i="61"/>
  <c r="F212" i="61"/>
  <c r="F495" i="61"/>
  <c r="F736" i="61"/>
  <c r="F321" i="61"/>
  <c r="F174" i="61"/>
  <c r="F90" i="61"/>
  <c r="F280" i="61"/>
  <c r="F654" i="61"/>
  <c r="F757" i="61"/>
  <c r="F173" i="61"/>
  <c r="F384" i="61"/>
  <c r="F87" i="61"/>
  <c r="F29" i="61"/>
  <c r="F398" i="61"/>
  <c r="F307" i="61"/>
  <c r="F6" i="61"/>
  <c r="F19" i="61"/>
  <c r="F180" i="61"/>
  <c r="F315" i="61"/>
  <c r="F334" i="61"/>
  <c r="F726" i="61"/>
  <c r="F639" i="61"/>
  <c r="F559" i="61"/>
  <c r="F43" i="61"/>
  <c r="F156" i="61"/>
  <c r="F327" i="61"/>
  <c r="F354" i="61"/>
  <c r="F565" i="61"/>
  <c r="F672" i="61"/>
  <c r="F175" i="61"/>
  <c r="F62" i="61"/>
  <c r="F13" i="61"/>
  <c r="F545" i="61"/>
  <c r="F363" i="61"/>
  <c r="F238" i="61"/>
  <c r="F444" i="61"/>
  <c r="F26" i="61"/>
  <c r="F190" i="61"/>
  <c r="F256" i="61"/>
  <c r="F414" i="61"/>
  <c r="F408" i="61"/>
  <c r="F535" i="61"/>
  <c r="F629" i="61"/>
  <c r="F730" i="61"/>
  <c r="F230" i="61"/>
  <c r="F232" i="61"/>
  <c r="F747" i="61"/>
  <c r="F142" i="61"/>
  <c r="F254" i="61"/>
  <c r="F177" i="61"/>
  <c r="F246" i="61"/>
  <c r="F186" i="61"/>
  <c r="F411" i="61"/>
  <c r="F483" i="61"/>
  <c r="F702" i="61"/>
  <c r="F761" i="61"/>
  <c r="F259" i="61"/>
  <c r="F417" i="61"/>
  <c r="F241" i="61"/>
  <c r="F715" i="61"/>
  <c r="F108" i="61"/>
  <c r="F109" i="61"/>
  <c r="F536" i="61"/>
  <c r="F537" i="61"/>
  <c r="F116" i="61"/>
  <c r="F117" i="61"/>
  <c r="F27" i="61"/>
  <c r="F114" i="61"/>
  <c r="F172" i="61"/>
  <c r="F171" i="61"/>
  <c r="F145" i="61"/>
  <c r="F192" i="61"/>
  <c r="F193" i="61"/>
  <c r="F188" i="61"/>
  <c r="F413" i="61"/>
  <c r="F106" i="61"/>
  <c r="F415" i="61"/>
  <c r="F662" i="61"/>
  <c r="F652" i="61"/>
  <c r="F700" i="61"/>
  <c r="F163" i="61"/>
  <c r="F164" i="61"/>
  <c r="F132" i="61"/>
  <c r="F365" i="61"/>
  <c r="F366" i="61"/>
  <c r="F448" i="61"/>
  <c r="F449" i="61"/>
  <c r="F533" i="61"/>
  <c r="F124" i="61"/>
  <c r="F125" i="61"/>
  <c r="F35" i="61"/>
  <c r="F235" i="61"/>
  <c r="F236" i="61"/>
  <c r="F185" i="61"/>
  <c r="F269" i="61"/>
  <c r="F270" i="61"/>
  <c r="F216" i="61"/>
  <c r="F217" i="61"/>
  <c r="F283" i="61"/>
  <c r="F337" i="61"/>
  <c r="F338" i="61"/>
  <c r="F248" i="61"/>
  <c r="F285" i="61"/>
  <c r="F286" i="61"/>
  <c r="F432" i="61"/>
  <c r="F433" i="61"/>
  <c r="F364" i="61"/>
  <c r="F557" i="61"/>
  <c r="F589" i="61"/>
  <c r="F621" i="61"/>
  <c r="F371" i="61"/>
  <c r="F718" i="61"/>
  <c r="F688" i="61"/>
  <c r="F764" i="61"/>
  <c r="F464" i="61"/>
  <c r="F465" i="61"/>
  <c r="F750" i="61"/>
  <c r="F76" i="61"/>
  <c r="F77" i="61"/>
  <c r="F51" i="61"/>
  <c r="F195" i="61"/>
  <c r="F196" i="61"/>
  <c r="F53" i="61"/>
  <c r="F123" i="61"/>
  <c r="F213" i="61"/>
  <c r="F214" i="61"/>
  <c r="F291" i="61"/>
  <c r="F357" i="61"/>
  <c r="F358" i="61"/>
  <c r="F538" i="61"/>
  <c r="F539" i="61"/>
  <c r="F530" i="61"/>
  <c r="F531" i="61"/>
  <c r="F454" i="61"/>
  <c r="F549" i="61"/>
  <c r="F581" i="61"/>
  <c r="F613" i="61"/>
  <c r="F379" i="61"/>
  <c r="F440" i="61"/>
  <c r="F441" i="61"/>
  <c r="F752" i="61"/>
  <c r="F776" i="61"/>
  <c r="F686" i="61"/>
  <c r="F792" i="61"/>
  <c r="F224" i="61"/>
  <c r="F225" i="61"/>
  <c r="F349" i="61"/>
  <c r="F350" i="61"/>
  <c r="F347" i="61"/>
  <c r="F240" i="61"/>
  <c r="F472" i="61"/>
  <c r="F473" i="61"/>
  <c r="F424" i="61"/>
  <c r="F425" i="61"/>
  <c r="F491" i="61"/>
  <c r="F489" i="61"/>
  <c r="F643" i="61"/>
  <c r="F728" i="61"/>
  <c r="F720" i="61"/>
  <c r="F768" i="61"/>
  <c r="F381" i="61"/>
  <c r="F382" i="61"/>
  <c r="F84" i="61"/>
  <c r="F85" i="61"/>
  <c r="F203" i="61"/>
  <c r="F204" i="61"/>
  <c r="F140" i="61"/>
  <c r="F92" i="61"/>
  <c r="F93" i="61"/>
  <c r="F98" i="61"/>
  <c r="F147" i="61"/>
  <c r="F148" i="61"/>
  <c r="F37" i="61"/>
  <c r="F168" i="61"/>
  <c r="F234" i="61"/>
  <c r="F153" i="61"/>
  <c r="F301" i="61"/>
  <c r="F277" i="61"/>
  <c r="F278" i="61"/>
  <c r="F21" i="61"/>
  <c r="F228" i="61"/>
  <c r="F302" i="61"/>
  <c r="F386" i="61"/>
  <c r="F390" i="61"/>
  <c r="F507" i="61"/>
  <c r="F326" i="61"/>
  <c r="F573" i="61"/>
  <c r="F605" i="61"/>
  <c r="F637" i="61"/>
  <c r="F355" i="61"/>
  <c r="F405" i="61"/>
  <c r="F505" i="61"/>
  <c r="F641" i="61"/>
  <c r="F499" i="61"/>
  <c r="F696" i="61"/>
  <c r="F317" i="61"/>
  <c r="F318" i="61"/>
  <c r="F522" i="61"/>
  <c r="F521" i="61"/>
  <c r="F69" i="61"/>
  <c r="F261" i="61"/>
  <c r="F262" i="61"/>
  <c r="F58" i="61"/>
  <c r="F5" i="61"/>
  <c r="P4" i="61" s="1"/>
  <c r="P6" i="61" s="1"/>
  <c r="F66" i="61"/>
  <c r="F100" i="61"/>
  <c r="F101" i="61"/>
  <c r="F11" i="61"/>
  <c r="F155" i="61"/>
  <c r="F219" i="61"/>
  <c r="F220" i="61"/>
  <c r="F45" i="61"/>
  <c r="F200" i="61"/>
  <c r="F201" i="61"/>
  <c r="F135" i="61"/>
  <c r="F342" i="61"/>
  <c r="F341" i="61"/>
  <c r="F328" i="61"/>
  <c r="F161" i="61"/>
  <c r="F373" i="61"/>
  <c r="F374" i="61"/>
  <c r="F267" i="61"/>
  <c r="F481" i="61"/>
  <c r="F511" i="61"/>
  <c r="F336" i="61"/>
  <c r="F422" i="61"/>
  <c r="F477" i="61"/>
  <c r="F478" i="61"/>
  <c r="F312" i="61"/>
  <c r="F644" i="61"/>
  <c r="F456" i="61"/>
  <c r="F457" i="61"/>
  <c r="F744" i="61"/>
  <c r="F656" i="61"/>
  <c r="F704" i="61"/>
  <c r="F760" i="61"/>
  <c r="F724" i="61"/>
  <c r="S71" i="39"/>
  <c r="Z71" i="39"/>
  <c r="J71" i="39"/>
  <c r="F71" i="39"/>
  <c r="P71" i="39"/>
  <c r="N71" i="39"/>
  <c r="T71" i="39"/>
  <c r="X71" i="39"/>
  <c r="K71" i="39"/>
  <c r="I71" i="39"/>
  <c r="AC71" i="39"/>
  <c r="U71" i="39"/>
  <c r="D71" i="39"/>
  <c r="E119" i="15" l="1"/>
  <c r="F119" i="15" s="1"/>
  <c r="G119" i="15" s="1"/>
  <c r="H119" i="15" s="1"/>
  <c r="I119" i="15" s="1"/>
  <c r="J119" i="15" s="1"/>
  <c r="K119" i="15" s="1"/>
  <c r="L119" i="15" s="1"/>
  <c r="M119" i="15" s="1"/>
  <c r="N119" i="15" s="1"/>
  <c r="O119" i="15" s="1"/>
  <c r="P119" i="15" s="1"/>
  <c r="Q119" i="15" s="1"/>
  <c r="R119" i="15" s="1"/>
  <c r="S119" i="15" s="1"/>
  <c r="T119" i="15" s="1"/>
  <c r="U119" i="15" s="1"/>
  <c r="V119" i="15" s="1"/>
  <c r="W119" i="15" s="1"/>
  <c r="X119" i="15" s="1"/>
  <c r="Y119" i="15" s="1"/>
  <c r="Z119" i="15" s="1"/>
  <c r="AA119" i="15" s="1"/>
  <c r="AB119" i="15" s="1"/>
  <c r="AC119" i="15" s="1"/>
  <c r="AD119" i="15" s="1"/>
  <c r="AE119" i="15" s="1"/>
  <c r="AF119" i="15" s="1"/>
  <c r="AG119" i="15" s="1"/>
  <c r="AH119" i="15" s="1"/>
  <c r="AI119" i="15" s="1"/>
  <c r="AJ119" i="15" s="1"/>
  <c r="AK119" i="15" s="1"/>
  <c r="AL119" i="15" s="1"/>
  <c r="AM119" i="15" s="1"/>
  <c r="AN119" i="15" s="1"/>
  <c r="AO119" i="15" s="1"/>
  <c r="AP119" i="15" s="1"/>
  <c r="AQ119" i="15" s="1"/>
  <c r="AR119" i="15" s="1"/>
  <c r="AS119" i="15" s="1"/>
  <c r="AT119" i="15" s="1"/>
  <c r="AU119" i="15" s="1"/>
  <c r="AF53" i="39"/>
  <c r="AG53" i="39" s="1"/>
  <c r="AF60" i="39"/>
  <c r="AF59" i="39"/>
  <c r="AF58" i="39"/>
  <c r="AF57" i="39"/>
  <c r="AF56" i="39"/>
  <c r="AF55" i="39"/>
  <c r="AF52" i="39"/>
  <c r="AG52" i="39" s="1"/>
  <c r="AH52" i="39" s="1"/>
  <c r="AI52" i="39" s="1"/>
  <c r="AJ52" i="39" s="1"/>
  <c r="AK52" i="39" s="1"/>
  <c r="AL52" i="39" s="1"/>
  <c r="AM52" i="39" s="1"/>
  <c r="AN52" i="39" s="1"/>
  <c r="AO52" i="39" s="1"/>
  <c r="AP52" i="39" s="1"/>
  <c r="AQ52" i="39" s="1"/>
  <c r="AR52" i="39" s="1"/>
  <c r="AS52" i="39" s="1"/>
  <c r="AT52" i="39" s="1"/>
  <c r="AU52" i="39" s="1"/>
  <c r="AV52" i="39" s="1"/>
  <c r="AW52" i="39" s="1"/>
  <c r="AX52" i="39" s="1"/>
  <c r="AY52" i="39" s="1"/>
  <c r="AZ52" i="39" s="1"/>
  <c r="BA52" i="39" s="1"/>
  <c r="BB52" i="39" s="1"/>
  <c r="BC52" i="39" s="1"/>
  <c r="BD52" i="39" s="1"/>
  <c r="BE52" i="39" s="1"/>
  <c r="BF52" i="39" s="1"/>
  <c r="BG52" i="39" s="1"/>
  <c r="BH52" i="39" s="1"/>
  <c r="BI52" i="39" s="1"/>
  <c r="BJ52" i="39" s="1"/>
  <c r="BK52" i="39" s="1"/>
  <c r="BL52" i="39" s="1"/>
  <c r="BM52" i="39" s="1"/>
  <c r="BN52" i="39" s="1"/>
  <c r="BO52" i="39" s="1"/>
  <c r="BP52" i="39" s="1"/>
  <c r="BQ52" i="39" s="1"/>
  <c r="BR52" i="39" s="1"/>
  <c r="BS52" i="39" s="1"/>
  <c r="BT52" i="39" s="1"/>
  <c r="BU52" i="39" s="1"/>
  <c r="BV52" i="39" s="1"/>
  <c r="BW52" i="39" s="1"/>
  <c r="AF51" i="39"/>
  <c r="AG51" i="39" s="1"/>
  <c r="AF50" i="39"/>
  <c r="AF49" i="39"/>
  <c r="AF47" i="39"/>
  <c r="AG47" i="39" s="1"/>
  <c r="AH47" i="39" s="1"/>
  <c r="AI47" i="39" s="1"/>
  <c r="AJ47" i="39" s="1"/>
  <c r="AK47" i="39" s="1"/>
  <c r="AL47" i="39" s="1"/>
  <c r="AM47" i="39" s="1"/>
  <c r="AN47" i="39" s="1"/>
  <c r="AO47" i="39" s="1"/>
  <c r="AP47" i="39" s="1"/>
  <c r="AQ47" i="39" s="1"/>
  <c r="AR47" i="39" s="1"/>
  <c r="AS47" i="39" s="1"/>
  <c r="AT47" i="39" s="1"/>
  <c r="AU47" i="39" s="1"/>
  <c r="AV47" i="39" s="1"/>
  <c r="AW47" i="39" s="1"/>
  <c r="AX47" i="39" s="1"/>
  <c r="AY47" i="39" s="1"/>
  <c r="AZ47" i="39" s="1"/>
  <c r="BA47" i="39" s="1"/>
  <c r="BB47" i="39" s="1"/>
  <c r="BC47" i="39" s="1"/>
  <c r="BD47" i="39" s="1"/>
  <c r="BE47" i="39" s="1"/>
  <c r="BF47" i="39" s="1"/>
  <c r="BG47" i="39" s="1"/>
  <c r="BH47" i="39" s="1"/>
  <c r="BI47" i="39" s="1"/>
  <c r="BJ47" i="39" s="1"/>
  <c r="BK47" i="39" s="1"/>
  <c r="BL47" i="39" s="1"/>
  <c r="BM47" i="39" s="1"/>
  <c r="BN47" i="39" s="1"/>
  <c r="BO47" i="39" s="1"/>
  <c r="BP47" i="39" s="1"/>
  <c r="BQ47" i="39" s="1"/>
  <c r="BR47" i="39" s="1"/>
  <c r="BS47" i="39" s="1"/>
  <c r="BT47" i="39" s="1"/>
  <c r="BU47" i="39" s="1"/>
  <c r="BV47" i="39" s="1"/>
  <c r="BW47" i="39" s="1"/>
  <c r="AF46" i="39"/>
  <c r="AG46" i="39" s="1"/>
  <c r="AF45" i="39"/>
  <c r="AF44" i="39"/>
  <c r="AF43" i="39"/>
  <c r="AG43" i="39" s="1"/>
  <c r="AH43" i="39" s="1"/>
  <c r="AI43" i="39" s="1"/>
  <c r="AF41" i="39"/>
  <c r="AF40" i="39"/>
  <c r="AF32" i="39"/>
  <c r="AF56" i="37" s="1"/>
  <c r="AF31" i="39"/>
  <c r="AF16" i="37" s="1"/>
  <c r="AF30" i="39"/>
  <c r="AG30" i="39" s="1"/>
  <c r="AH30" i="39" s="1"/>
  <c r="AI30" i="39" s="1"/>
  <c r="AJ30" i="39" s="1"/>
  <c r="AK30" i="39" s="1"/>
  <c r="AL30" i="39" s="1"/>
  <c r="AM30" i="39" s="1"/>
  <c r="AN30" i="39" s="1"/>
  <c r="AO30" i="39" s="1"/>
  <c r="AP30" i="39" s="1"/>
  <c r="AQ30" i="39" s="1"/>
  <c r="AR30" i="39" s="1"/>
  <c r="AS30" i="39" s="1"/>
  <c r="AT30" i="39" s="1"/>
  <c r="AU30" i="39" s="1"/>
  <c r="AV30" i="39" s="1"/>
  <c r="AW30" i="39" s="1"/>
  <c r="AX30" i="39" s="1"/>
  <c r="AY30" i="39" s="1"/>
  <c r="AZ30" i="39" s="1"/>
  <c r="BA30" i="39" s="1"/>
  <c r="BB30" i="39" s="1"/>
  <c r="BC30" i="39" s="1"/>
  <c r="BD30" i="39" s="1"/>
  <c r="BE30" i="39" s="1"/>
  <c r="BF30" i="39" s="1"/>
  <c r="BG30" i="39" s="1"/>
  <c r="BH30" i="39" s="1"/>
  <c r="BI30" i="39" s="1"/>
  <c r="BJ30" i="39" s="1"/>
  <c r="BK30" i="39" s="1"/>
  <c r="BL30" i="39" s="1"/>
  <c r="BM30" i="39" s="1"/>
  <c r="BN30" i="39" s="1"/>
  <c r="BO30" i="39" s="1"/>
  <c r="BP30" i="39" s="1"/>
  <c r="BQ30" i="39" s="1"/>
  <c r="BR30" i="39" s="1"/>
  <c r="BS30" i="39" s="1"/>
  <c r="BT30" i="39" s="1"/>
  <c r="BU30" i="39" s="1"/>
  <c r="BV30" i="39" s="1"/>
  <c r="BW30" i="39" s="1"/>
  <c r="AF29" i="39"/>
  <c r="AF27" i="39"/>
  <c r="AG27" i="39" s="1"/>
  <c r="AH27" i="39" s="1"/>
  <c r="AI27" i="39" s="1"/>
  <c r="AJ27" i="39" s="1"/>
  <c r="AK27" i="39" s="1"/>
  <c r="AL27" i="39" s="1"/>
  <c r="AM27" i="39" s="1"/>
  <c r="AN27" i="39" s="1"/>
  <c r="AO27" i="39" s="1"/>
  <c r="AP27" i="39" s="1"/>
  <c r="AQ27" i="39" s="1"/>
  <c r="AR27" i="39" s="1"/>
  <c r="AS27" i="39" s="1"/>
  <c r="AT27" i="39" s="1"/>
  <c r="AU27" i="39" s="1"/>
  <c r="AV27" i="39" s="1"/>
  <c r="AW27" i="39" s="1"/>
  <c r="AX27" i="39" s="1"/>
  <c r="AY27" i="39" s="1"/>
  <c r="AZ27" i="39" s="1"/>
  <c r="BA27" i="39" s="1"/>
  <c r="BB27" i="39" s="1"/>
  <c r="BC27" i="39" s="1"/>
  <c r="BD27" i="39" s="1"/>
  <c r="BE27" i="39" s="1"/>
  <c r="BF27" i="39" s="1"/>
  <c r="BG27" i="39" s="1"/>
  <c r="BH27" i="39" s="1"/>
  <c r="BI27" i="39" s="1"/>
  <c r="BJ27" i="39" s="1"/>
  <c r="BK27" i="39" s="1"/>
  <c r="BL27" i="39" s="1"/>
  <c r="BM27" i="39" s="1"/>
  <c r="BN27" i="39" s="1"/>
  <c r="BO27" i="39" s="1"/>
  <c r="BP27" i="39" s="1"/>
  <c r="BQ27" i="39" s="1"/>
  <c r="BR27" i="39" s="1"/>
  <c r="BS27" i="39" s="1"/>
  <c r="BT27" i="39" s="1"/>
  <c r="BU27" i="39" s="1"/>
  <c r="BV27" i="39" s="1"/>
  <c r="BW27" i="39" s="1"/>
  <c r="AF26" i="39"/>
  <c r="AG26" i="39" s="1"/>
  <c r="AH26" i="39" s="1"/>
  <c r="AI26" i="39" s="1"/>
  <c r="AJ26" i="39" s="1"/>
  <c r="AK26" i="39" s="1"/>
  <c r="AL26" i="39" s="1"/>
  <c r="AM26" i="39" s="1"/>
  <c r="AN26" i="39" s="1"/>
  <c r="AO26" i="39" s="1"/>
  <c r="AP26" i="39" s="1"/>
  <c r="AQ26" i="39" s="1"/>
  <c r="AR26" i="39" s="1"/>
  <c r="AS26" i="39" s="1"/>
  <c r="AT26" i="39" s="1"/>
  <c r="AU26" i="39" s="1"/>
  <c r="AV26" i="39" s="1"/>
  <c r="AW26" i="39" s="1"/>
  <c r="AX26" i="39" s="1"/>
  <c r="AY26" i="39" s="1"/>
  <c r="AZ26" i="39" s="1"/>
  <c r="BA26" i="39" s="1"/>
  <c r="BB26" i="39" s="1"/>
  <c r="BC26" i="39" s="1"/>
  <c r="BD26" i="39" s="1"/>
  <c r="BE26" i="39" s="1"/>
  <c r="BF26" i="39" s="1"/>
  <c r="BG26" i="39" s="1"/>
  <c r="BH26" i="39" s="1"/>
  <c r="BI26" i="39" s="1"/>
  <c r="BJ26" i="39" s="1"/>
  <c r="BK26" i="39" s="1"/>
  <c r="BL26" i="39" s="1"/>
  <c r="BM26" i="39" s="1"/>
  <c r="BN26" i="39" s="1"/>
  <c r="BO26" i="39" s="1"/>
  <c r="BP26" i="39" s="1"/>
  <c r="BQ26" i="39" s="1"/>
  <c r="BR26" i="39" s="1"/>
  <c r="BS26" i="39" s="1"/>
  <c r="BT26" i="39" s="1"/>
  <c r="BU26" i="39" s="1"/>
  <c r="BV26" i="39" s="1"/>
  <c r="BW26" i="39" s="1"/>
  <c r="AF25" i="39"/>
  <c r="AF23" i="39"/>
  <c r="AF21" i="39"/>
  <c r="AF17" i="39"/>
  <c r="AF16" i="36" s="1"/>
  <c r="AF42" i="40"/>
  <c r="AF58" i="37"/>
  <c r="AF54" i="37"/>
  <c r="AG54" i="37" s="1"/>
  <c r="AH54" i="37" s="1"/>
  <c r="AI54" i="37" s="1"/>
  <c r="AJ54" i="37" s="1"/>
  <c r="AK54" i="37" s="1"/>
  <c r="AL54" i="37" s="1"/>
  <c r="AM54" i="37" s="1"/>
  <c r="AN54" i="37" s="1"/>
  <c r="AO54" i="37" s="1"/>
  <c r="AP54" i="37" s="1"/>
  <c r="AQ54" i="37" s="1"/>
  <c r="AR54" i="37" s="1"/>
  <c r="AS54" i="37" s="1"/>
  <c r="AT54" i="37" s="1"/>
  <c r="AU54" i="37" s="1"/>
  <c r="AV54" i="37" s="1"/>
  <c r="AW54" i="37" s="1"/>
  <c r="AX54" i="37" s="1"/>
  <c r="AY54" i="37" s="1"/>
  <c r="AZ54" i="37" s="1"/>
  <c r="BA54" i="37" s="1"/>
  <c r="BB54" i="37" s="1"/>
  <c r="BC54" i="37" s="1"/>
  <c r="BD54" i="37" s="1"/>
  <c r="BE54" i="37" s="1"/>
  <c r="BF54" i="37" s="1"/>
  <c r="BG54" i="37" s="1"/>
  <c r="BH54" i="37" s="1"/>
  <c r="BI54" i="37" s="1"/>
  <c r="BJ54" i="37" s="1"/>
  <c r="BK54" i="37" s="1"/>
  <c r="BL54" i="37" s="1"/>
  <c r="BM54" i="37" s="1"/>
  <c r="BN54" i="37" s="1"/>
  <c r="BO54" i="37" s="1"/>
  <c r="BP54" i="37" s="1"/>
  <c r="BQ54" i="37" s="1"/>
  <c r="BR54" i="37" s="1"/>
  <c r="BS54" i="37" s="1"/>
  <c r="BT54" i="37" s="1"/>
  <c r="BU54" i="37" s="1"/>
  <c r="BV54" i="37" s="1"/>
  <c r="BW54" i="37" s="1"/>
  <c r="AF66" i="37"/>
  <c r="AF57" i="37" s="1"/>
  <c r="AF14" i="37"/>
  <c r="AG14" i="37" s="1"/>
  <c r="AH14" i="37" s="1"/>
  <c r="AI14" i="37" s="1"/>
  <c r="AJ14" i="37" s="1"/>
  <c r="AK14" i="37" s="1"/>
  <c r="AL14" i="37" s="1"/>
  <c r="AM14" i="37" s="1"/>
  <c r="AN14" i="37" s="1"/>
  <c r="AO14" i="37" s="1"/>
  <c r="AP14" i="37" s="1"/>
  <c r="AQ14" i="37" s="1"/>
  <c r="AR14" i="37" s="1"/>
  <c r="AS14" i="37" s="1"/>
  <c r="AT14" i="37" s="1"/>
  <c r="AU14" i="37" s="1"/>
  <c r="AV14" i="37" s="1"/>
  <c r="AW14" i="37" s="1"/>
  <c r="AX14" i="37" s="1"/>
  <c r="AY14" i="37" s="1"/>
  <c r="AZ14" i="37" s="1"/>
  <c r="BA14" i="37" s="1"/>
  <c r="BB14" i="37" s="1"/>
  <c r="BC14" i="37" s="1"/>
  <c r="BD14" i="37" s="1"/>
  <c r="BE14" i="37" s="1"/>
  <c r="BF14" i="37" s="1"/>
  <c r="BG14" i="37" s="1"/>
  <c r="BH14" i="37" s="1"/>
  <c r="BI14" i="37" s="1"/>
  <c r="BJ14" i="37" s="1"/>
  <c r="BK14" i="37" s="1"/>
  <c r="BL14" i="37" s="1"/>
  <c r="BM14" i="37" s="1"/>
  <c r="BN14" i="37" s="1"/>
  <c r="BO14" i="37" s="1"/>
  <c r="BP14" i="37" s="1"/>
  <c r="BQ14" i="37" s="1"/>
  <c r="BR14" i="37" s="1"/>
  <c r="BS14" i="37" s="1"/>
  <c r="BT14" i="37" s="1"/>
  <c r="BU14" i="37" s="1"/>
  <c r="BV14" i="37" s="1"/>
  <c r="BW14" i="37" s="1"/>
  <c r="AF17" i="37"/>
  <c r="AF27" i="37"/>
  <c r="H191" i="54"/>
  <c r="F129" i="54"/>
  <c r="G129" i="54" s="1"/>
  <c r="E129" i="54"/>
  <c r="D129" i="54"/>
  <c r="C129" i="54"/>
  <c r="B129" i="54"/>
  <c r="F127" i="54"/>
  <c r="G127" i="54" s="1"/>
  <c r="E127" i="54"/>
  <c r="D127" i="54"/>
  <c r="C127" i="54"/>
  <c r="B127" i="54"/>
  <c r="F126" i="54"/>
  <c r="G125" i="54"/>
  <c r="D97" i="54"/>
  <c r="AS85" i="54"/>
  <c r="H65" i="54"/>
  <c r="H63" i="54"/>
  <c r="F38" i="54"/>
  <c r="E38" i="54"/>
  <c r="D38" i="54"/>
  <c r="C38" i="54"/>
  <c r="B38" i="54"/>
  <c r="AF53" i="53"/>
  <c r="AE53" i="53"/>
  <c r="AD53" i="53"/>
  <c r="AC53" i="53"/>
  <c r="AB53" i="53"/>
  <c r="AA53" i="53"/>
  <c r="Z53" i="53"/>
  <c r="Y53" i="53"/>
  <c r="X53" i="53"/>
  <c r="W53" i="53"/>
  <c r="V53" i="53"/>
  <c r="AE52" i="53"/>
  <c r="Z52" i="53"/>
  <c r="AE51" i="53"/>
  <c r="AC51" i="53"/>
  <c r="Z51" i="53"/>
  <c r="Y51" i="53"/>
  <c r="X51" i="53"/>
  <c r="AE50" i="53"/>
  <c r="Z50" i="53"/>
  <c r="AE49" i="53"/>
  <c r="Z49" i="53"/>
  <c r="AF48" i="53"/>
  <c r="AE48" i="53"/>
  <c r="AD48" i="53"/>
  <c r="AC48" i="53"/>
  <c r="AB48" i="53"/>
  <c r="AA48" i="53"/>
  <c r="Z48" i="53"/>
  <c r="Y48" i="53"/>
  <c r="X48" i="53"/>
  <c r="W48" i="53"/>
  <c r="V48" i="53"/>
  <c r="AE47" i="53"/>
  <c r="Z47" i="53"/>
  <c r="AE46" i="53"/>
  <c r="AD46" i="53"/>
  <c r="AC46" i="53"/>
  <c r="AB46" i="53"/>
  <c r="AA46" i="53"/>
  <c r="Z46" i="53"/>
  <c r="Y46" i="53"/>
  <c r="X46" i="53"/>
  <c r="W46" i="53"/>
  <c r="AE45" i="53"/>
  <c r="Z45" i="53"/>
  <c r="AF44" i="53"/>
  <c r="AE44" i="53"/>
  <c r="AD44" i="53"/>
  <c r="AC44" i="53"/>
  <c r="AB44" i="53"/>
  <c r="AA44" i="53"/>
  <c r="Z44" i="53"/>
  <c r="Y44" i="53"/>
  <c r="X44" i="53"/>
  <c r="W44" i="53"/>
  <c r="V44" i="53"/>
  <c r="AE43" i="53"/>
  <c r="Z43" i="53"/>
  <c r="AE42" i="53"/>
  <c r="Z42"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F23" i="53"/>
  <c r="AA23" i="53"/>
  <c r="V23" i="53"/>
  <c r="Q23" i="53"/>
  <c r="L23" i="53"/>
  <c r="G23" i="53"/>
  <c r="AF22" i="53"/>
  <c r="AA22" i="53"/>
  <c r="V22" i="53"/>
  <c r="Q22" i="53"/>
  <c r="L22" i="53"/>
  <c r="G22" i="53"/>
  <c r="AF21" i="53"/>
  <c r="AA21" i="53"/>
  <c r="V21" i="53"/>
  <c r="Q21" i="53"/>
  <c r="L21" i="53"/>
  <c r="G21" i="53"/>
  <c r="AF20" i="53"/>
  <c r="AA20" i="53"/>
  <c r="V20" i="53"/>
  <c r="Q20" i="53"/>
  <c r="L20" i="53"/>
  <c r="G20" i="53"/>
  <c r="AF17" i="53"/>
  <c r="AA17" i="53"/>
  <c r="V17" i="53"/>
  <c r="Q17" i="53"/>
  <c r="L17" i="53"/>
  <c r="G17" i="53"/>
  <c r="AF16" i="53"/>
  <c r="AA16" i="53"/>
  <c r="V16" i="53"/>
  <c r="Q16" i="53"/>
  <c r="L16" i="53"/>
  <c r="G16" i="53"/>
  <c r="AF15" i="53"/>
  <c r="AA15" i="53"/>
  <c r="V15" i="53"/>
  <c r="Q15" i="53"/>
  <c r="L15" i="53"/>
  <c r="G15" i="53"/>
  <c r="AF14" i="53"/>
  <c r="AA14" i="53"/>
  <c r="V14" i="53"/>
  <c r="Q14" i="53"/>
  <c r="L14" i="53"/>
  <c r="G14" i="53"/>
  <c r="AF12" i="53"/>
  <c r="AE12" i="53"/>
  <c r="AD12" i="53"/>
  <c r="AC12" i="53"/>
  <c r="AB12" i="53"/>
  <c r="AA12" i="53"/>
  <c r="Z12" i="53"/>
  <c r="Y12" i="53"/>
  <c r="X12" i="53"/>
  <c r="W12" i="53"/>
  <c r="V12" i="53"/>
  <c r="U12" i="53"/>
  <c r="T12" i="53"/>
  <c r="S12" i="53"/>
  <c r="R12" i="53"/>
  <c r="Q12" i="53"/>
  <c r="P12" i="53"/>
  <c r="O12" i="53"/>
  <c r="N12" i="53"/>
  <c r="M12" i="53"/>
  <c r="L12" i="53"/>
  <c r="K12" i="53"/>
  <c r="J12" i="53"/>
  <c r="I12" i="53"/>
  <c r="H12" i="53"/>
  <c r="G12" i="53"/>
  <c r="F12" i="53"/>
  <c r="E12" i="53"/>
  <c r="D12" i="53"/>
  <c r="C12" i="53"/>
  <c r="AF11" i="53"/>
  <c r="AA11" i="53"/>
  <c r="V11" i="53"/>
  <c r="Q11" i="53"/>
  <c r="L11" i="53"/>
  <c r="G11" i="53"/>
  <c r="AF10" i="53"/>
  <c r="AA10" i="53"/>
  <c r="V10" i="53"/>
  <c r="Q10" i="53"/>
  <c r="L10" i="53"/>
  <c r="G10" i="53"/>
  <c r="AF9" i="53"/>
  <c r="AA9" i="53"/>
  <c r="V9" i="53"/>
  <c r="Q9" i="53"/>
  <c r="L9" i="53"/>
  <c r="G9" i="53"/>
  <c r="AF8" i="53"/>
  <c r="AA8" i="53"/>
  <c r="V8" i="53"/>
  <c r="Q8" i="53"/>
  <c r="L8" i="53"/>
  <c r="G8" i="53"/>
  <c r="AF6" i="53"/>
  <c r="AA6" i="53"/>
  <c r="V6" i="53"/>
  <c r="Q6" i="53"/>
  <c r="L6" i="53"/>
  <c r="G6" i="53"/>
  <c r="AE17" i="41"/>
  <c r="AD17" i="41"/>
  <c r="AC17" i="41"/>
  <c r="AB17" i="41"/>
  <c r="Z17" i="41"/>
  <c r="Y17" i="41"/>
  <c r="X17" i="41"/>
  <c r="W17" i="41"/>
  <c r="U17" i="41"/>
  <c r="T17" i="41"/>
  <c r="S17" i="41"/>
  <c r="R17" i="41"/>
  <c r="P17" i="41"/>
  <c r="O17" i="41"/>
  <c r="N17" i="41"/>
  <c r="M17" i="41"/>
  <c r="K17" i="41"/>
  <c r="J17" i="41"/>
  <c r="I17" i="41"/>
  <c r="H17" i="41"/>
  <c r="F17" i="41"/>
  <c r="E17" i="41"/>
  <c r="D17" i="41"/>
  <c r="C17" i="41"/>
  <c r="AF15" i="41"/>
  <c r="AA15" i="41"/>
  <c r="V15" i="41"/>
  <c r="Q15" i="41"/>
  <c r="L15" i="41"/>
  <c r="G15" i="41"/>
  <c r="AF14" i="41"/>
  <c r="AA14" i="41"/>
  <c r="V14" i="41"/>
  <c r="Q14" i="41"/>
  <c r="L14" i="41"/>
  <c r="G14" i="41"/>
  <c r="AF13" i="41"/>
  <c r="AA13" i="41"/>
  <c r="V13" i="41"/>
  <c r="Q13" i="41"/>
  <c r="L13" i="41"/>
  <c r="G13" i="41"/>
  <c r="AF12" i="41"/>
  <c r="AA12" i="41"/>
  <c r="V12" i="41"/>
  <c r="Q12" i="41"/>
  <c r="L12" i="41"/>
  <c r="G12" i="41"/>
  <c r="AF11" i="41"/>
  <c r="AD11" i="41"/>
  <c r="AA11" i="41"/>
  <c r="V11" i="41"/>
  <c r="Q11" i="41"/>
  <c r="L11" i="41"/>
  <c r="G11" i="41"/>
  <c r="AF10" i="41"/>
  <c r="AA10" i="41"/>
  <c r="V10" i="41"/>
  <c r="Q10" i="41"/>
  <c r="L10" i="41"/>
  <c r="G10" i="41"/>
  <c r="AF9" i="41"/>
  <c r="AA9" i="41"/>
  <c r="V9" i="41"/>
  <c r="Q9" i="41"/>
  <c r="L9" i="41"/>
  <c r="G9" i="41"/>
  <c r="AF8" i="41"/>
  <c r="AE8" i="41"/>
  <c r="AD8" i="41"/>
  <c r="AA8" i="41"/>
  <c r="V8" i="41"/>
  <c r="Q8" i="41"/>
  <c r="L8" i="41"/>
  <c r="G8" i="41"/>
  <c r="AF7" i="41"/>
  <c r="AA7" i="41"/>
  <c r="V7" i="41"/>
  <c r="Q7" i="41"/>
  <c r="L7" i="41"/>
  <c r="G7" i="41"/>
  <c r="AF6" i="41"/>
  <c r="AA6" i="41"/>
  <c r="V6" i="41"/>
  <c r="Q6" i="41"/>
  <c r="L6" i="41"/>
  <c r="G6" i="41"/>
  <c r="F89" i="44"/>
  <c r="F88" i="44"/>
  <c r="F87" i="44"/>
  <c r="AW45" i="44"/>
  <c r="AV45" i="44"/>
  <c r="AU45" i="44"/>
  <c r="AT45" i="44"/>
  <c r="AQ45" i="44"/>
  <c r="AW44" i="44"/>
  <c r="AV44" i="44"/>
  <c r="AU44" i="44"/>
  <c r="AT44" i="44"/>
  <c r="AQ44" i="44"/>
  <c r="AW43" i="44"/>
  <c r="AV43" i="44"/>
  <c r="AU43" i="44"/>
  <c r="AT43" i="44"/>
  <c r="AQ43" i="44"/>
  <c r="AW42" i="44"/>
  <c r="AV42" i="44"/>
  <c r="AU42" i="44"/>
  <c r="AT42" i="44"/>
  <c r="AQ42" i="44"/>
  <c r="AW41" i="44"/>
  <c r="AV41" i="44"/>
  <c r="AU41" i="44"/>
  <c r="AT41" i="44"/>
  <c r="AQ41" i="44"/>
  <c r="AW40" i="44"/>
  <c r="AV40" i="44"/>
  <c r="AU40" i="44"/>
  <c r="AT40" i="44"/>
  <c r="AQ40" i="44"/>
  <c r="AW39" i="44"/>
  <c r="AV39" i="44"/>
  <c r="AU39" i="44"/>
  <c r="AT39" i="44"/>
  <c r="AQ39" i="44"/>
  <c r="AW38" i="44"/>
  <c r="AV38" i="44"/>
  <c r="AU38" i="44"/>
  <c r="AT38" i="44"/>
  <c r="AQ38" i="44"/>
  <c r="AW37" i="44"/>
  <c r="AV37" i="44"/>
  <c r="AU37" i="44"/>
  <c r="AT37" i="44"/>
  <c r="AQ37" i="44"/>
  <c r="AW36" i="44"/>
  <c r="AV36" i="44"/>
  <c r="AU36" i="44"/>
  <c r="AT36" i="44"/>
  <c r="AQ36" i="44"/>
  <c r="AW35" i="44"/>
  <c r="AV35" i="44"/>
  <c r="AU35" i="44"/>
  <c r="AT35" i="44"/>
  <c r="AQ35" i="44"/>
  <c r="AW34" i="44"/>
  <c r="AV34" i="44"/>
  <c r="AU34" i="44"/>
  <c r="AT34" i="44"/>
  <c r="AQ34" i="44"/>
  <c r="AW33" i="44"/>
  <c r="AV33" i="44"/>
  <c r="AU33" i="44"/>
  <c r="AT33" i="44"/>
  <c r="AQ33" i="44"/>
  <c r="AX32" i="44"/>
  <c r="AW32" i="44"/>
  <c r="AV32" i="44"/>
  <c r="AU32" i="44"/>
  <c r="AT32" i="44"/>
  <c r="AS32" i="44"/>
  <c r="AW31" i="44"/>
  <c r="AV31" i="44"/>
  <c r="AU31" i="44"/>
  <c r="AT31" i="44"/>
  <c r="AQ31" i="44"/>
  <c r="AW30" i="44"/>
  <c r="AV30" i="44"/>
  <c r="AU30" i="44"/>
  <c r="AT30" i="44"/>
  <c r="AQ30" i="44"/>
  <c r="AW29" i="44"/>
  <c r="AV29" i="44"/>
  <c r="AU29" i="44"/>
  <c r="AT29" i="44"/>
  <c r="AQ29" i="44"/>
  <c r="AW28" i="44"/>
  <c r="AV28" i="44"/>
  <c r="AU28" i="44"/>
  <c r="AT28" i="44"/>
  <c r="AQ28" i="44"/>
  <c r="AW27" i="44"/>
  <c r="AV27" i="44"/>
  <c r="AU27" i="44"/>
  <c r="AT27" i="44"/>
  <c r="AQ27" i="44"/>
  <c r="AW26" i="44"/>
  <c r="AV26" i="44"/>
  <c r="AU26" i="44"/>
  <c r="AT26" i="44"/>
  <c r="AQ26" i="44"/>
  <c r="AW25" i="44"/>
  <c r="AV25" i="44"/>
  <c r="AU25" i="44"/>
  <c r="AT25" i="44"/>
  <c r="AQ25" i="44"/>
  <c r="AW24" i="44"/>
  <c r="AV24" i="44"/>
  <c r="AU24" i="44"/>
  <c r="AT24" i="44"/>
  <c r="AQ24" i="44"/>
  <c r="AW23" i="44"/>
  <c r="AV23" i="44"/>
  <c r="AU23" i="44"/>
  <c r="AT23" i="44"/>
  <c r="AQ23" i="44"/>
  <c r="AX22" i="44"/>
  <c r="AW22" i="44"/>
  <c r="AV22" i="44"/>
  <c r="AU22" i="44"/>
  <c r="AT22" i="44"/>
  <c r="AS22" i="44"/>
  <c r="AW21" i="44"/>
  <c r="AV21" i="44"/>
  <c r="AU21" i="44"/>
  <c r="AT21" i="44"/>
  <c r="AQ21" i="44"/>
  <c r="AW20" i="44"/>
  <c r="AV20" i="44"/>
  <c r="AU20" i="44"/>
  <c r="AT20" i="44"/>
  <c r="AQ20" i="44"/>
  <c r="AW19" i="44"/>
  <c r="AV19" i="44"/>
  <c r="AU19" i="44"/>
  <c r="AT19" i="44"/>
  <c r="AQ19" i="44"/>
  <c r="AW18" i="44"/>
  <c r="AV18" i="44"/>
  <c r="AU18" i="44"/>
  <c r="AT18" i="44"/>
  <c r="AQ18" i="44"/>
  <c r="AW17" i="44"/>
  <c r="AV17" i="44"/>
  <c r="AU17" i="44"/>
  <c r="AT17" i="44"/>
  <c r="AQ17" i="44"/>
  <c r="AW16" i="44"/>
  <c r="AV16" i="44"/>
  <c r="AU16" i="44"/>
  <c r="AT16" i="44"/>
  <c r="AQ16" i="44"/>
  <c r="AW15" i="44"/>
  <c r="AV15" i="44"/>
  <c r="AU15" i="44"/>
  <c r="AT15" i="44"/>
  <c r="AQ15" i="44"/>
  <c r="AW14" i="44"/>
  <c r="AV14" i="44"/>
  <c r="AU14" i="44"/>
  <c r="AT14" i="44"/>
  <c r="AQ14" i="44"/>
  <c r="AW13" i="44"/>
  <c r="AV13" i="44"/>
  <c r="AU13" i="44"/>
  <c r="AT13" i="44"/>
  <c r="AQ13" i="44"/>
  <c r="AX12" i="44"/>
  <c r="AW12" i="44"/>
  <c r="AV12" i="44"/>
  <c r="AU12" i="44"/>
  <c r="AT12" i="44"/>
  <c r="AS12" i="44"/>
  <c r="AW11" i="44"/>
  <c r="AV11" i="44"/>
  <c r="AU11" i="44"/>
  <c r="AT11" i="44"/>
  <c r="AW10" i="44"/>
  <c r="AV10" i="44"/>
  <c r="AU10" i="44"/>
  <c r="AT10" i="44"/>
  <c r="AX9" i="44"/>
  <c r="AW9" i="44"/>
  <c r="AV9" i="44"/>
  <c r="AU9" i="44"/>
  <c r="AT9" i="44"/>
  <c r="AS9" i="44"/>
  <c r="AW8" i="44"/>
  <c r="AV8" i="44"/>
  <c r="AU8" i="44"/>
  <c r="AT8" i="44"/>
  <c r="K8" i="44"/>
  <c r="K9" i="44" s="1"/>
  <c r="K10" i="44" s="1"/>
  <c r="K11" i="44" s="1"/>
  <c r="K12" i="44" s="1"/>
  <c r="K13" i="44" s="1"/>
  <c r="K14" i="44" s="1"/>
  <c r="AX7" i="44"/>
  <c r="AW7" i="44"/>
  <c r="AV7" i="44"/>
  <c r="AU7" i="44"/>
  <c r="AT7" i="44"/>
  <c r="AS7" i="44"/>
  <c r="AW6" i="44"/>
  <c r="AV6" i="44"/>
  <c r="AU6" i="44"/>
  <c r="AT6" i="44"/>
  <c r="AX5" i="44"/>
  <c r="AW5" i="44"/>
  <c r="AV5" i="44"/>
  <c r="AU5" i="44"/>
  <c r="AT5" i="44"/>
  <c r="AS5" i="44"/>
  <c r="AW4" i="44"/>
  <c r="AV4" i="44"/>
  <c r="AU4" i="44"/>
  <c r="AT4" i="44"/>
  <c r="AS4" i="44"/>
  <c r="AX3" i="44"/>
  <c r="AV3" i="44"/>
  <c r="AU3" i="44"/>
  <c r="AT3" i="44"/>
  <c r="AS3" i="44"/>
  <c r="B3" i="44"/>
  <c r="E96" i="15"/>
  <c r="D96" i="15"/>
  <c r="C96" i="15"/>
  <c r="F95" i="15"/>
  <c r="F94" i="15"/>
  <c r="F93" i="15"/>
  <c r="F92" i="15"/>
  <c r="F91" i="15"/>
  <c r="F90" i="15"/>
  <c r="F89" i="15"/>
  <c r="F88" i="15"/>
  <c r="F87" i="15"/>
  <c r="F86" i="15"/>
  <c r="B86" i="15"/>
  <c r="B87" i="15" s="1"/>
  <c r="B88" i="15" s="1"/>
  <c r="B89" i="15" s="1"/>
  <c r="B90" i="15" s="1"/>
  <c r="B91" i="15" s="1"/>
  <c r="B92" i="15" s="1"/>
  <c r="B93" i="15" s="1"/>
  <c r="B94" i="15" s="1"/>
  <c r="B95" i="15" s="1"/>
  <c r="F85" i="15"/>
  <c r="B79" i="15"/>
  <c r="C68" i="15"/>
  <c r="C69" i="15" s="1"/>
  <c r="E66" i="15"/>
  <c r="E61" i="15"/>
  <c r="D61" i="15"/>
  <c r="F59" i="15"/>
  <c r="F58" i="15"/>
  <c r="F57" i="15"/>
  <c r="F56" i="15"/>
  <c r="F55" i="15"/>
  <c r="F54" i="15"/>
  <c r="F53" i="15"/>
  <c r="F52" i="15"/>
  <c r="F51" i="15"/>
  <c r="F50" i="15"/>
  <c r="F49" i="15"/>
  <c r="F48" i="15"/>
  <c r="F47" i="15"/>
  <c r="F46" i="15"/>
  <c r="F45" i="15"/>
  <c r="F44" i="15"/>
  <c r="F43" i="15"/>
  <c r="F42"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B9" i="15"/>
  <c r="AR15" i="15" s="1"/>
  <c r="B8" i="15"/>
  <c r="E1" i="15"/>
  <c r="BF218" i="58"/>
  <c r="BE218" i="58"/>
  <c r="BD218" i="58"/>
  <c r="BC218" i="58"/>
  <c r="BI195" i="58"/>
  <c r="AB42" i="40"/>
  <c r="AC42" i="40" s="1"/>
  <c r="AA42" i="40"/>
  <c r="W42" i="40"/>
  <c r="V42" i="40"/>
  <c r="R42" i="40"/>
  <c r="S42" i="40" s="1"/>
  <c r="Q42" i="40"/>
  <c r="M42" i="40"/>
  <c r="L42" i="40"/>
  <c r="H42" i="40"/>
  <c r="AA61" i="40"/>
  <c r="V61" i="40"/>
  <c r="Q61" i="40"/>
  <c r="L61" i="40"/>
  <c r="G61" i="40"/>
  <c r="AA60" i="40"/>
  <c r="V60" i="40"/>
  <c r="Q60" i="40"/>
  <c r="L60" i="40"/>
  <c r="G60" i="40"/>
  <c r="AE58" i="40"/>
  <c r="AA58" i="40"/>
  <c r="V58" i="40"/>
  <c r="Q58" i="40"/>
  <c r="L58" i="40"/>
  <c r="G58" i="40"/>
  <c r="AE57" i="40"/>
  <c r="AA57" i="40"/>
  <c r="V57" i="40"/>
  <c r="Q57" i="40"/>
  <c r="L57" i="40"/>
  <c r="G57" i="40"/>
  <c r="AE56" i="40"/>
  <c r="AA56" i="40"/>
  <c r="V56" i="40"/>
  <c r="Q56" i="40"/>
  <c r="L56" i="40"/>
  <c r="G56" i="40"/>
  <c r="AE54" i="40"/>
  <c r="AA54" i="40"/>
  <c r="V54" i="40"/>
  <c r="Q54" i="40"/>
  <c r="L54" i="40"/>
  <c r="G54" i="40"/>
  <c r="AE53" i="40"/>
  <c r="AE52" i="40" s="1"/>
  <c r="AA53" i="40"/>
  <c r="V53" i="40"/>
  <c r="Q53" i="40"/>
  <c r="L53" i="40"/>
  <c r="G53" i="40"/>
  <c r="AF52" i="40"/>
  <c r="AD52" i="40"/>
  <c r="AC52" i="40"/>
  <c r="AB52" i="40"/>
  <c r="Z52" i="40"/>
  <c r="Y52" i="40"/>
  <c r="X52" i="40"/>
  <c r="W52" i="40"/>
  <c r="U52" i="40"/>
  <c r="T52" i="40"/>
  <c r="S52" i="40"/>
  <c r="R52" i="40"/>
  <c r="P52" i="40"/>
  <c r="O52" i="40"/>
  <c r="N52" i="40"/>
  <c r="M52" i="40"/>
  <c r="K52" i="40"/>
  <c r="J52" i="40"/>
  <c r="I52" i="40"/>
  <c r="H52" i="40"/>
  <c r="F52" i="40"/>
  <c r="E52" i="40"/>
  <c r="D52" i="40"/>
  <c r="C52" i="40"/>
  <c r="AH50" i="40"/>
  <c r="AI50" i="40" s="1"/>
  <c r="AJ50" i="40" s="1"/>
  <c r="AK50" i="40" s="1"/>
  <c r="AL50" i="40" s="1"/>
  <c r="AM50" i="40" s="1"/>
  <c r="AN50" i="40" s="1"/>
  <c r="AO50" i="40" s="1"/>
  <c r="AP50" i="40" s="1"/>
  <c r="AQ50" i="40" s="1"/>
  <c r="AR50" i="40" s="1"/>
  <c r="AS50" i="40" s="1"/>
  <c r="AT50" i="40" s="1"/>
  <c r="AU50" i="40" s="1"/>
  <c r="AV50" i="40" s="1"/>
  <c r="AW50" i="40" s="1"/>
  <c r="AX50" i="40" s="1"/>
  <c r="AY50" i="40" s="1"/>
  <c r="AZ50" i="40" s="1"/>
  <c r="BA50" i="40" s="1"/>
  <c r="BB50" i="40" s="1"/>
  <c r="BC50" i="40" s="1"/>
  <c r="BD50" i="40" s="1"/>
  <c r="BE50" i="40" s="1"/>
  <c r="BF50" i="40" s="1"/>
  <c r="BG50" i="40" s="1"/>
  <c r="BH50" i="40" s="1"/>
  <c r="BI50" i="40" s="1"/>
  <c r="BJ50" i="40" s="1"/>
  <c r="BK50" i="40" s="1"/>
  <c r="BL50" i="40" s="1"/>
  <c r="BM50" i="40" s="1"/>
  <c r="BN50" i="40" s="1"/>
  <c r="BO50" i="40" s="1"/>
  <c r="BP50" i="40" s="1"/>
  <c r="BQ50" i="40" s="1"/>
  <c r="BR50" i="40" s="1"/>
  <c r="BS50" i="40" s="1"/>
  <c r="BT50" i="40" s="1"/>
  <c r="BU50" i="40" s="1"/>
  <c r="BV50" i="40" s="1"/>
  <c r="BW50" i="40" s="1"/>
  <c r="C50" i="40"/>
  <c r="D50" i="40" s="1"/>
  <c r="E50" i="40" s="1"/>
  <c r="F50" i="40" s="1"/>
  <c r="G50" i="40" s="1"/>
  <c r="H50" i="40" s="1"/>
  <c r="I50" i="40" s="1"/>
  <c r="J50" i="40" s="1"/>
  <c r="K50" i="40" s="1"/>
  <c r="L50" i="40" s="1"/>
  <c r="M50" i="40" s="1"/>
  <c r="N50" i="40" s="1"/>
  <c r="O50" i="40" s="1"/>
  <c r="P50" i="40" s="1"/>
  <c r="Q50" i="40" s="1"/>
  <c r="R50" i="40" s="1"/>
  <c r="S50" i="40" s="1"/>
  <c r="T50" i="40" s="1"/>
  <c r="U50" i="40" s="1"/>
  <c r="V50" i="40" s="1"/>
  <c r="W50" i="40" s="1"/>
  <c r="X50" i="40" s="1"/>
  <c r="Y50" i="40" s="1"/>
  <c r="Z50" i="40" s="1"/>
  <c r="AA50" i="40" s="1"/>
  <c r="AB50" i="40" s="1"/>
  <c r="AC50" i="40" s="1"/>
  <c r="AD50" i="40" s="1"/>
  <c r="AE48" i="40"/>
  <c r="AA48" i="40"/>
  <c r="V48" i="40"/>
  <c r="Q48" i="40"/>
  <c r="L48" i="40"/>
  <c r="G48" i="40"/>
  <c r="AE47" i="40"/>
  <c r="AA47" i="40"/>
  <c r="V47" i="40"/>
  <c r="Q47" i="40"/>
  <c r="L47" i="40"/>
  <c r="G47" i="40"/>
  <c r="AE46" i="40"/>
  <c r="AA46" i="40"/>
  <c r="V46" i="40"/>
  <c r="Q46" i="40"/>
  <c r="L46" i="40"/>
  <c r="G46" i="40"/>
  <c r="AF45" i="40"/>
  <c r="AD45" i="40"/>
  <c r="AD9" i="36" s="1"/>
  <c r="AC45" i="40"/>
  <c r="AC9" i="36" s="1"/>
  <c r="AB45" i="40"/>
  <c r="AB9" i="36" s="1"/>
  <c r="Z45" i="40"/>
  <c r="Y45" i="40"/>
  <c r="X45" i="40"/>
  <c r="W45" i="40"/>
  <c r="U45" i="40"/>
  <c r="T45" i="40"/>
  <c r="S45" i="40"/>
  <c r="R45" i="40"/>
  <c r="P45" i="40"/>
  <c r="O45" i="40"/>
  <c r="N45" i="40"/>
  <c r="M45" i="40"/>
  <c r="K45" i="40"/>
  <c r="J45" i="40"/>
  <c r="I45" i="40"/>
  <c r="H45" i="40"/>
  <c r="F45" i="40"/>
  <c r="E45" i="40"/>
  <c r="D45" i="40"/>
  <c r="C45" i="40"/>
  <c r="AE41" i="40"/>
  <c r="AD41" i="40"/>
  <c r="AC41" i="40"/>
  <c r="AB41" i="40"/>
  <c r="Z41" i="40"/>
  <c r="Y41" i="40"/>
  <c r="X41" i="40"/>
  <c r="W41" i="40"/>
  <c r="U41" i="40"/>
  <c r="T41" i="40"/>
  <c r="S41" i="40"/>
  <c r="R41" i="40"/>
  <c r="P41" i="40"/>
  <c r="O41" i="40"/>
  <c r="N41" i="40"/>
  <c r="M41" i="40"/>
  <c r="K41" i="40"/>
  <c r="J41" i="40"/>
  <c r="I41" i="40"/>
  <c r="H41" i="40"/>
  <c r="F41" i="40"/>
  <c r="E41" i="40"/>
  <c r="D41" i="40"/>
  <c r="C41" i="40"/>
  <c r="AE40" i="40"/>
  <c r="AD40" i="40"/>
  <c r="AC40" i="40"/>
  <c r="AB40" i="40"/>
  <c r="Z40" i="40"/>
  <c r="Y40" i="40"/>
  <c r="X40" i="40"/>
  <c r="W40" i="40"/>
  <c r="U40" i="40"/>
  <c r="T40" i="40"/>
  <c r="S40" i="40"/>
  <c r="R40" i="40"/>
  <c r="P40" i="40"/>
  <c r="O40" i="40"/>
  <c r="N40" i="40"/>
  <c r="M40" i="40"/>
  <c r="K40" i="40"/>
  <c r="J40" i="40"/>
  <c r="I40" i="40"/>
  <c r="H40" i="40"/>
  <c r="F40" i="40"/>
  <c r="E40" i="40"/>
  <c r="D40" i="40"/>
  <c r="C40" i="40"/>
  <c r="AE39" i="40"/>
  <c r="AD39" i="40"/>
  <c r="AC39" i="40"/>
  <c r="AB39" i="40"/>
  <c r="Z39" i="40"/>
  <c r="Y39" i="40"/>
  <c r="X39" i="40"/>
  <c r="W39" i="40"/>
  <c r="U39" i="40"/>
  <c r="T39" i="40"/>
  <c r="S39" i="40"/>
  <c r="R39" i="40"/>
  <c r="P39" i="40"/>
  <c r="O39" i="40"/>
  <c r="N39" i="40"/>
  <c r="M39" i="40"/>
  <c r="K39" i="40"/>
  <c r="J39" i="40"/>
  <c r="I39" i="40"/>
  <c r="H39" i="40"/>
  <c r="F39" i="40"/>
  <c r="E39" i="40"/>
  <c r="D39" i="40"/>
  <c r="C39" i="40"/>
  <c r="AE38" i="40"/>
  <c r="AD38" i="40"/>
  <c r="AC38" i="40"/>
  <c r="AB38" i="40"/>
  <c r="Z38" i="40"/>
  <c r="Y38" i="40"/>
  <c r="X38" i="40"/>
  <c r="W38" i="40"/>
  <c r="U38" i="40"/>
  <c r="T38" i="40"/>
  <c r="S38" i="40"/>
  <c r="R38" i="40"/>
  <c r="P38" i="40"/>
  <c r="O38" i="40"/>
  <c r="N38" i="40"/>
  <c r="M38" i="40"/>
  <c r="K38" i="40"/>
  <c r="J38" i="40"/>
  <c r="I38" i="40"/>
  <c r="H38" i="40"/>
  <c r="F38" i="40"/>
  <c r="E38" i="40"/>
  <c r="D38" i="40"/>
  <c r="C38" i="40"/>
  <c r="AF37" i="40"/>
  <c r="AA37" i="40"/>
  <c r="V37" i="40"/>
  <c r="Q37" i="40"/>
  <c r="L37" i="40"/>
  <c r="G37" i="40"/>
  <c r="AF36" i="40"/>
  <c r="AA36" i="40"/>
  <c r="V36" i="40"/>
  <c r="Q36" i="40"/>
  <c r="L36" i="40"/>
  <c r="G36" i="40"/>
  <c r="AF35" i="40"/>
  <c r="AA35" i="40"/>
  <c r="V35" i="40"/>
  <c r="Q35" i="40"/>
  <c r="L35" i="40"/>
  <c r="G35" i="40"/>
  <c r="AF34" i="40"/>
  <c r="AA34" i="40"/>
  <c r="V34" i="40"/>
  <c r="Q34" i="40"/>
  <c r="L34" i="40"/>
  <c r="G34" i="40"/>
  <c r="AF33" i="40"/>
  <c r="AA33" i="40"/>
  <c r="V33" i="40"/>
  <c r="Q33" i="40"/>
  <c r="L33" i="40"/>
  <c r="G33" i="40"/>
  <c r="AF32" i="40"/>
  <c r="AA32" i="40"/>
  <c r="V32" i="40"/>
  <c r="Q32" i="40"/>
  <c r="L32" i="40"/>
  <c r="G32" i="40"/>
  <c r="AE30" i="40"/>
  <c r="AD30" i="40"/>
  <c r="AC30" i="40"/>
  <c r="AB30" i="40"/>
  <c r="Z30" i="40"/>
  <c r="Y30" i="40"/>
  <c r="X30" i="40"/>
  <c r="W30" i="40"/>
  <c r="U30" i="40"/>
  <c r="T30" i="40"/>
  <c r="S30" i="40"/>
  <c r="R30" i="40"/>
  <c r="P30" i="40"/>
  <c r="O30" i="40"/>
  <c r="O27" i="40" s="1"/>
  <c r="N30" i="40"/>
  <c r="M30" i="40"/>
  <c r="K30" i="40"/>
  <c r="J30" i="40"/>
  <c r="I30" i="40"/>
  <c r="H30" i="40"/>
  <c r="F30" i="40"/>
  <c r="E30" i="40"/>
  <c r="E27" i="40" s="1"/>
  <c r="D30" i="40"/>
  <c r="C30" i="40"/>
  <c r="AH29" i="40"/>
  <c r="AI29" i="40" s="1"/>
  <c r="AJ29" i="40" s="1"/>
  <c r="AK29" i="40" s="1"/>
  <c r="AL29" i="40" s="1"/>
  <c r="AM29" i="40" s="1"/>
  <c r="AN29" i="40" s="1"/>
  <c r="AO29" i="40" s="1"/>
  <c r="AP29" i="40" s="1"/>
  <c r="AQ29" i="40" s="1"/>
  <c r="AR29" i="40" s="1"/>
  <c r="AS29" i="40" s="1"/>
  <c r="AT29" i="40" s="1"/>
  <c r="AU29" i="40" s="1"/>
  <c r="AV29" i="40" s="1"/>
  <c r="AW29" i="40" s="1"/>
  <c r="AX29" i="40" s="1"/>
  <c r="AY29" i="40" s="1"/>
  <c r="AZ29" i="40" s="1"/>
  <c r="BA29" i="40" s="1"/>
  <c r="BB29" i="40" s="1"/>
  <c r="BC29" i="40" s="1"/>
  <c r="BD29" i="40" s="1"/>
  <c r="BE29" i="40" s="1"/>
  <c r="BF29" i="40" s="1"/>
  <c r="BG29" i="40" s="1"/>
  <c r="BH29" i="40" s="1"/>
  <c r="BI29" i="40" s="1"/>
  <c r="BJ29" i="40" s="1"/>
  <c r="BK29" i="40" s="1"/>
  <c r="BL29" i="40" s="1"/>
  <c r="BM29" i="40" s="1"/>
  <c r="BN29" i="40" s="1"/>
  <c r="BO29" i="40" s="1"/>
  <c r="BP29" i="40" s="1"/>
  <c r="BQ29" i="40" s="1"/>
  <c r="BR29" i="40" s="1"/>
  <c r="BS29" i="40" s="1"/>
  <c r="BT29" i="40" s="1"/>
  <c r="BU29" i="40" s="1"/>
  <c r="BV29" i="40" s="1"/>
  <c r="BW29" i="40" s="1"/>
  <c r="AE28" i="40"/>
  <c r="AD28" i="40"/>
  <c r="AC28" i="40"/>
  <c r="AB28" i="40"/>
  <c r="BW25" i="40"/>
  <c r="BV25" i="40"/>
  <c r="BU25" i="40"/>
  <c r="BT25" i="40"/>
  <c r="BS25" i="40"/>
  <c r="BR25" i="40"/>
  <c r="BQ25" i="40"/>
  <c r="BP25" i="40"/>
  <c r="BO25" i="40"/>
  <c r="BN25" i="40"/>
  <c r="BM25" i="40"/>
  <c r="BL25" i="40"/>
  <c r="BK25" i="40"/>
  <c r="BJ25" i="40"/>
  <c r="BI25" i="40"/>
  <c r="BH25" i="40"/>
  <c r="BG25" i="40"/>
  <c r="BF25" i="40"/>
  <c r="BE25" i="40"/>
  <c r="BD25" i="40"/>
  <c r="BC25" i="40"/>
  <c r="BB25" i="40"/>
  <c r="BA25" i="40"/>
  <c r="AZ25" i="40"/>
  <c r="AY25" i="40"/>
  <c r="AX25" i="40"/>
  <c r="AW25" i="40"/>
  <c r="AV25" i="40"/>
  <c r="AU25" i="40"/>
  <c r="AT25" i="40"/>
  <c r="AS25" i="40"/>
  <c r="AR25" i="40"/>
  <c r="AQ25" i="40"/>
  <c r="AP25" i="40"/>
  <c r="AO25" i="40"/>
  <c r="AN25" i="40"/>
  <c r="AM25" i="40"/>
  <c r="AL25" i="40"/>
  <c r="AK25" i="40"/>
  <c r="AJ25" i="40"/>
  <c r="AI25" i="40"/>
  <c r="AH25" i="40"/>
  <c r="AG25" i="40"/>
  <c r="AF22" i="40"/>
  <c r="Z22" i="40"/>
  <c r="AA22" i="40" s="1"/>
  <c r="U22" i="40"/>
  <c r="V22" i="40" s="1"/>
  <c r="AE20" i="40"/>
  <c r="AD20" i="40"/>
  <c r="AD64" i="40" s="1"/>
  <c r="AC20" i="40"/>
  <c r="AC21" i="40" s="1"/>
  <c r="AB20" i="40"/>
  <c r="Z20" i="40"/>
  <c r="Z21" i="40" s="1"/>
  <c r="Y20" i="40"/>
  <c r="Y21" i="40" s="1"/>
  <c r="X20" i="40"/>
  <c r="X21" i="40" s="1"/>
  <c r="W20" i="40"/>
  <c r="U20" i="40"/>
  <c r="U21" i="40" s="1"/>
  <c r="T20" i="40"/>
  <c r="S20" i="40"/>
  <c r="R20" i="40"/>
  <c r="R21" i="40" s="1"/>
  <c r="P20" i="40"/>
  <c r="P21" i="40" s="1"/>
  <c r="O20" i="40"/>
  <c r="N20" i="40"/>
  <c r="N64" i="40" s="1"/>
  <c r="M20" i="40"/>
  <c r="M21" i="40" s="1"/>
  <c r="K20" i="40"/>
  <c r="J20" i="40"/>
  <c r="J21" i="40" s="1"/>
  <c r="I20" i="40"/>
  <c r="I21" i="40" s="1"/>
  <c r="H20" i="40"/>
  <c r="H21" i="40" s="1"/>
  <c r="F20" i="40"/>
  <c r="F64" i="40" s="1"/>
  <c r="E20" i="40"/>
  <c r="E21" i="40" s="1"/>
  <c r="D20" i="40"/>
  <c r="D64" i="40" s="1"/>
  <c r="C20" i="40"/>
  <c r="AB17" i="40"/>
  <c r="W17" i="40"/>
  <c r="R17" i="40"/>
  <c r="M17" i="40"/>
  <c r="N17" i="40" s="1"/>
  <c r="H17" i="40"/>
  <c r="I17" i="40" s="1"/>
  <c r="C17" i="40"/>
  <c r="D17" i="40" s="1"/>
  <c r="E17" i="40" s="1"/>
  <c r="AE16" i="40"/>
  <c r="AE31" i="40" s="1"/>
  <c r="AD16" i="40"/>
  <c r="AD37" i="53" s="1"/>
  <c r="AC16" i="40"/>
  <c r="AC37" i="53" s="1"/>
  <c r="AB16" i="40"/>
  <c r="AB5" i="39" s="1"/>
  <c r="W16" i="40"/>
  <c r="W37" i="53" s="1"/>
  <c r="R16" i="40"/>
  <c r="R23" i="40" s="1"/>
  <c r="M16" i="40"/>
  <c r="M37" i="53" s="1"/>
  <c r="H16" i="40"/>
  <c r="H5" i="39" s="1"/>
  <c r="C16" i="40"/>
  <c r="C37" i="53" s="1"/>
  <c r="AF9" i="40"/>
  <c r="AE9" i="40"/>
  <c r="H9" i="40"/>
  <c r="AF5" i="40"/>
  <c r="AF11" i="8" s="1"/>
  <c r="AE5" i="40"/>
  <c r="AE11" i="8" s="1"/>
  <c r="AA5" i="40"/>
  <c r="AA10" i="8" s="1"/>
  <c r="Z5" i="40"/>
  <c r="Y5" i="40" s="1"/>
  <c r="Y8" i="8" s="1"/>
  <c r="V5" i="40"/>
  <c r="V9" i="39" s="1"/>
  <c r="U5" i="40"/>
  <c r="T5" i="40" s="1"/>
  <c r="T10" i="8" s="1"/>
  <c r="Q5" i="40"/>
  <c r="P5" i="40"/>
  <c r="O5" i="40" s="1"/>
  <c r="L5" i="40"/>
  <c r="L10" i="8" s="1"/>
  <c r="K5" i="40"/>
  <c r="K11" i="8" s="1"/>
  <c r="G5" i="40"/>
  <c r="G9" i="39" s="1"/>
  <c r="F5" i="40"/>
  <c r="E5" i="40" s="1"/>
  <c r="E2" i="53" s="1"/>
  <c r="AE68" i="39"/>
  <c r="AC68" i="39"/>
  <c r="AB68" i="39"/>
  <c r="Z68" i="39"/>
  <c r="Y68" i="39"/>
  <c r="X68" i="39"/>
  <c r="W68" i="39"/>
  <c r="U68" i="39"/>
  <c r="T68" i="39"/>
  <c r="S68" i="39"/>
  <c r="R68" i="39"/>
  <c r="P68" i="39"/>
  <c r="O68" i="39"/>
  <c r="N68" i="39"/>
  <c r="M68" i="39"/>
  <c r="K68" i="39"/>
  <c r="J68" i="39"/>
  <c r="I68" i="39"/>
  <c r="H68" i="39"/>
  <c r="F68" i="39"/>
  <c r="E68" i="39"/>
  <c r="D68" i="39"/>
  <c r="C68" i="39"/>
  <c r="AE61" i="39"/>
  <c r="AF61" i="39" s="1"/>
  <c r="AA61" i="39"/>
  <c r="V61" i="39"/>
  <c r="Q61" i="39"/>
  <c r="L61" i="39"/>
  <c r="G61" i="39"/>
  <c r="AA60" i="39"/>
  <c r="V60" i="39"/>
  <c r="Q60" i="39"/>
  <c r="L60" i="39"/>
  <c r="G60" i="39"/>
  <c r="AA59" i="39"/>
  <c r="V59" i="39"/>
  <c r="Q59" i="39"/>
  <c r="L59" i="39"/>
  <c r="G59" i="39"/>
  <c r="AA58" i="39"/>
  <c r="V58" i="39"/>
  <c r="Q58" i="39"/>
  <c r="L58" i="39"/>
  <c r="G58" i="39"/>
  <c r="AA57" i="39"/>
  <c r="V57" i="39"/>
  <c r="AA56" i="39"/>
  <c r="V56" i="39"/>
  <c r="Q56" i="39"/>
  <c r="L56" i="39"/>
  <c r="G56" i="39"/>
  <c r="AA55" i="39"/>
  <c r="V55" i="39"/>
  <c r="Q55" i="39"/>
  <c r="L55" i="39"/>
  <c r="G55" i="39"/>
  <c r="AD54" i="39"/>
  <c r="AD31" i="36" s="1"/>
  <c r="AC54" i="39"/>
  <c r="AC31" i="36" s="1"/>
  <c r="AB54" i="39"/>
  <c r="AB31" i="36" s="1"/>
  <c r="Z54" i="39"/>
  <c r="Y54" i="39"/>
  <c r="X54" i="39"/>
  <c r="W54" i="39"/>
  <c r="U54" i="39"/>
  <c r="T54" i="39"/>
  <c r="S54" i="39"/>
  <c r="R54" i="39"/>
  <c r="P54" i="39"/>
  <c r="O54" i="39"/>
  <c r="N54" i="39"/>
  <c r="M54" i="39"/>
  <c r="K54" i="39"/>
  <c r="J54" i="39"/>
  <c r="I54" i="39"/>
  <c r="H54" i="39"/>
  <c r="F54" i="39"/>
  <c r="E54" i="39"/>
  <c r="D54" i="39"/>
  <c r="C54" i="39"/>
  <c r="AD53" i="39"/>
  <c r="AA53" i="39"/>
  <c r="V53" i="39"/>
  <c r="Q53" i="39"/>
  <c r="L53" i="39"/>
  <c r="G53" i="39"/>
  <c r="AA52" i="39"/>
  <c r="V52" i="39"/>
  <c r="Q52" i="39"/>
  <c r="L52" i="39"/>
  <c r="G52" i="39"/>
  <c r="AH51" i="39"/>
  <c r="AI51" i="39" s="1"/>
  <c r="AD51" i="39"/>
  <c r="AA51" i="39"/>
  <c r="V51" i="39"/>
  <c r="Q51" i="39"/>
  <c r="L51" i="39"/>
  <c r="G51" i="39"/>
  <c r="AG50" i="39"/>
  <c r="AH50" i="39" s="1"/>
  <c r="AI50" i="39" s="1"/>
  <c r="AJ50" i="39" s="1"/>
  <c r="AK50" i="39" s="1"/>
  <c r="AL50" i="39" s="1"/>
  <c r="AM50" i="39" s="1"/>
  <c r="AN50" i="39" s="1"/>
  <c r="AO50" i="39" s="1"/>
  <c r="AP50" i="39" s="1"/>
  <c r="AQ50" i="39" s="1"/>
  <c r="AR50" i="39" s="1"/>
  <c r="AS50" i="39" s="1"/>
  <c r="AT50" i="39" s="1"/>
  <c r="AU50" i="39" s="1"/>
  <c r="AV50" i="39" s="1"/>
  <c r="AW50" i="39" s="1"/>
  <c r="AX50" i="39" s="1"/>
  <c r="AY50" i="39" s="1"/>
  <c r="AZ50" i="39" s="1"/>
  <c r="BA50" i="39" s="1"/>
  <c r="BB50" i="39" s="1"/>
  <c r="BC50" i="39" s="1"/>
  <c r="BD50" i="39" s="1"/>
  <c r="BE50" i="39" s="1"/>
  <c r="BF50" i="39" s="1"/>
  <c r="BG50" i="39" s="1"/>
  <c r="BH50" i="39" s="1"/>
  <c r="BI50" i="39" s="1"/>
  <c r="BJ50" i="39" s="1"/>
  <c r="BK50" i="39" s="1"/>
  <c r="BL50" i="39" s="1"/>
  <c r="BM50" i="39" s="1"/>
  <c r="BN50" i="39" s="1"/>
  <c r="BO50" i="39" s="1"/>
  <c r="BP50" i="39" s="1"/>
  <c r="BQ50" i="39" s="1"/>
  <c r="BR50" i="39" s="1"/>
  <c r="BS50" i="39" s="1"/>
  <c r="BT50" i="39" s="1"/>
  <c r="BU50" i="39" s="1"/>
  <c r="BV50" i="39" s="1"/>
  <c r="BW50" i="39" s="1"/>
  <c r="AA50" i="39"/>
  <c r="V50" i="39"/>
  <c r="AD49" i="39"/>
  <c r="AA49" i="39"/>
  <c r="V49" i="39"/>
  <c r="Q49" i="39"/>
  <c r="L49" i="39"/>
  <c r="G49" i="39"/>
  <c r="AE48" i="39"/>
  <c r="AF48" i="39" s="1"/>
  <c r="AC48" i="39"/>
  <c r="AB48" i="39"/>
  <c r="Z48" i="39"/>
  <c r="Y48" i="39"/>
  <c r="X48" i="39"/>
  <c r="W48" i="39"/>
  <c r="U48" i="39"/>
  <c r="T48" i="39"/>
  <c r="S48" i="39"/>
  <c r="R48" i="39"/>
  <c r="P48" i="39"/>
  <c r="O48" i="39"/>
  <c r="N48" i="39"/>
  <c r="M48" i="39"/>
  <c r="K48" i="39"/>
  <c r="J48" i="39"/>
  <c r="I48" i="39"/>
  <c r="H48" i="39"/>
  <c r="F48" i="39"/>
  <c r="E48" i="39"/>
  <c r="D48" i="39"/>
  <c r="C48" i="39"/>
  <c r="AA47" i="39"/>
  <c r="V47" i="39"/>
  <c r="Q47" i="39"/>
  <c r="L47" i="39"/>
  <c r="G47" i="39"/>
  <c r="AD46" i="39"/>
  <c r="AA46" i="39"/>
  <c r="V46" i="39"/>
  <c r="Q46" i="39"/>
  <c r="L46" i="39"/>
  <c r="G46" i="39"/>
  <c r="AG45" i="39"/>
  <c r="AH45" i="39" s="1"/>
  <c r="AI45" i="39" s="1"/>
  <c r="AJ45" i="39" s="1"/>
  <c r="AK45" i="39" s="1"/>
  <c r="AL45" i="39" s="1"/>
  <c r="AM45" i="39" s="1"/>
  <c r="AN45" i="39" s="1"/>
  <c r="AO45" i="39" s="1"/>
  <c r="AP45" i="39" s="1"/>
  <c r="AQ45" i="39" s="1"/>
  <c r="AR45" i="39" s="1"/>
  <c r="AS45" i="39" s="1"/>
  <c r="AT45" i="39" s="1"/>
  <c r="AU45" i="39" s="1"/>
  <c r="AV45" i="39" s="1"/>
  <c r="AW45" i="39" s="1"/>
  <c r="AX45" i="39" s="1"/>
  <c r="AY45" i="39" s="1"/>
  <c r="AZ45" i="39" s="1"/>
  <c r="BA45" i="39" s="1"/>
  <c r="BB45" i="39" s="1"/>
  <c r="BC45" i="39" s="1"/>
  <c r="BD45" i="39" s="1"/>
  <c r="BE45" i="39" s="1"/>
  <c r="BF45" i="39" s="1"/>
  <c r="BG45" i="39" s="1"/>
  <c r="BH45" i="39" s="1"/>
  <c r="BI45" i="39" s="1"/>
  <c r="BJ45" i="39" s="1"/>
  <c r="BK45" i="39" s="1"/>
  <c r="BL45" i="39" s="1"/>
  <c r="BM45" i="39" s="1"/>
  <c r="BN45" i="39" s="1"/>
  <c r="BO45" i="39" s="1"/>
  <c r="BP45" i="39" s="1"/>
  <c r="BQ45" i="39" s="1"/>
  <c r="BR45" i="39" s="1"/>
  <c r="BS45" i="39" s="1"/>
  <c r="BT45" i="39" s="1"/>
  <c r="BU45" i="39" s="1"/>
  <c r="BV45" i="39" s="1"/>
  <c r="BW45" i="39" s="1"/>
  <c r="AA45" i="39"/>
  <c r="V45" i="39"/>
  <c r="AD44" i="39"/>
  <c r="AD26" i="36" s="1"/>
  <c r="AD29" i="36" s="1"/>
  <c r="AA44" i="39"/>
  <c r="V44" i="39"/>
  <c r="Q44" i="39"/>
  <c r="L44" i="39"/>
  <c r="G44" i="39"/>
  <c r="AA43" i="39"/>
  <c r="V43" i="39"/>
  <c r="Q43" i="39"/>
  <c r="L43" i="39"/>
  <c r="G43" i="39"/>
  <c r="AA41" i="39"/>
  <c r="V41" i="39"/>
  <c r="Q41" i="39"/>
  <c r="L41" i="39"/>
  <c r="G41" i="39"/>
  <c r="AG40" i="39"/>
  <c r="AH40" i="39" s="1"/>
  <c r="AI40" i="39" s="1"/>
  <c r="AJ40" i="39" s="1"/>
  <c r="AK40" i="39" s="1"/>
  <c r="AL40" i="39" s="1"/>
  <c r="AM40" i="39" s="1"/>
  <c r="AN40" i="39" s="1"/>
  <c r="AO40" i="39" s="1"/>
  <c r="AP40" i="39" s="1"/>
  <c r="AQ40" i="39" s="1"/>
  <c r="AR40" i="39" s="1"/>
  <c r="AS40" i="39" s="1"/>
  <c r="AT40" i="39" s="1"/>
  <c r="AU40" i="39" s="1"/>
  <c r="AV40" i="39" s="1"/>
  <c r="AW40" i="39" s="1"/>
  <c r="AX40" i="39" s="1"/>
  <c r="AY40" i="39" s="1"/>
  <c r="AZ40" i="39" s="1"/>
  <c r="BA40" i="39" s="1"/>
  <c r="BB40" i="39" s="1"/>
  <c r="BC40" i="39" s="1"/>
  <c r="BD40" i="39" s="1"/>
  <c r="BE40" i="39" s="1"/>
  <c r="BF40" i="39" s="1"/>
  <c r="BG40" i="39" s="1"/>
  <c r="BH40" i="39" s="1"/>
  <c r="BI40" i="39" s="1"/>
  <c r="AA40" i="39"/>
  <c r="V40" i="39"/>
  <c r="Q40" i="39"/>
  <c r="L40" i="39"/>
  <c r="G40" i="39"/>
  <c r="AE39" i="39"/>
  <c r="AF39" i="39" s="1"/>
  <c r="AC39" i="39"/>
  <c r="AB39" i="39"/>
  <c r="Z39" i="39"/>
  <c r="Y39" i="39"/>
  <c r="X39" i="39"/>
  <c r="W39" i="39"/>
  <c r="U39" i="39"/>
  <c r="T39" i="39"/>
  <c r="S39" i="39"/>
  <c r="R39" i="39"/>
  <c r="P39" i="39"/>
  <c r="O39" i="39"/>
  <c r="N39" i="39"/>
  <c r="M39" i="39"/>
  <c r="K39" i="39"/>
  <c r="J39" i="39"/>
  <c r="I39" i="39"/>
  <c r="H39" i="39"/>
  <c r="F39" i="39"/>
  <c r="E39" i="39"/>
  <c r="D39" i="39"/>
  <c r="C39" i="39"/>
  <c r="AA32" i="39"/>
  <c r="V32" i="39"/>
  <c r="Q32" i="39"/>
  <c r="L32" i="39"/>
  <c r="G32" i="39"/>
  <c r="AD31" i="39"/>
  <c r="AA31" i="39"/>
  <c r="V31" i="39"/>
  <c r="Q31" i="39"/>
  <c r="L31" i="39"/>
  <c r="G31" i="39"/>
  <c r="AA30" i="39"/>
  <c r="V30" i="39"/>
  <c r="AG29" i="39"/>
  <c r="AH29" i="39" s="1"/>
  <c r="AI29" i="39" s="1"/>
  <c r="AJ29" i="39" s="1"/>
  <c r="AK29" i="39" s="1"/>
  <c r="AL29" i="39" s="1"/>
  <c r="AM29" i="39" s="1"/>
  <c r="AN29" i="39" s="1"/>
  <c r="AO29" i="39" s="1"/>
  <c r="AP29" i="39" s="1"/>
  <c r="AQ29" i="39" s="1"/>
  <c r="AR29" i="39" s="1"/>
  <c r="AS29" i="39" s="1"/>
  <c r="AT29" i="39" s="1"/>
  <c r="AU29" i="39" s="1"/>
  <c r="AV29" i="39" s="1"/>
  <c r="AW29" i="39" s="1"/>
  <c r="AX29" i="39" s="1"/>
  <c r="AY29" i="39" s="1"/>
  <c r="AZ29" i="39" s="1"/>
  <c r="BA29" i="39" s="1"/>
  <c r="BB29" i="39" s="1"/>
  <c r="BC29" i="39" s="1"/>
  <c r="BD29" i="39" s="1"/>
  <c r="BE29" i="39" s="1"/>
  <c r="BF29" i="39" s="1"/>
  <c r="BG29" i="39" s="1"/>
  <c r="BH29" i="39" s="1"/>
  <c r="BI29" i="39" s="1"/>
  <c r="BJ29" i="39" s="1"/>
  <c r="BK29" i="39" s="1"/>
  <c r="BL29" i="39" s="1"/>
  <c r="BM29" i="39" s="1"/>
  <c r="BN29" i="39" s="1"/>
  <c r="BO29" i="39" s="1"/>
  <c r="BP29" i="39" s="1"/>
  <c r="BQ29" i="39" s="1"/>
  <c r="BR29" i="39" s="1"/>
  <c r="BS29" i="39" s="1"/>
  <c r="BT29" i="39" s="1"/>
  <c r="BU29" i="39" s="1"/>
  <c r="BV29" i="39" s="1"/>
  <c r="BW29" i="39" s="1"/>
  <c r="AD29" i="39"/>
  <c r="AA29" i="39"/>
  <c r="V29" i="39"/>
  <c r="Q29" i="39"/>
  <c r="L29" i="39"/>
  <c r="G29" i="39"/>
  <c r="AE28" i="39"/>
  <c r="AF28" i="39" s="1"/>
  <c r="AC28" i="39"/>
  <c r="AB28" i="39"/>
  <c r="Z28" i="39"/>
  <c r="Y28" i="39"/>
  <c r="X28" i="39"/>
  <c r="W28" i="39"/>
  <c r="U28" i="39"/>
  <c r="T28" i="39"/>
  <c r="S28" i="39"/>
  <c r="R28" i="39"/>
  <c r="P28" i="39"/>
  <c r="O28" i="39"/>
  <c r="N28" i="39"/>
  <c r="M28" i="39"/>
  <c r="K28" i="39"/>
  <c r="J28" i="39"/>
  <c r="I28" i="39"/>
  <c r="H28" i="39"/>
  <c r="F28" i="39"/>
  <c r="E28" i="39"/>
  <c r="D28" i="39"/>
  <c r="C28" i="39"/>
  <c r="AD27" i="39"/>
  <c r="AA27" i="39"/>
  <c r="V27" i="39"/>
  <c r="Q27" i="39"/>
  <c r="L27" i="39"/>
  <c r="G27" i="39"/>
  <c r="AA26" i="39"/>
  <c r="V26" i="39"/>
  <c r="Q26" i="39"/>
  <c r="L26" i="39"/>
  <c r="G26" i="39"/>
  <c r="AG25" i="39"/>
  <c r="AA25" i="39"/>
  <c r="V25" i="39"/>
  <c r="Q25" i="39"/>
  <c r="L25" i="39"/>
  <c r="G25" i="39"/>
  <c r="AD23" i="39"/>
  <c r="AD68" i="39" s="1"/>
  <c r="AA23" i="39"/>
  <c r="V23" i="39"/>
  <c r="Q23" i="39"/>
  <c r="L23" i="39"/>
  <c r="G23" i="39"/>
  <c r="AA21" i="39"/>
  <c r="V21" i="39"/>
  <c r="Q21" i="39"/>
  <c r="L21" i="39"/>
  <c r="G21" i="39"/>
  <c r="V19" i="39"/>
  <c r="Q19" i="39"/>
  <c r="L19" i="39"/>
  <c r="G19" i="39"/>
  <c r="AA17" i="39"/>
  <c r="AA15" i="36" s="1"/>
  <c r="V17" i="39"/>
  <c r="Q17" i="39"/>
  <c r="L17" i="39"/>
  <c r="G17" i="39"/>
  <c r="AE16" i="39"/>
  <c r="AF16" i="39" s="1"/>
  <c r="AC16" i="39"/>
  <c r="AB16" i="39"/>
  <c r="Z16" i="39"/>
  <c r="Y16" i="39"/>
  <c r="X16" i="39"/>
  <c r="W16" i="39"/>
  <c r="U16" i="39"/>
  <c r="T16" i="39"/>
  <c r="S16" i="39"/>
  <c r="R16" i="39"/>
  <c r="P16" i="39"/>
  <c r="O16" i="39"/>
  <c r="N16" i="39"/>
  <c r="N15" i="39" s="1"/>
  <c r="M16" i="39"/>
  <c r="K16" i="39"/>
  <c r="J16" i="39"/>
  <c r="I16" i="39"/>
  <c r="H16" i="39"/>
  <c r="F16" i="39"/>
  <c r="E16" i="39"/>
  <c r="D16" i="39"/>
  <c r="C16" i="39"/>
  <c r="AF9" i="39"/>
  <c r="Q9" i="39"/>
  <c r="AC5" i="39"/>
  <c r="W5" i="39"/>
  <c r="C5" i="39"/>
  <c r="AE44" i="36"/>
  <c r="AD44" i="36"/>
  <c r="AC44" i="36"/>
  <c r="AB44" i="36"/>
  <c r="AE43" i="36"/>
  <c r="AD43" i="36"/>
  <c r="AC43" i="36"/>
  <c r="AF37" i="36"/>
  <c r="AF36" i="36"/>
  <c r="AE35" i="36"/>
  <c r="AD35" i="36"/>
  <c r="AC35" i="36"/>
  <c r="AB35" i="36"/>
  <c r="AA35" i="36"/>
  <c r="V35" i="36"/>
  <c r="Q35" i="36"/>
  <c r="L35" i="36"/>
  <c r="G35" i="36"/>
  <c r="G26" i="36" s="1"/>
  <c r="AC34" i="36"/>
  <c r="AC26" i="36"/>
  <c r="AC29" i="36" s="1"/>
  <c r="V26" i="36"/>
  <c r="L26" i="36"/>
  <c r="Q16" i="36"/>
  <c r="Q26" i="36" s="1"/>
  <c r="L16" i="36"/>
  <c r="G16" i="36"/>
  <c r="AD15" i="36"/>
  <c r="AC15" i="36"/>
  <c r="AB15" i="36"/>
  <c r="AG1" i="36"/>
  <c r="AG6" i="36" s="1"/>
  <c r="AE1" i="36"/>
  <c r="AD1" i="36"/>
  <c r="AC1" i="36"/>
  <c r="AB1" i="36"/>
  <c r="AA1" i="36"/>
  <c r="Z1" i="36"/>
  <c r="Y1" i="36"/>
  <c r="X1" i="36"/>
  <c r="W1" i="36"/>
  <c r="V1" i="36"/>
  <c r="U1" i="36"/>
  <c r="T1" i="36"/>
  <c r="S1" i="36"/>
  <c r="R1" i="36"/>
  <c r="Q1" i="36"/>
  <c r="P1" i="36"/>
  <c r="O1" i="36"/>
  <c r="N1" i="36"/>
  <c r="M1" i="36"/>
  <c r="L1" i="36"/>
  <c r="K1" i="36"/>
  <c r="J1" i="36"/>
  <c r="I1" i="36"/>
  <c r="H1" i="36"/>
  <c r="G1" i="36"/>
  <c r="F1" i="36"/>
  <c r="E1" i="36"/>
  <c r="D1" i="36"/>
  <c r="C1" i="36"/>
  <c r="BW12" i="37"/>
  <c r="BW13" i="37" s="1"/>
  <c r="AF7" i="37"/>
  <c r="AD6" i="37"/>
  <c r="AC6" i="37"/>
  <c r="AB6" i="37"/>
  <c r="AG1" i="37"/>
  <c r="B85" i="54" s="1"/>
  <c r="BW7" i="12"/>
  <c r="BV7" i="12"/>
  <c r="BU7" i="12"/>
  <c r="BT7" i="12"/>
  <c r="BS7" i="12"/>
  <c r="BR7" i="12"/>
  <c r="BQ7" i="12"/>
  <c r="BP7" i="12"/>
  <c r="BO7" i="12"/>
  <c r="BN7" i="12"/>
  <c r="BM7" i="12"/>
  <c r="BL7" i="12"/>
  <c r="BK7" i="12"/>
  <c r="BJ7" i="12"/>
  <c r="BI7" i="12"/>
  <c r="BH7" i="12"/>
  <c r="BG7" i="12"/>
  <c r="BF7" i="12"/>
  <c r="BE7" i="12"/>
  <c r="BD7" i="12"/>
  <c r="BC7" i="12"/>
  <c r="BB7" i="12"/>
  <c r="BA7" i="12"/>
  <c r="AZ7" i="12"/>
  <c r="AY7" i="12"/>
  <c r="AX7" i="12"/>
  <c r="AW7" i="12"/>
  <c r="AV7" i="12"/>
  <c r="AU7" i="12"/>
  <c r="AT7" i="12"/>
  <c r="AS7" i="12"/>
  <c r="AR7" i="12"/>
  <c r="AQ7" i="12"/>
  <c r="AP7" i="12"/>
  <c r="AO7" i="12"/>
  <c r="AN7" i="12"/>
  <c r="AM7" i="12"/>
  <c r="AL7" i="12"/>
  <c r="AK7" i="12"/>
  <c r="AJ7" i="12"/>
  <c r="AI7" i="12"/>
  <c r="AH7" i="12"/>
  <c r="AG7" i="12"/>
  <c r="AB5" i="12"/>
  <c r="AA5" i="12"/>
  <c r="Z5" i="12"/>
  <c r="AH1" i="12"/>
  <c r="AG1" i="12"/>
  <c r="W40" i="8"/>
  <c r="AF33" i="8"/>
  <c r="AF5" i="12" s="1"/>
  <c r="AE33" i="8"/>
  <c r="AD33" i="8"/>
  <c r="AD5" i="12" s="1"/>
  <c r="AC33" i="8"/>
  <c r="AC5" i="12" s="1"/>
  <c r="AB33" i="8"/>
  <c r="AA33" i="8"/>
  <c r="Z33" i="8"/>
  <c r="Y33" i="8"/>
  <c r="Y5" i="12" s="1"/>
  <c r="X33" i="8"/>
  <c r="X5" i="12" s="1"/>
  <c r="W33" i="8"/>
  <c r="V33" i="8"/>
  <c r="V5" i="12" s="1"/>
  <c r="Z32" i="8"/>
  <c r="H32" i="8"/>
  <c r="H39" i="8" s="1"/>
  <c r="AE30" i="8"/>
  <c r="AD30" i="8"/>
  <c r="AF30" i="8" s="1"/>
  <c r="AC30" i="8"/>
  <c r="AB30" i="8"/>
  <c r="AA30" i="8"/>
  <c r="Z30" i="8"/>
  <c r="Y30" i="8"/>
  <c r="X30" i="8"/>
  <c r="W30" i="8"/>
  <c r="V30" i="8"/>
  <c r="U30" i="8"/>
  <c r="T30" i="8"/>
  <c r="S30" i="8"/>
  <c r="R30" i="8"/>
  <c r="Q30" i="8"/>
  <c r="Q26" i="8" s="1"/>
  <c r="P30" i="8"/>
  <c r="O30" i="8"/>
  <c r="N30" i="8"/>
  <c r="M30" i="8"/>
  <c r="L30" i="8"/>
  <c r="K30" i="8"/>
  <c r="J30" i="8"/>
  <c r="I30" i="8"/>
  <c r="I26" i="8" s="1"/>
  <c r="H30" i="8"/>
  <c r="G30" i="8"/>
  <c r="F30" i="8"/>
  <c r="E30" i="8"/>
  <c r="D30" i="8"/>
  <c r="C30" i="8"/>
  <c r="AE29" i="8"/>
  <c r="AE26" i="8" s="1"/>
  <c r="AD29" i="8"/>
  <c r="AC29" i="8"/>
  <c r="AB29" i="8"/>
  <c r="AA29" i="8"/>
  <c r="Z29" i="8"/>
  <c r="Y29" i="8"/>
  <c r="X29" i="8"/>
  <c r="X26" i="8" s="1"/>
  <c r="W29" i="8"/>
  <c r="W26" i="8" s="1"/>
  <c r="V29" i="8"/>
  <c r="U29" i="8"/>
  <c r="T29" i="8"/>
  <c r="S29" i="8"/>
  <c r="R29" i="8"/>
  <c r="Q29" i="8"/>
  <c r="P29" i="8"/>
  <c r="P26" i="8" s="1"/>
  <c r="O29" i="8"/>
  <c r="O26" i="8" s="1"/>
  <c r="N29" i="8"/>
  <c r="M29" i="8"/>
  <c r="L29" i="8"/>
  <c r="K29" i="8"/>
  <c r="J29" i="8"/>
  <c r="I29" i="8"/>
  <c r="H29" i="8"/>
  <c r="G29" i="8"/>
  <c r="G26" i="8" s="1"/>
  <c r="G11" i="40" s="1"/>
  <c r="G10" i="39" s="1"/>
  <c r="F29" i="8"/>
  <c r="E29" i="8"/>
  <c r="D29" i="8"/>
  <c r="C29" i="8"/>
  <c r="AE28" i="8"/>
  <c r="AD28" i="8"/>
  <c r="AD26" i="8" s="1"/>
  <c r="AC28" i="8"/>
  <c r="AC26" i="8" s="1"/>
  <c r="AB28" i="8"/>
  <c r="AA28" i="8"/>
  <c r="Z28" i="8"/>
  <c r="Y28" i="8"/>
  <c r="X28" i="8"/>
  <c r="W28" i="8"/>
  <c r="V28" i="8"/>
  <c r="V26" i="8" s="1"/>
  <c r="U28" i="8"/>
  <c r="U26" i="8" s="1"/>
  <c r="T28" i="8"/>
  <c r="S28" i="8"/>
  <c r="R28" i="8"/>
  <c r="Q28" i="8"/>
  <c r="P28" i="8"/>
  <c r="O28" i="8"/>
  <c r="N28" i="8"/>
  <c r="N26" i="8" s="1"/>
  <c r="M28" i="8"/>
  <c r="M26" i="8" s="1"/>
  <c r="L28" i="8"/>
  <c r="K28" i="8"/>
  <c r="J28" i="8"/>
  <c r="I28" i="8"/>
  <c r="H28" i="8"/>
  <c r="G28" i="8"/>
  <c r="F28" i="8"/>
  <c r="F26" i="8" s="1"/>
  <c r="F11" i="40" s="1"/>
  <c r="F10" i="39" s="1"/>
  <c r="E28" i="8"/>
  <c r="E26" i="8" s="1"/>
  <c r="E11" i="40" s="1"/>
  <c r="E10" i="39" s="1"/>
  <c r="D28" i="8"/>
  <c r="C28" i="8"/>
  <c r="AE27" i="8"/>
  <c r="AD27" i="8"/>
  <c r="AC27" i="8"/>
  <c r="AB27" i="8"/>
  <c r="AA27" i="8"/>
  <c r="AA26" i="8" s="1"/>
  <c r="Z27" i="8"/>
  <c r="Y27" i="8"/>
  <c r="X27" i="8"/>
  <c r="W27" i="8"/>
  <c r="V27" i="8"/>
  <c r="U27" i="8"/>
  <c r="T27" i="8"/>
  <c r="S27" i="8"/>
  <c r="S26" i="8" s="1"/>
  <c r="R27" i="8"/>
  <c r="R26" i="8" s="1"/>
  <c r="Q27" i="8"/>
  <c r="P27" i="8"/>
  <c r="O27" i="8"/>
  <c r="N27" i="8"/>
  <c r="M27" i="8"/>
  <c r="L27" i="8"/>
  <c r="K27" i="8"/>
  <c r="K26" i="8" s="1"/>
  <c r="J27" i="8"/>
  <c r="J26" i="8" s="1"/>
  <c r="I27" i="8"/>
  <c r="H27" i="8"/>
  <c r="G27" i="8"/>
  <c r="F27" i="8"/>
  <c r="E27" i="8"/>
  <c r="D27" i="8"/>
  <c r="C27" i="8"/>
  <c r="C26" i="8" s="1"/>
  <c r="C11" i="40" s="1"/>
  <c r="C10" i="39" s="1"/>
  <c r="Z26" i="8"/>
  <c r="Z11" i="40" s="1"/>
  <c r="Z10" i="39" s="1"/>
  <c r="Y26" i="8"/>
  <c r="Y11" i="40" s="1"/>
  <c r="Y10" i="39" s="1"/>
  <c r="H26" i="8"/>
  <c r="H11" i="40" s="1"/>
  <c r="H10" i="39" s="1"/>
  <c r="AF17" i="8"/>
  <c r="AF7" i="36" s="1"/>
  <c r="AE17" i="8"/>
  <c r="AE7" i="36" s="1"/>
  <c r="AE6" i="37" s="1"/>
  <c r="AD17" i="8"/>
  <c r="AD9" i="40" s="1"/>
  <c r="AC17" i="8"/>
  <c r="AC9" i="40" s="1"/>
  <c r="AB17" i="8"/>
  <c r="AB9" i="40" s="1"/>
  <c r="AA17" i="8"/>
  <c r="AA9" i="40" s="1"/>
  <c r="Z17" i="8"/>
  <c r="Z9" i="40" s="1"/>
  <c r="Y17" i="8"/>
  <c r="X17" i="8"/>
  <c r="X9" i="40" s="1"/>
  <c r="W17" i="8"/>
  <c r="W9" i="40" s="1"/>
  <c r="V17" i="8"/>
  <c r="V9" i="40" s="1"/>
  <c r="U17" i="8"/>
  <c r="U9" i="40" s="1"/>
  <c r="T17" i="8"/>
  <c r="T9" i="40" s="1"/>
  <c r="S17" i="8"/>
  <c r="S9" i="40" s="1"/>
  <c r="R17" i="8"/>
  <c r="R9" i="40" s="1"/>
  <c r="Q17" i="8"/>
  <c r="Q9" i="40" s="1"/>
  <c r="P17" i="8"/>
  <c r="P9" i="40" s="1"/>
  <c r="O17" i="8"/>
  <c r="O9" i="40" s="1"/>
  <c r="N17" i="8"/>
  <c r="N9" i="40" s="1"/>
  <c r="M17" i="8"/>
  <c r="M9" i="40" s="1"/>
  <c r="L17" i="8"/>
  <c r="L9" i="40" s="1"/>
  <c r="K17" i="8"/>
  <c r="K9" i="40" s="1"/>
  <c r="J17" i="8"/>
  <c r="J9" i="40" s="1"/>
  <c r="I17" i="8"/>
  <c r="I9" i="40" s="1"/>
  <c r="H17" i="8"/>
  <c r="G17" i="8"/>
  <c r="G9" i="40" s="1"/>
  <c r="F17" i="8"/>
  <c r="F9" i="40" s="1"/>
  <c r="E17" i="8"/>
  <c r="E9" i="40" s="1"/>
  <c r="D17" i="8"/>
  <c r="D9" i="40" s="1"/>
  <c r="C17" i="8"/>
  <c r="C9" i="40" s="1"/>
  <c r="AF15" i="8"/>
  <c r="AE15" i="8"/>
  <c r="X15" i="8"/>
  <c r="W15" i="8"/>
  <c r="P15" i="8"/>
  <c r="O15" i="8"/>
  <c r="H15" i="8"/>
  <c r="AF14" i="8"/>
  <c r="AE14" i="8"/>
  <c r="AD14" i="8"/>
  <c r="AC14" i="8"/>
  <c r="AC15" i="8" s="1"/>
  <c r="AB14" i="8"/>
  <c r="AB15" i="8" s="1"/>
  <c r="AA14" i="8"/>
  <c r="AA15" i="8" s="1"/>
  <c r="Z14" i="8"/>
  <c r="Z15" i="8" s="1"/>
  <c r="Y14" i="8"/>
  <c r="Y15" i="8" s="1"/>
  <c r="X14" i="8"/>
  <c r="W14" i="8"/>
  <c r="V14" i="8"/>
  <c r="U14" i="8"/>
  <c r="U15" i="8" s="1"/>
  <c r="T14" i="8"/>
  <c r="T15" i="8" s="1"/>
  <c r="S14" i="8"/>
  <c r="S15" i="8" s="1"/>
  <c r="R14" i="8"/>
  <c r="R15" i="8" s="1"/>
  <c r="Q14" i="8"/>
  <c r="Q15" i="8" s="1"/>
  <c r="P14" i="8"/>
  <c r="O14" i="8"/>
  <c r="N14" i="8"/>
  <c r="M14" i="8"/>
  <c r="M15" i="8" s="1"/>
  <c r="L14" i="8"/>
  <c r="L15" i="8" s="1"/>
  <c r="K14" i="8"/>
  <c r="K15" i="8" s="1"/>
  <c r="J14" i="8"/>
  <c r="J15" i="8" s="1"/>
  <c r="I14" i="8"/>
  <c r="I15" i="8" s="1"/>
  <c r="H14" i="8"/>
  <c r="AF13" i="8"/>
  <c r="AE13" i="8"/>
  <c r="AD13" i="8"/>
  <c r="AD15" i="8" s="1"/>
  <c r="AC13" i="8"/>
  <c r="AB13" i="8"/>
  <c r="AA13" i="8"/>
  <c r="Z13" i="8"/>
  <c r="Y13" i="8"/>
  <c r="X13" i="8"/>
  <c r="W13" i="8"/>
  <c r="V13" i="8"/>
  <c r="V15" i="8" s="1"/>
  <c r="U13" i="8"/>
  <c r="T13" i="8"/>
  <c r="S13" i="8"/>
  <c r="R13" i="8"/>
  <c r="Q13" i="8"/>
  <c r="P13" i="8"/>
  <c r="O13" i="8"/>
  <c r="N13" i="8"/>
  <c r="N15" i="8" s="1"/>
  <c r="M13" i="8"/>
  <c r="L13" i="8"/>
  <c r="K13" i="8"/>
  <c r="J13" i="8"/>
  <c r="I13" i="8"/>
  <c r="H13" i="8"/>
  <c r="Y11" i="8"/>
  <c r="Q11" i="8"/>
  <c r="L11" i="8"/>
  <c r="Q10" i="8"/>
  <c r="Y9" i="8"/>
  <c r="Q9" i="8"/>
  <c r="Q8" i="8"/>
  <c r="AG1" i="8"/>
  <c r="AG17" i="8" s="1"/>
  <c r="AG7" i="36" s="1"/>
  <c r="F3" i="15" s="1"/>
  <c r="AE1" i="8"/>
  <c r="AE1" i="12" s="1"/>
  <c r="AD1" i="8"/>
  <c r="AD1" i="12" s="1"/>
  <c r="AC1" i="8"/>
  <c r="AC1" i="12" s="1"/>
  <c r="AB1" i="8"/>
  <c r="AB1" i="12" s="1"/>
  <c r="AA1" i="8"/>
  <c r="AA1" i="12" s="1"/>
  <c r="C97" i="54" s="1"/>
  <c r="Z1" i="8"/>
  <c r="Z1" i="12" s="1"/>
  <c r="Y1" i="8"/>
  <c r="Y1" i="12" s="1"/>
  <c r="X1" i="8"/>
  <c r="X1" i="12" s="1"/>
  <c r="W1" i="8"/>
  <c r="W1" i="12" s="1"/>
  <c r="V1" i="8"/>
  <c r="V1" i="12" s="1"/>
  <c r="B97" i="54" s="1"/>
  <c r="U1" i="8"/>
  <c r="U1" i="12" s="1"/>
  <c r="T1" i="8"/>
  <c r="T1" i="12" s="1"/>
  <c r="S1" i="8"/>
  <c r="S1" i="12" s="1"/>
  <c r="R1" i="8"/>
  <c r="R1" i="12" s="1"/>
  <c r="Q1" i="8"/>
  <c r="Q1" i="12" s="1"/>
  <c r="P1" i="8"/>
  <c r="P1" i="12" s="1"/>
  <c r="O1" i="8"/>
  <c r="O1" i="12" s="1"/>
  <c r="N1" i="8"/>
  <c r="N1" i="12" s="1"/>
  <c r="M1" i="8"/>
  <c r="M1" i="12" s="1"/>
  <c r="L1" i="8"/>
  <c r="L1" i="12" s="1"/>
  <c r="K1" i="8"/>
  <c r="K1" i="12" s="1"/>
  <c r="J1" i="8"/>
  <c r="J1" i="12" s="1"/>
  <c r="I1" i="8"/>
  <c r="I1" i="12" s="1"/>
  <c r="H1" i="8"/>
  <c r="H1" i="12" s="1"/>
  <c r="G1" i="8"/>
  <c r="G1" i="12" s="1"/>
  <c r="F1" i="8"/>
  <c r="F1" i="12" s="1"/>
  <c r="E1" i="8"/>
  <c r="E1" i="12" s="1"/>
  <c r="D1" i="8"/>
  <c r="D1" i="12" s="1"/>
  <c r="C1" i="8"/>
  <c r="AI57" i="35"/>
  <c r="AH57" i="35"/>
  <c r="AG57" i="35"/>
  <c r="AI56" i="35"/>
  <c r="AH56" i="35"/>
  <c r="AG56" i="35"/>
  <c r="AI55" i="35"/>
  <c r="AH55" i="35"/>
  <c r="AG55" i="35"/>
  <c r="AI54" i="35"/>
  <c r="AH54" i="35"/>
  <c r="AG54" i="35"/>
  <c r="AI53" i="35"/>
  <c r="AH53" i="35"/>
  <c r="AG53" i="35"/>
  <c r="AI52" i="35"/>
  <c r="AH52" i="35"/>
  <c r="AG52" i="35"/>
  <c r="AI51" i="35"/>
  <c r="AH51" i="35"/>
  <c r="AG51" i="35"/>
  <c r="AI50" i="35"/>
  <c r="AH50" i="35"/>
  <c r="AG50" i="35"/>
  <c r="AI49" i="35"/>
  <c r="AH49" i="35"/>
  <c r="AG49" i="35"/>
  <c r="AI48" i="35"/>
  <c r="AH48" i="35"/>
  <c r="AG48" i="35"/>
  <c r="AI47" i="35"/>
  <c r="AH47" i="35"/>
  <c r="AG47" i="35"/>
  <c r="AI46" i="35"/>
  <c r="AH46" i="35"/>
  <c r="AG46" i="35"/>
  <c r="AI45" i="35"/>
  <c r="AH45" i="35"/>
  <c r="AG45" i="35"/>
  <c r="AI44" i="35"/>
  <c r="AH44" i="35"/>
  <c r="AG44" i="35"/>
  <c r="AI43" i="35"/>
  <c r="AH43" i="35"/>
  <c r="AG43" i="35"/>
  <c r="AI42" i="35"/>
  <c r="AH42" i="35"/>
  <c r="AG42" i="35"/>
  <c r="AI41" i="35"/>
  <c r="AH41" i="35"/>
  <c r="AG41" i="35"/>
  <c r="AI40" i="35"/>
  <c r="AH40" i="35"/>
  <c r="AG40" i="35"/>
  <c r="AI39" i="35"/>
  <c r="AH39" i="35"/>
  <c r="AG39" i="35"/>
  <c r="AI38" i="35"/>
  <c r="AH38" i="35"/>
  <c r="AG38" i="35"/>
  <c r="AI37" i="35"/>
  <c r="AH37" i="35"/>
  <c r="AG37" i="35"/>
  <c r="AI36" i="35"/>
  <c r="AH36" i="35"/>
  <c r="AG36" i="35"/>
  <c r="AI35" i="35"/>
  <c r="AH35" i="35"/>
  <c r="AG35" i="35"/>
  <c r="AI34" i="35"/>
  <c r="AH34" i="35"/>
  <c r="AG34" i="35"/>
  <c r="AI33" i="35"/>
  <c r="AH33" i="35"/>
  <c r="AG33" i="35"/>
  <c r="AI32" i="35"/>
  <c r="AH32" i="35"/>
  <c r="AG32" i="35"/>
  <c r="AI31" i="35"/>
  <c r="AH31" i="35"/>
  <c r="AG31" i="35"/>
  <c r="AI30" i="35"/>
  <c r="AH30" i="35"/>
  <c r="AG30" i="35"/>
  <c r="AI29" i="35"/>
  <c r="AH29" i="35"/>
  <c r="AG29" i="35"/>
  <c r="AI28" i="35"/>
  <c r="AH28" i="35"/>
  <c r="AG28" i="35"/>
  <c r="AI27" i="35"/>
  <c r="AH27" i="35"/>
  <c r="AG27" i="35"/>
  <c r="AI26" i="35"/>
  <c r="AH26" i="35"/>
  <c r="AG26" i="35"/>
  <c r="AI25" i="35"/>
  <c r="AH25" i="35"/>
  <c r="AG25" i="35"/>
  <c r="AI24" i="35"/>
  <c r="AH24" i="35"/>
  <c r="AG24" i="35"/>
  <c r="AI23" i="35"/>
  <c r="AH23" i="35"/>
  <c r="AG23" i="35"/>
  <c r="AI22" i="35"/>
  <c r="AH22" i="35"/>
  <c r="AG22" i="35"/>
  <c r="AI21" i="35"/>
  <c r="AH21" i="35"/>
  <c r="AG21" i="35"/>
  <c r="AI57" i="34"/>
  <c r="AH57" i="34"/>
  <c r="AG57" i="34"/>
  <c r="AI56" i="34"/>
  <c r="AH56" i="34"/>
  <c r="AG56" i="34"/>
  <c r="AI55" i="34"/>
  <c r="AH55" i="34"/>
  <c r="AG55" i="34"/>
  <c r="AI54" i="34"/>
  <c r="AH54" i="34"/>
  <c r="AG54" i="34"/>
  <c r="AI53" i="34"/>
  <c r="AH53" i="34"/>
  <c r="AG53" i="34"/>
  <c r="AI52" i="34"/>
  <c r="AH52" i="34"/>
  <c r="AG52" i="34"/>
  <c r="AI51" i="34"/>
  <c r="AH51" i="34"/>
  <c r="AG51" i="34"/>
  <c r="AI50" i="34"/>
  <c r="AH50" i="34"/>
  <c r="AG50" i="34"/>
  <c r="AI49" i="34"/>
  <c r="AH49" i="34"/>
  <c r="AG49" i="34"/>
  <c r="AI48" i="34"/>
  <c r="AH48" i="34"/>
  <c r="AG48" i="34"/>
  <c r="AI47" i="34"/>
  <c r="AH47" i="34"/>
  <c r="AG47" i="34"/>
  <c r="AI46" i="34"/>
  <c r="AH46" i="34"/>
  <c r="AG46" i="34"/>
  <c r="AI45" i="34"/>
  <c r="AH45" i="34"/>
  <c r="AG45" i="34"/>
  <c r="AI44" i="34"/>
  <c r="AH44" i="34"/>
  <c r="AG44" i="34"/>
  <c r="AI43" i="34"/>
  <c r="AH43" i="34"/>
  <c r="AG43" i="34"/>
  <c r="AI42" i="34"/>
  <c r="AH42" i="34"/>
  <c r="AG42" i="34"/>
  <c r="AI41" i="34"/>
  <c r="AH41" i="34"/>
  <c r="AG41" i="34"/>
  <c r="AI40" i="34"/>
  <c r="AH40" i="34"/>
  <c r="AG40" i="34"/>
  <c r="AI39" i="34"/>
  <c r="AH39" i="34"/>
  <c r="AG39" i="34"/>
  <c r="AI38" i="34"/>
  <c r="AH38" i="34"/>
  <c r="AG38" i="34"/>
  <c r="AI37" i="34"/>
  <c r="AH37" i="34"/>
  <c r="AG37" i="34"/>
  <c r="AI36" i="34"/>
  <c r="AH36" i="34"/>
  <c r="AG36" i="34"/>
  <c r="AI35" i="34"/>
  <c r="AH35" i="34"/>
  <c r="AG35" i="34"/>
  <c r="AI34" i="34"/>
  <c r="AH34" i="34"/>
  <c r="AG34" i="34"/>
  <c r="AI33" i="34"/>
  <c r="AH33" i="34"/>
  <c r="AG33" i="34"/>
  <c r="AI32" i="34"/>
  <c r="AH32" i="34"/>
  <c r="AG32" i="34"/>
  <c r="AI31" i="34"/>
  <c r="AH31" i="34"/>
  <c r="AG31" i="34"/>
  <c r="AI30" i="34"/>
  <c r="AH30" i="34"/>
  <c r="AG30" i="34"/>
  <c r="AI29" i="34"/>
  <c r="AH29" i="34"/>
  <c r="AG29" i="34"/>
  <c r="AI28" i="34"/>
  <c r="AH28" i="34"/>
  <c r="AG28" i="34"/>
  <c r="AI27" i="34"/>
  <c r="AH27" i="34"/>
  <c r="AG27" i="34"/>
  <c r="AI26" i="34"/>
  <c r="AH26" i="34"/>
  <c r="AG26" i="34"/>
  <c r="AI25" i="34"/>
  <c r="AH25" i="34"/>
  <c r="AG25" i="34"/>
  <c r="AI24" i="34"/>
  <c r="AH24" i="34"/>
  <c r="AG24" i="34"/>
  <c r="AI23" i="34"/>
  <c r="AH23" i="34"/>
  <c r="AG23" i="34"/>
  <c r="AI22" i="34"/>
  <c r="AH22" i="34"/>
  <c r="AG22" i="34"/>
  <c r="AI21" i="34"/>
  <c r="AH21" i="34"/>
  <c r="AG21" i="34"/>
  <c r="AI57" i="33"/>
  <c r="AH57" i="33"/>
  <c r="AG57" i="33"/>
  <c r="AI56" i="33"/>
  <c r="AH56" i="33"/>
  <c r="AG56" i="33"/>
  <c r="AI55" i="33"/>
  <c r="AH55" i="33"/>
  <c r="AG55" i="33"/>
  <c r="AI54" i="33"/>
  <c r="AH54" i="33"/>
  <c r="AG54" i="33"/>
  <c r="AI53" i="33"/>
  <c r="AH53" i="33"/>
  <c r="AG53" i="33"/>
  <c r="AI52" i="33"/>
  <c r="AH52" i="33"/>
  <c r="AG52" i="33"/>
  <c r="AI51" i="33"/>
  <c r="AH51" i="33"/>
  <c r="AG51" i="33"/>
  <c r="AI50" i="33"/>
  <c r="AH50" i="33"/>
  <c r="AG50" i="33"/>
  <c r="AI49" i="33"/>
  <c r="AH49" i="33"/>
  <c r="AG49" i="33"/>
  <c r="AI48" i="33"/>
  <c r="AH48" i="33"/>
  <c r="AG48" i="33"/>
  <c r="AI47" i="33"/>
  <c r="AH47" i="33"/>
  <c r="AG47" i="33"/>
  <c r="AI46" i="33"/>
  <c r="AH46" i="33"/>
  <c r="AG46" i="33"/>
  <c r="AI45" i="33"/>
  <c r="AH45" i="33"/>
  <c r="AG45" i="33"/>
  <c r="AI44" i="33"/>
  <c r="AH44" i="33"/>
  <c r="AG44" i="33"/>
  <c r="AI43" i="33"/>
  <c r="AH43" i="33"/>
  <c r="AG43" i="33"/>
  <c r="AI42" i="33"/>
  <c r="AH42" i="33"/>
  <c r="AG42" i="33"/>
  <c r="AI41" i="33"/>
  <c r="AH41" i="33"/>
  <c r="AG41" i="33"/>
  <c r="AI40" i="33"/>
  <c r="AH40" i="33"/>
  <c r="AG40" i="33"/>
  <c r="AI39" i="33"/>
  <c r="AH39" i="33"/>
  <c r="AG39" i="33"/>
  <c r="AI38" i="33"/>
  <c r="AH38" i="33"/>
  <c r="AG38" i="33"/>
  <c r="AI37" i="33"/>
  <c r="AH37" i="33"/>
  <c r="AG37" i="33"/>
  <c r="AI36" i="33"/>
  <c r="AH36" i="33"/>
  <c r="AG36" i="33"/>
  <c r="AI35" i="33"/>
  <c r="AH35" i="33"/>
  <c r="AG35" i="33"/>
  <c r="AI34" i="33"/>
  <c r="AH34" i="33"/>
  <c r="AG34" i="33"/>
  <c r="AI33" i="33"/>
  <c r="AH33" i="33"/>
  <c r="AG33" i="33"/>
  <c r="AI32" i="33"/>
  <c r="AH32" i="33"/>
  <c r="AG32" i="33"/>
  <c r="AI31" i="33"/>
  <c r="AH31" i="33"/>
  <c r="AG31" i="33"/>
  <c r="AI30" i="33"/>
  <c r="AH30" i="33"/>
  <c r="AG30" i="33"/>
  <c r="AI29" i="33"/>
  <c r="AH29" i="33"/>
  <c r="AG29" i="33"/>
  <c r="AI28" i="33"/>
  <c r="AH28" i="33"/>
  <c r="AG28" i="33"/>
  <c r="AI27" i="33"/>
  <c r="AH27" i="33"/>
  <c r="AG27" i="33"/>
  <c r="AI26" i="33"/>
  <c r="AH26" i="33"/>
  <c r="AG26" i="33"/>
  <c r="AI25" i="33"/>
  <c r="AH25" i="33"/>
  <c r="AG25" i="33"/>
  <c r="AI24" i="33"/>
  <c r="AH24" i="33"/>
  <c r="AG24" i="33"/>
  <c r="AI23" i="33"/>
  <c r="AH23" i="33"/>
  <c r="AG23" i="33"/>
  <c r="AI22" i="33"/>
  <c r="AH22" i="33"/>
  <c r="AG22" i="33"/>
  <c r="AI21" i="33"/>
  <c r="AH21" i="33"/>
  <c r="AG21" i="33"/>
  <c r="AH57" i="30"/>
  <c r="AG57" i="30"/>
  <c r="AH56" i="30"/>
  <c r="AG56" i="30"/>
  <c r="AH55" i="30"/>
  <c r="AG55" i="30"/>
  <c r="AH54" i="30"/>
  <c r="AG54" i="30"/>
  <c r="AH53" i="30"/>
  <c r="AG53" i="30"/>
  <c r="AH52" i="30"/>
  <c r="AG52" i="30"/>
  <c r="AH51" i="30"/>
  <c r="AG51" i="30"/>
  <c r="AH50" i="30"/>
  <c r="AG50" i="30"/>
  <c r="AH49" i="30"/>
  <c r="AG49" i="30"/>
  <c r="AH48" i="30"/>
  <c r="AG48" i="30"/>
  <c r="AH47" i="30"/>
  <c r="AG47" i="30"/>
  <c r="AH46" i="30"/>
  <c r="AG46" i="30"/>
  <c r="AH45" i="30"/>
  <c r="AG45" i="30"/>
  <c r="AH44" i="30"/>
  <c r="AG44" i="30"/>
  <c r="AH43" i="30"/>
  <c r="AG43" i="30"/>
  <c r="AH42" i="30"/>
  <c r="AG42" i="30"/>
  <c r="AH41" i="30"/>
  <c r="AG41" i="30"/>
  <c r="AH40" i="30"/>
  <c r="AG40" i="30"/>
  <c r="AH39" i="30"/>
  <c r="AG39" i="30"/>
  <c r="AH38" i="30"/>
  <c r="AG38" i="30"/>
  <c r="AH37" i="30"/>
  <c r="AG37" i="30"/>
  <c r="AH36" i="30"/>
  <c r="AG36" i="30"/>
  <c r="AH35" i="30"/>
  <c r="AG35" i="30"/>
  <c r="AH34" i="30"/>
  <c r="AG34" i="30"/>
  <c r="AH33" i="30"/>
  <c r="AG33" i="30"/>
  <c r="AH32" i="30"/>
  <c r="AG32" i="30"/>
  <c r="AH31" i="30"/>
  <c r="AG31" i="30"/>
  <c r="AH30" i="30"/>
  <c r="AG30" i="30"/>
  <c r="AH29" i="30"/>
  <c r="AG29" i="30"/>
  <c r="AH28" i="30"/>
  <c r="AG28" i="30"/>
  <c r="AH27" i="30"/>
  <c r="AG27" i="30"/>
  <c r="AH26" i="30"/>
  <c r="AG26" i="30"/>
  <c r="AH25" i="30"/>
  <c r="AG25" i="30"/>
  <c r="AH24" i="30"/>
  <c r="AG24" i="30"/>
  <c r="AH23" i="30"/>
  <c r="AG23" i="30"/>
  <c r="AH22" i="30"/>
  <c r="AG22" i="30"/>
  <c r="AH21" i="30"/>
  <c r="AG21" i="30"/>
  <c r="AH57" i="29"/>
  <c r="AG57" i="29"/>
  <c r="AH56" i="29"/>
  <c r="AG56" i="29"/>
  <c r="AH55" i="29"/>
  <c r="AG55" i="29"/>
  <c r="AH54" i="29"/>
  <c r="AG54" i="29"/>
  <c r="AH53" i="29"/>
  <c r="AG53" i="29"/>
  <c r="AH52" i="29"/>
  <c r="AG52" i="29"/>
  <c r="AH51" i="29"/>
  <c r="AG51" i="29"/>
  <c r="AH50" i="29"/>
  <c r="AG50" i="29"/>
  <c r="AH49" i="29"/>
  <c r="AG49" i="29"/>
  <c r="AH48" i="29"/>
  <c r="AG48" i="29"/>
  <c r="AH47" i="29"/>
  <c r="AG47" i="29"/>
  <c r="AH46" i="29"/>
  <c r="AG46" i="29"/>
  <c r="AH45" i="29"/>
  <c r="AG45" i="29"/>
  <c r="AH44" i="29"/>
  <c r="AG44" i="29"/>
  <c r="AH43" i="29"/>
  <c r="AG43" i="29"/>
  <c r="AH42" i="29"/>
  <c r="AG42" i="29"/>
  <c r="AH41" i="29"/>
  <c r="AG41" i="29"/>
  <c r="AH40" i="29"/>
  <c r="AG40" i="29"/>
  <c r="AH39" i="29"/>
  <c r="AG39" i="29"/>
  <c r="AH38" i="29"/>
  <c r="AG38" i="29"/>
  <c r="AH37" i="29"/>
  <c r="AG37" i="29"/>
  <c r="AH36" i="29"/>
  <c r="AG36" i="29"/>
  <c r="AH35" i="29"/>
  <c r="AG35" i="29"/>
  <c r="AH34" i="29"/>
  <c r="AG34" i="29"/>
  <c r="AH33" i="29"/>
  <c r="AG33" i="29"/>
  <c r="AH32" i="29"/>
  <c r="AG32" i="29"/>
  <c r="AH31" i="29"/>
  <c r="AG31" i="29"/>
  <c r="AH30" i="29"/>
  <c r="AG30" i="29"/>
  <c r="AH29" i="29"/>
  <c r="AG29" i="29"/>
  <c r="AH28" i="29"/>
  <c r="AG28" i="29"/>
  <c r="AH27" i="29"/>
  <c r="AG27" i="29"/>
  <c r="AH26" i="29"/>
  <c r="AG26" i="29"/>
  <c r="AH25" i="29"/>
  <c r="AG25" i="29"/>
  <c r="AH24" i="29"/>
  <c r="AG24" i="29"/>
  <c r="AH23" i="29"/>
  <c r="AG23" i="29"/>
  <c r="AH22" i="29"/>
  <c r="AG22" i="29"/>
  <c r="AH21" i="29"/>
  <c r="AG21" i="29"/>
  <c r="AH57" i="28"/>
  <c r="AG57" i="28"/>
  <c r="AH56" i="28"/>
  <c r="AG56" i="28"/>
  <c r="AH55" i="28"/>
  <c r="AG55" i="28"/>
  <c r="AH54" i="28"/>
  <c r="AG54" i="28"/>
  <c r="AH53" i="28"/>
  <c r="AG53" i="28"/>
  <c r="AH52" i="28"/>
  <c r="AG52" i="28"/>
  <c r="AH51" i="28"/>
  <c r="AG51" i="28"/>
  <c r="AH50" i="28"/>
  <c r="AG50" i="28"/>
  <c r="AH49" i="28"/>
  <c r="AG49" i="28"/>
  <c r="AH48" i="28"/>
  <c r="AG48" i="28"/>
  <c r="AH47" i="28"/>
  <c r="AG47" i="28"/>
  <c r="AH46" i="28"/>
  <c r="AG46" i="28"/>
  <c r="AH45" i="28"/>
  <c r="AG45" i="28"/>
  <c r="AH44" i="28"/>
  <c r="AG44" i="28"/>
  <c r="AH43" i="28"/>
  <c r="AG43" i="28"/>
  <c r="AH42" i="28"/>
  <c r="AG42" i="28"/>
  <c r="AH41" i="28"/>
  <c r="AG41" i="28"/>
  <c r="AH40" i="28"/>
  <c r="AG40" i="28"/>
  <c r="AH39" i="28"/>
  <c r="AG39" i="28"/>
  <c r="AH38" i="28"/>
  <c r="AG38" i="28"/>
  <c r="AH37" i="28"/>
  <c r="AG37" i="28"/>
  <c r="AH36" i="28"/>
  <c r="AG36" i="28"/>
  <c r="AH35" i="28"/>
  <c r="AG35" i="28"/>
  <c r="AH34" i="28"/>
  <c r="AG34" i="28"/>
  <c r="AH33" i="28"/>
  <c r="AG33" i="28"/>
  <c r="AH32" i="28"/>
  <c r="AG32" i="28"/>
  <c r="AH31" i="28"/>
  <c r="AG31" i="28"/>
  <c r="AH30" i="28"/>
  <c r="AG30" i="28"/>
  <c r="AH29" i="28"/>
  <c r="AG29" i="28"/>
  <c r="AH28" i="28"/>
  <c r="AG28" i="28"/>
  <c r="AH27" i="28"/>
  <c r="AG27" i="28"/>
  <c r="AH26" i="28"/>
  <c r="AG26" i="28"/>
  <c r="AH25" i="28"/>
  <c r="AG25" i="28"/>
  <c r="AH24" i="28"/>
  <c r="AG24" i="28"/>
  <c r="AH23" i="28"/>
  <c r="AG23" i="28"/>
  <c r="AH22" i="28"/>
  <c r="AG22" i="28"/>
  <c r="AH21" i="28"/>
  <c r="AG21" i="28"/>
  <c r="AF57" i="20"/>
  <c r="AE57" i="20"/>
  <c r="AF56" i="20"/>
  <c r="AE56" i="20"/>
  <c r="AF55" i="20"/>
  <c r="AE55" i="20"/>
  <c r="AF54" i="20"/>
  <c r="AE54" i="20"/>
  <c r="AF53" i="20"/>
  <c r="AE53" i="20"/>
  <c r="AF52" i="20"/>
  <c r="AE52" i="20"/>
  <c r="AF51" i="20"/>
  <c r="AE51" i="20"/>
  <c r="AF50" i="20"/>
  <c r="AE50" i="20"/>
  <c r="AF49" i="20"/>
  <c r="AE49" i="20"/>
  <c r="AF48" i="20"/>
  <c r="AE48" i="20"/>
  <c r="AF47" i="20"/>
  <c r="AE47" i="20"/>
  <c r="AF46" i="20"/>
  <c r="AE46" i="20"/>
  <c r="AF45" i="20"/>
  <c r="AE45" i="20"/>
  <c r="AF44" i="20"/>
  <c r="AE44" i="20"/>
  <c r="AF43" i="20"/>
  <c r="AE43" i="20"/>
  <c r="AF42" i="20"/>
  <c r="AE42" i="20"/>
  <c r="AF41" i="20"/>
  <c r="AE41" i="20"/>
  <c r="AF40" i="20"/>
  <c r="AE40" i="20"/>
  <c r="AF39" i="20"/>
  <c r="AE39" i="20"/>
  <c r="AF38" i="20"/>
  <c r="AE38" i="20"/>
  <c r="AF37" i="20"/>
  <c r="AE37" i="20"/>
  <c r="AF36" i="20"/>
  <c r="AE36" i="20"/>
  <c r="AF35" i="20"/>
  <c r="AE35" i="20"/>
  <c r="AF34" i="20"/>
  <c r="AE34" i="20"/>
  <c r="AF33" i="20"/>
  <c r="AE33" i="20"/>
  <c r="AF32" i="20"/>
  <c r="AE32" i="20"/>
  <c r="AF31" i="20"/>
  <c r="AE31" i="20"/>
  <c r="AF30" i="20"/>
  <c r="AE30" i="20"/>
  <c r="AF29" i="20"/>
  <c r="AE29" i="20"/>
  <c r="AF28" i="20"/>
  <c r="AE28" i="20"/>
  <c r="AF27" i="20"/>
  <c r="AE27" i="20"/>
  <c r="AF26" i="20"/>
  <c r="AE26" i="20"/>
  <c r="AF25" i="20"/>
  <c r="AE25" i="20"/>
  <c r="AF24" i="20"/>
  <c r="AE24" i="20"/>
  <c r="AF23" i="20"/>
  <c r="AE23" i="20"/>
  <c r="AF22" i="20"/>
  <c r="AE22" i="20"/>
  <c r="AF21" i="20"/>
  <c r="AE21" i="20"/>
  <c r="AF57" i="19"/>
  <c r="AE57" i="19"/>
  <c r="AF56" i="19"/>
  <c r="AE56" i="19"/>
  <c r="AF55" i="19"/>
  <c r="AE55" i="19"/>
  <c r="AF54" i="19"/>
  <c r="AE54" i="19"/>
  <c r="AF53" i="19"/>
  <c r="AE53" i="19"/>
  <c r="AF52" i="19"/>
  <c r="AE52" i="19"/>
  <c r="AF51" i="19"/>
  <c r="AE51" i="19"/>
  <c r="AF50" i="19"/>
  <c r="AE50" i="19"/>
  <c r="AF49" i="19"/>
  <c r="AE49" i="19"/>
  <c r="AF48" i="19"/>
  <c r="AE48" i="19"/>
  <c r="AF47" i="19"/>
  <c r="AE47" i="19"/>
  <c r="AF46" i="19"/>
  <c r="AE46" i="19"/>
  <c r="AF45" i="19"/>
  <c r="AE45" i="19"/>
  <c r="AF44" i="19"/>
  <c r="AE44" i="19"/>
  <c r="AF43" i="19"/>
  <c r="AE43" i="19"/>
  <c r="AF42" i="19"/>
  <c r="AE42" i="19"/>
  <c r="AF41" i="19"/>
  <c r="AE41" i="19"/>
  <c r="AF40" i="19"/>
  <c r="AE40" i="19"/>
  <c r="AF39" i="19"/>
  <c r="AE39" i="19"/>
  <c r="AF38" i="19"/>
  <c r="AE38" i="19"/>
  <c r="AF37" i="19"/>
  <c r="AE37" i="19"/>
  <c r="AF36" i="19"/>
  <c r="AE36" i="19"/>
  <c r="AF35" i="19"/>
  <c r="AE35" i="19"/>
  <c r="AF34" i="19"/>
  <c r="AE34" i="19"/>
  <c r="AF33" i="19"/>
  <c r="AE33" i="19"/>
  <c r="AF32" i="19"/>
  <c r="AE32" i="19"/>
  <c r="AF31" i="19"/>
  <c r="AE31" i="19"/>
  <c r="AF30" i="19"/>
  <c r="AE30" i="19"/>
  <c r="AF29" i="19"/>
  <c r="AE29" i="19"/>
  <c r="AF28" i="19"/>
  <c r="AE28" i="19"/>
  <c r="AF27" i="19"/>
  <c r="AE27" i="19"/>
  <c r="AF26" i="19"/>
  <c r="AE26" i="19"/>
  <c r="AF25" i="19"/>
  <c r="AE25" i="19"/>
  <c r="AF24" i="19"/>
  <c r="AE24" i="19"/>
  <c r="AF23" i="19"/>
  <c r="AE23" i="19"/>
  <c r="AF22" i="19"/>
  <c r="AE22" i="19"/>
  <c r="AF21" i="19"/>
  <c r="AE21" i="19"/>
  <c r="AF57" i="18"/>
  <c r="AE57" i="18"/>
  <c r="AF56" i="18"/>
  <c r="AE56" i="18"/>
  <c r="AF55" i="18"/>
  <c r="AE55" i="18"/>
  <c r="AF54" i="18"/>
  <c r="AE54" i="18"/>
  <c r="AF53" i="18"/>
  <c r="AE53" i="18"/>
  <c r="AF52" i="18"/>
  <c r="AE52" i="18"/>
  <c r="AF51" i="18"/>
  <c r="AE51" i="18"/>
  <c r="AF50" i="18"/>
  <c r="AE50" i="18"/>
  <c r="AF49" i="18"/>
  <c r="AE49" i="18"/>
  <c r="AF48" i="18"/>
  <c r="AE48" i="18"/>
  <c r="AF47" i="18"/>
  <c r="AE47" i="18"/>
  <c r="AF46" i="18"/>
  <c r="AE46" i="18"/>
  <c r="AF45" i="18"/>
  <c r="AE45" i="18"/>
  <c r="AF44" i="18"/>
  <c r="AE44" i="18"/>
  <c r="AF43" i="18"/>
  <c r="AE43" i="18"/>
  <c r="AF42" i="18"/>
  <c r="AE42" i="18"/>
  <c r="AF41" i="18"/>
  <c r="AE41" i="18"/>
  <c r="AF40" i="18"/>
  <c r="AE40" i="18"/>
  <c r="AF39" i="18"/>
  <c r="AE39" i="18"/>
  <c r="AF38" i="18"/>
  <c r="AE38" i="18"/>
  <c r="AF37" i="18"/>
  <c r="AE37" i="18"/>
  <c r="AF36" i="18"/>
  <c r="AE36" i="18"/>
  <c r="AF35" i="18"/>
  <c r="AE35" i="18"/>
  <c r="AF34" i="18"/>
  <c r="AE34" i="18"/>
  <c r="AF33" i="18"/>
  <c r="AE33" i="18"/>
  <c r="AF32" i="18"/>
  <c r="AE32" i="18"/>
  <c r="AF31" i="18"/>
  <c r="AE31" i="18"/>
  <c r="AF30" i="18"/>
  <c r="AE30" i="18"/>
  <c r="AF29" i="18"/>
  <c r="AE29" i="18"/>
  <c r="AF28" i="18"/>
  <c r="AE28" i="18"/>
  <c r="AF27" i="18"/>
  <c r="AE27" i="18"/>
  <c r="AF26" i="18"/>
  <c r="AE26" i="18"/>
  <c r="AF25" i="18"/>
  <c r="AE25" i="18"/>
  <c r="AF24" i="18"/>
  <c r="AE24" i="18"/>
  <c r="AF23" i="18"/>
  <c r="AE23" i="18"/>
  <c r="AF22" i="18"/>
  <c r="AE22" i="18"/>
  <c r="AF21" i="18"/>
  <c r="AE21" i="18"/>
  <c r="AG22" i="12"/>
  <c r="AG19" i="12"/>
  <c r="AH19" i="12"/>
  <c r="AH21" i="12"/>
  <c r="AH22" i="12"/>
  <c r="AG21" i="12"/>
  <c r="F1" i="15" l="1"/>
  <c r="G1" i="15" s="1"/>
  <c r="E22" i="15"/>
  <c r="E21" i="15"/>
  <c r="E17" i="15"/>
  <c r="F17" i="15" s="1"/>
  <c r="G17" i="15" s="1"/>
  <c r="H17" i="15" s="1"/>
  <c r="I17" i="15" s="1"/>
  <c r="J17" i="15" s="1"/>
  <c r="K17" i="15" s="1"/>
  <c r="L17" i="15" s="1"/>
  <c r="M17" i="15" s="1"/>
  <c r="N17" i="15" s="1"/>
  <c r="O17" i="15" s="1"/>
  <c r="P17" i="15" s="1"/>
  <c r="Q17" i="15" s="1"/>
  <c r="R17" i="15" s="1"/>
  <c r="S17" i="15" s="1"/>
  <c r="T17" i="15" s="1"/>
  <c r="U17" i="15" s="1"/>
  <c r="V17" i="15" s="1"/>
  <c r="W17" i="15" s="1"/>
  <c r="X17" i="15" s="1"/>
  <c r="Y17" i="15" s="1"/>
  <c r="Z17" i="15" s="1"/>
  <c r="AA17" i="15" s="1"/>
  <c r="AB17" i="15" s="1"/>
  <c r="AC17" i="15" s="1"/>
  <c r="AD17" i="15" s="1"/>
  <c r="AE17" i="15" s="1"/>
  <c r="AF17" i="15" s="1"/>
  <c r="AG17" i="15" s="1"/>
  <c r="AH17" i="15" s="1"/>
  <c r="AI17" i="15" s="1"/>
  <c r="AJ17" i="15" s="1"/>
  <c r="AK17" i="15" s="1"/>
  <c r="AL17" i="15" s="1"/>
  <c r="AM17" i="15" s="1"/>
  <c r="AN17" i="15" s="1"/>
  <c r="AO17" i="15" s="1"/>
  <c r="AP17" i="15" s="1"/>
  <c r="AQ17" i="15" s="1"/>
  <c r="AR17" i="15" s="1"/>
  <c r="AS17" i="15" s="1"/>
  <c r="AT17" i="15" s="1"/>
  <c r="AU17" i="15" s="1"/>
  <c r="AD39" i="39"/>
  <c r="AD38" i="39" s="1"/>
  <c r="N38" i="39"/>
  <c r="AD34" i="36"/>
  <c r="I69" i="39"/>
  <c r="AC69" i="39"/>
  <c r="AA68" i="39"/>
  <c r="AB69" i="39" s="1"/>
  <c r="S15" i="39"/>
  <c r="O69" i="39"/>
  <c r="D38" i="39"/>
  <c r="E15" i="39"/>
  <c r="O15" i="39"/>
  <c r="Q28" i="39"/>
  <c r="T38" i="39"/>
  <c r="Y38" i="39"/>
  <c r="V48" i="39"/>
  <c r="C15" i="39"/>
  <c r="M15" i="39"/>
  <c r="W15" i="39"/>
  <c r="I38" i="39"/>
  <c r="AE54" i="39"/>
  <c r="AE31" i="36" s="1"/>
  <c r="L68" i="39"/>
  <c r="M69" i="39" s="1"/>
  <c r="F15" i="39"/>
  <c r="G54" i="39"/>
  <c r="V68" i="39"/>
  <c r="G48" i="39"/>
  <c r="U69" i="39"/>
  <c r="AD48" i="39"/>
  <c r="N69" i="39"/>
  <c r="X69" i="39"/>
  <c r="U15" i="39"/>
  <c r="U38" i="39"/>
  <c r="G39" i="39"/>
  <c r="P38" i="39"/>
  <c r="F69" i="39"/>
  <c r="P69" i="39"/>
  <c r="Z69" i="39"/>
  <c r="Q54" i="39"/>
  <c r="V16" i="39"/>
  <c r="O38" i="39"/>
  <c r="AA48" i="39"/>
  <c r="J69" i="39"/>
  <c r="T69" i="39"/>
  <c r="AA9" i="39"/>
  <c r="AA9" i="8"/>
  <c r="AC15" i="39"/>
  <c r="AD16" i="39"/>
  <c r="Q70" i="39"/>
  <c r="R71" i="39" s="1"/>
  <c r="G28" i="39"/>
  <c r="X38" i="39"/>
  <c r="J15" i="39"/>
  <c r="AB38" i="39"/>
  <c r="Q48" i="39"/>
  <c r="L48" i="39"/>
  <c r="S69" i="39"/>
  <c r="L16" i="39"/>
  <c r="G68" i="39"/>
  <c r="L28" i="39"/>
  <c r="V28" i="39"/>
  <c r="M38" i="39"/>
  <c r="W38" i="39"/>
  <c r="V39" i="39"/>
  <c r="H38" i="39"/>
  <c r="K69" i="39"/>
  <c r="K15" i="39"/>
  <c r="Z15" i="39"/>
  <c r="AA28" i="39"/>
  <c r="F38" i="39"/>
  <c r="Q39" i="39"/>
  <c r="L39" i="39"/>
  <c r="D69" i="39"/>
  <c r="Q68" i="39"/>
  <c r="R15" i="39"/>
  <c r="AD70" i="39"/>
  <c r="AD71" i="39" s="1"/>
  <c r="L54" i="39"/>
  <c r="AA54" i="39"/>
  <c r="AA31" i="36" s="1"/>
  <c r="V54" i="39"/>
  <c r="G16" i="39"/>
  <c r="G70" i="39"/>
  <c r="H71" i="39" s="1"/>
  <c r="AA39" i="39"/>
  <c r="AA38" i="39" s="1"/>
  <c r="K38" i="39"/>
  <c r="E69" i="39"/>
  <c r="Y69" i="39"/>
  <c r="AE69" i="39"/>
  <c r="AD69" i="39"/>
  <c r="AE15" i="39"/>
  <c r="AD28" i="39"/>
  <c r="J38" i="39"/>
  <c r="R38" i="39"/>
  <c r="Z38" i="39"/>
  <c r="H15" i="39"/>
  <c r="P15" i="39"/>
  <c r="X15" i="39"/>
  <c r="AA16" i="39"/>
  <c r="C38" i="39"/>
  <c r="S38" i="39"/>
  <c r="AF70" i="39"/>
  <c r="I15" i="39"/>
  <c r="Y15" i="39"/>
  <c r="L70" i="39"/>
  <c r="E38" i="39"/>
  <c r="AC38" i="39"/>
  <c r="D15" i="39"/>
  <c r="T15" i="39"/>
  <c r="AB15" i="39"/>
  <c r="V70" i="39"/>
  <c r="AA70" i="39"/>
  <c r="Q16" i="39"/>
  <c r="AH25" i="39"/>
  <c r="AI25" i="39" s="1"/>
  <c r="AJ25" i="39" s="1"/>
  <c r="AK25" i="39" s="1"/>
  <c r="AL25" i="39" s="1"/>
  <c r="AM25" i="39" s="1"/>
  <c r="AN25" i="39" s="1"/>
  <c r="AO25" i="39" s="1"/>
  <c r="AP25" i="39" s="1"/>
  <c r="AQ25" i="39" s="1"/>
  <c r="AR25" i="39" s="1"/>
  <c r="AS25" i="39" s="1"/>
  <c r="AT25" i="39" s="1"/>
  <c r="AU25" i="39" s="1"/>
  <c r="AV25" i="39" s="1"/>
  <c r="AW25" i="39" s="1"/>
  <c r="AX25" i="39" s="1"/>
  <c r="AY25" i="39" s="1"/>
  <c r="AZ25" i="39" s="1"/>
  <c r="BA25" i="39" s="1"/>
  <c r="BB25" i="39" s="1"/>
  <c r="BC25" i="39" s="1"/>
  <c r="BD25" i="39" s="1"/>
  <c r="BE25" i="39" s="1"/>
  <c r="BF25" i="39" s="1"/>
  <c r="BG25" i="39" s="1"/>
  <c r="BH25" i="39" s="1"/>
  <c r="AG70" i="39"/>
  <c r="BJ40" i="39"/>
  <c r="BK40" i="39" s="1"/>
  <c r="BL40" i="39" s="1"/>
  <c r="BM40" i="39" s="1"/>
  <c r="BN40" i="39" s="1"/>
  <c r="BO40" i="39" s="1"/>
  <c r="BP40" i="39" s="1"/>
  <c r="BQ40" i="39" s="1"/>
  <c r="BR40" i="39" s="1"/>
  <c r="BS40" i="39" s="1"/>
  <c r="BT40" i="39" s="1"/>
  <c r="BU40" i="39" s="1"/>
  <c r="BV40" i="39" s="1"/>
  <c r="BW40" i="39" s="1"/>
  <c r="AA26" i="36"/>
  <c r="AH1" i="36"/>
  <c r="AH6" i="36" s="1"/>
  <c r="AH18" i="36" s="1"/>
  <c r="L27" i="36"/>
  <c r="AB26" i="36"/>
  <c r="AG43" i="36"/>
  <c r="AG42" i="36" s="1"/>
  <c r="AG22" i="36"/>
  <c r="AG47" i="36"/>
  <c r="AC27" i="36"/>
  <c r="Q27" i="36"/>
  <c r="AG18" i="36"/>
  <c r="AG19" i="36" s="1"/>
  <c r="AG10" i="36" s="1"/>
  <c r="AG44" i="36"/>
  <c r="AG64" i="37"/>
  <c r="AG61" i="37" s="1"/>
  <c r="AG58" i="37" s="1"/>
  <c r="AH64" i="37" s="1"/>
  <c r="AH61" i="37" s="1"/>
  <c r="AH60" i="37" s="1"/>
  <c r="V27" i="36"/>
  <c r="AI1" i="36"/>
  <c r="AF35" i="36"/>
  <c r="AE26" i="36"/>
  <c r="AE29" i="36" s="1"/>
  <c r="AE34" i="36"/>
  <c r="BP43" i="36"/>
  <c r="J11" i="40"/>
  <c r="J10" i="39" s="1"/>
  <c r="J32" i="8"/>
  <c r="J39" i="8" s="1"/>
  <c r="R11" i="40"/>
  <c r="R10" i="39" s="1"/>
  <c r="R32" i="8"/>
  <c r="R39" i="8" s="1"/>
  <c r="X11" i="40"/>
  <c r="X10" i="39" s="1"/>
  <c r="X32" i="8"/>
  <c r="P11" i="40"/>
  <c r="P10" i="39" s="1"/>
  <c r="P32" i="8"/>
  <c r="P39" i="8" s="1"/>
  <c r="AH9" i="40"/>
  <c r="AG40" i="36"/>
  <c r="AG6" i="37"/>
  <c r="I11" i="40"/>
  <c r="I10" i="39" s="1"/>
  <c r="I32" i="8"/>
  <c r="I39" i="8" s="1"/>
  <c r="Q11" i="40"/>
  <c r="Q10" i="39" s="1"/>
  <c r="Q32" i="8"/>
  <c r="Q39" i="8" s="1"/>
  <c r="AH1" i="8"/>
  <c r="O32" i="8"/>
  <c r="O39" i="8" s="1"/>
  <c r="O11" i="40"/>
  <c r="O10" i="39" s="1"/>
  <c r="W32" i="8"/>
  <c r="W11" i="40"/>
  <c r="W10" i="39" s="1"/>
  <c r="M32" i="8"/>
  <c r="M39" i="8" s="1"/>
  <c r="M11" i="40"/>
  <c r="M10" i="39" s="1"/>
  <c r="U32" i="8"/>
  <c r="U39" i="8" s="1"/>
  <c r="U11" i="40"/>
  <c r="U10" i="39" s="1"/>
  <c r="AC32" i="8"/>
  <c r="AC11" i="40"/>
  <c r="AC10" i="39" s="1"/>
  <c r="AF29" i="8"/>
  <c r="V39" i="8"/>
  <c r="AG9" i="40"/>
  <c r="AF6" i="37"/>
  <c r="K32" i="8"/>
  <c r="K39" i="8" s="1"/>
  <c r="K11" i="40"/>
  <c r="K10" i="39" s="1"/>
  <c r="S32" i="8"/>
  <c r="S39" i="8" s="1"/>
  <c r="S11" i="40"/>
  <c r="S10" i="39" s="1"/>
  <c r="AA32" i="8"/>
  <c r="AA11" i="40"/>
  <c r="AA10" i="39" s="1"/>
  <c r="N32" i="8"/>
  <c r="N39" i="8" s="1"/>
  <c r="N11" i="40"/>
  <c r="N10" i="39" s="1"/>
  <c r="V32" i="8"/>
  <c r="V11" i="40"/>
  <c r="V10" i="39" s="1"/>
  <c r="AD32" i="8"/>
  <c r="AD11" i="40"/>
  <c r="AD10" i="39" s="1"/>
  <c r="W39" i="8"/>
  <c r="W5" i="12"/>
  <c r="AE39" i="8"/>
  <c r="AE5" i="12"/>
  <c r="AB39" i="8"/>
  <c r="AE32" i="8"/>
  <c r="AE11" i="40"/>
  <c r="AE10" i="39" s="1"/>
  <c r="AG14" i="8"/>
  <c r="AG22" i="8" s="1"/>
  <c r="Y9" i="40"/>
  <c r="Y39" i="8"/>
  <c r="D26" i="8"/>
  <c r="D11" i="40" s="1"/>
  <c r="D10" i="39" s="1"/>
  <c r="L26" i="8"/>
  <c r="T26" i="8"/>
  <c r="AF27" i="8"/>
  <c r="AB26" i="8"/>
  <c r="AC39" i="8"/>
  <c r="AI1" i="12"/>
  <c r="F97" i="54"/>
  <c r="AD39" i="8"/>
  <c r="B46" i="54"/>
  <c r="AG1" i="40"/>
  <c r="AG7" i="40" s="1"/>
  <c r="AG1" i="53"/>
  <c r="Z39" i="8"/>
  <c r="AG13" i="12"/>
  <c r="AG1" i="39"/>
  <c r="Y32" i="8"/>
  <c r="AA39" i="8"/>
  <c r="E97" i="54"/>
  <c r="X39" i="8"/>
  <c r="AF39" i="8"/>
  <c r="N15" i="15"/>
  <c r="AD15" i="15"/>
  <c r="V15" i="15"/>
  <c r="AL15" i="15"/>
  <c r="F66" i="15"/>
  <c r="G66" i="15" s="1"/>
  <c r="H66" i="15" s="1"/>
  <c r="I66" i="15" s="1"/>
  <c r="J66" i="15" s="1"/>
  <c r="K66" i="15" s="1"/>
  <c r="L66" i="15" s="1"/>
  <c r="M66" i="15" s="1"/>
  <c r="N66" i="15" s="1"/>
  <c r="O66" i="15" s="1"/>
  <c r="P66" i="15" s="1"/>
  <c r="Q66" i="15" s="1"/>
  <c r="R66" i="15" s="1"/>
  <c r="S66" i="15" s="1"/>
  <c r="T66" i="15" s="1"/>
  <c r="U66" i="15" s="1"/>
  <c r="V66" i="15" s="1"/>
  <c r="W66" i="15" s="1"/>
  <c r="X66" i="15" s="1"/>
  <c r="Y66" i="15" s="1"/>
  <c r="Z66" i="15" s="1"/>
  <c r="AA66" i="15" s="1"/>
  <c r="AB66" i="15" s="1"/>
  <c r="AC66" i="15" s="1"/>
  <c r="AD66" i="15" s="1"/>
  <c r="AE66" i="15" s="1"/>
  <c r="AF66" i="15" s="1"/>
  <c r="AG66" i="15" s="1"/>
  <c r="AH66" i="15" s="1"/>
  <c r="AI66" i="15" s="1"/>
  <c r="AJ66" i="15" s="1"/>
  <c r="AK66" i="15" s="1"/>
  <c r="AL66" i="15" s="1"/>
  <c r="AM66" i="15" s="1"/>
  <c r="AN66" i="15" s="1"/>
  <c r="AO66" i="15" s="1"/>
  <c r="AP66" i="15" s="1"/>
  <c r="AQ66" i="15" s="1"/>
  <c r="AR66" i="15" s="1"/>
  <c r="AS66" i="15" s="1"/>
  <c r="AT66" i="15" s="1"/>
  <c r="AU66" i="15" s="1"/>
  <c r="AT15" i="15"/>
  <c r="F15" i="15"/>
  <c r="M15" i="15"/>
  <c r="U15" i="15"/>
  <c r="AC15" i="15"/>
  <c r="AK15" i="15"/>
  <c r="AS15" i="15"/>
  <c r="G15" i="15"/>
  <c r="O15" i="15"/>
  <c r="W15" i="15"/>
  <c r="AE15" i="15"/>
  <c r="AM15" i="15"/>
  <c r="AU15" i="15"/>
  <c r="H15" i="15"/>
  <c r="P15" i="15"/>
  <c r="X15" i="15"/>
  <c r="AF15" i="15"/>
  <c r="AN15" i="15"/>
  <c r="E15" i="15"/>
  <c r="I15" i="15"/>
  <c r="Q15" i="15"/>
  <c r="Y15" i="15"/>
  <c r="AG15" i="15"/>
  <c r="AO15" i="15"/>
  <c r="J15" i="15"/>
  <c r="R15" i="15"/>
  <c r="Z15" i="15"/>
  <c r="AH15" i="15"/>
  <c r="AP15" i="15"/>
  <c r="E13" i="15"/>
  <c r="K15" i="15"/>
  <c r="S15" i="15"/>
  <c r="AA15" i="15"/>
  <c r="AI15" i="15"/>
  <c r="AQ15" i="15"/>
  <c r="E69" i="15"/>
  <c r="E71" i="15" s="1"/>
  <c r="L15" i="15"/>
  <c r="T15" i="15"/>
  <c r="AB15" i="15"/>
  <c r="AJ15" i="15"/>
  <c r="AE9" i="39"/>
  <c r="Z9" i="8"/>
  <c r="Z11" i="8"/>
  <c r="AD27" i="36"/>
  <c r="Y9" i="39"/>
  <c r="R40" i="8"/>
  <c r="R33" i="8" s="1"/>
  <c r="R5" i="12" s="1"/>
  <c r="Z9" i="39"/>
  <c r="Y10" i="8"/>
  <c r="Y7" i="8" s="1"/>
  <c r="Z10" i="8"/>
  <c r="Z8" i="8"/>
  <c r="BW43" i="36"/>
  <c r="AT43" i="36"/>
  <c r="BU43" i="36"/>
  <c r="AK43" i="36"/>
  <c r="AS43" i="36"/>
  <c r="BA43" i="36"/>
  <c r="BI43" i="36"/>
  <c r="BQ43" i="36"/>
  <c r="AL43" i="36"/>
  <c r="BR43" i="36"/>
  <c r="AM43" i="36"/>
  <c r="AU43" i="36"/>
  <c r="BC43" i="36"/>
  <c r="BK43" i="36"/>
  <c r="BS43" i="36"/>
  <c r="AN43" i="36"/>
  <c r="AV43" i="36"/>
  <c r="BD43" i="36"/>
  <c r="BL43" i="36"/>
  <c r="BT43" i="36"/>
  <c r="AW43" i="36"/>
  <c r="AO43" i="36"/>
  <c r="AH43" i="36"/>
  <c r="AP43" i="36"/>
  <c r="AX43" i="36"/>
  <c r="BF43" i="36"/>
  <c r="BN43" i="36"/>
  <c r="BV43" i="36"/>
  <c r="BJ43" i="36"/>
  <c r="BE43" i="36"/>
  <c r="AI43" i="36"/>
  <c r="AQ43" i="36"/>
  <c r="AY43" i="36"/>
  <c r="BG43" i="36"/>
  <c r="BO43" i="36"/>
  <c r="BB43" i="36"/>
  <c r="BM43" i="36"/>
  <c r="AJ43" i="36"/>
  <c r="AR43" i="36"/>
  <c r="AZ43" i="36"/>
  <c r="BH43" i="36"/>
  <c r="AF26" i="36"/>
  <c r="AF29" i="36" s="1"/>
  <c r="AC40" i="8"/>
  <c r="G8" i="8"/>
  <c r="G11" i="8"/>
  <c r="AA8" i="8"/>
  <c r="U10" i="8"/>
  <c r="G10" i="8"/>
  <c r="G9" i="8"/>
  <c r="AA11" i="8"/>
  <c r="X16" i="40"/>
  <c r="X31" i="40" s="1"/>
  <c r="AE8" i="8"/>
  <c r="AF8" i="8"/>
  <c r="AE9" i="8"/>
  <c r="K9" i="39"/>
  <c r="AE27" i="40"/>
  <c r="K8" i="8"/>
  <c r="AF9" i="8"/>
  <c r="L9" i="39"/>
  <c r="L8" i="8"/>
  <c r="K9" i="8"/>
  <c r="AE10" i="8"/>
  <c r="M5" i="39"/>
  <c r="C27" i="40"/>
  <c r="M31" i="40"/>
  <c r="W27" i="40"/>
  <c r="AA38" i="40"/>
  <c r="L9" i="8"/>
  <c r="K10" i="8"/>
  <c r="AF10" i="8"/>
  <c r="R5" i="39"/>
  <c r="W26" i="40"/>
  <c r="M40" i="8"/>
  <c r="M33" i="8" s="1"/>
  <c r="M5" i="12" s="1"/>
  <c r="AB40" i="8"/>
  <c r="G20" i="40"/>
  <c r="G64" i="40" s="1"/>
  <c r="AA20" i="40"/>
  <c r="AA64" i="40" s="1"/>
  <c r="K27" i="40"/>
  <c r="U27" i="40"/>
  <c r="R31" i="40"/>
  <c r="Q45" i="40"/>
  <c r="Q7" i="8"/>
  <c r="AD31" i="40"/>
  <c r="T8" i="8"/>
  <c r="H40" i="8"/>
  <c r="H33" i="8" s="1"/>
  <c r="H5" i="12" s="1"/>
  <c r="AE5" i="39"/>
  <c r="Q52" i="40"/>
  <c r="U8" i="8"/>
  <c r="T11" i="8"/>
  <c r="U11" i="8"/>
  <c r="AF38" i="40"/>
  <c r="AF39" i="40"/>
  <c r="L40" i="40"/>
  <c r="AF40" i="40"/>
  <c r="L41" i="40"/>
  <c r="V41" i="40"/>
  <c r="T9" i="8"/>
  <c r="L38" i="40"/>
  <c r="S27" i="40"/>
  <c r="AA45" i="40"/>
  <c r="U9" i="8"/>
  <c r="F27" i="40"/>
  <c r="J27" i="40"/>
  <c r="U9" i="39"/>
  <c r="V30" i="40"/>
  <c r="AE40" i="8"/>
  <c r="D16" i="40"/>
  <c r="D5" i="39" s="1"/>
  <c r="AD27" i="40"/>
  <c r="G39" i="40"/>
  <c r="Q39" i="40"/>
  <c r="AA41" i="40"/>
  <c r="G52" i="40"/>
  <c r="O11" i="8"/>
  <c r="O10" i="8"/>
  <c r="O9" i="8"/>
  <c r="O8" i="8"/>
  <c r="O9" i="39"/>
  <c r="E8" i="8"/>
  <c r="V8" i="8"/>
  <c r="V9" i="8"/>
  <c r="V10" i="8"/>
  <c r="V11" i="8"/>
  <c r="AD21" i="40"/>
  <c r="N21" i="40"/>
  <c r="G40" i="40"/>
  <c r="Q41" i="40"/>
  <c r="P9" i="39"/>
  <c r="Q38" i="40"/>
  <c r="L45" i="40"/>
  <c r="V45" i="40"/>
  <c r="AA52" i="40"/>
  <c r="P8" i="8"/>
  <c r="P9" i="8"/>
  <c r="P10" i="8"/>
  <c r="P11" i="8"/>
  <c r="AD5" i="39"/>
  <c r="W18" i="40"/>
  <c r="W7" i="39" s="1"/>
  <c r="AC23" i="40"/>
  <c r="AC71" i="12" s="1"/>
  <c r="AC70" i="12" s="1"/>
  <c r="AA39" i="40"/>
  <c r="G41" i="40"/>
  <c r="M27" i="40"/>
  <c r="AD29" i="40"/>
  <c r="R27" i="40"/>
  <c r="E9" i="8"/>
  <c r="E10" i="8"/>
  <c r="F9" i="39"/>
  <c r="F21" i="40"/>
  <c r="AC31" i="40"/>
  <c r="G45" i="40"/>
  <c r="E11" i="8"/>
  <c r="F8" i="8"/>
  <c r="F9" i="8"/>
  <c r="F10" i="8"/>
  <c r="F11" i="8"/>
  <c r="AD40" i="8"/>
  <c r="G38" i="40"/>
  <c r="L39" i="40"/>
  <c r="V40" i="40"/>
  <c r="AF41" i="40"/>
  <c r="L52" i="40"/>
  <c r="V52" i="40"/>
  <c r="AJ51" i="39"/>
  <c r="AJ43" i="39"/>
  <c r="AH46" i="39"/>
  <c r="AI46" i="39" s="1"/>
  <c r="AJ46" i="39" s="1"/>
  <c r="AK46" i="39" s="1"/>
  <c r="AL46" i="39" s="1"/>
  <c r="AM46" i="39" s="1"/>
  <c r="AN46" i="39" s="1"/>
  <c r="AO46" i="39" s="1"/>
  <c r="AP46" i="39" s="1"/>
  <c r="AQ46" i="39" s="1"/>
  <c r="AR46" i="39" s="1"/>
  <c r="AS46" i="39" s="1"/>
  <c r="AT46" i="39" s="1"/>
  <c r="AU46" i="39" s="1"/>
  <c r="AV46" i="39" s="1"/>
  <c r="AW46" i="39" s="1"/>
  <c r="AX46" i="39" s="1"/>
  <c r="AY46" i="39" s="1"/>
  <c r="AZ46" i="39" s="1"/>
  <c r="BA46" i="39" s="1"/>
  <c r="BB46" i="39" s="1"/>
  <c r="BC46" i="39" s="1"/>
  <c r="BD46" i="39" s="1"/>
  <c r="BE46" i="39" s="1"/>
  <c r="BF46" i="39" s="1"/>
  <c r="BG46" i="39" s="1"/>
  <c r="BH46" i="39" s="1"/>
  <c r="BI46" i="39" s="1"/>
  <c r="BJ46" i="39" s="1"/>
  <c r="BK46" i="39" s="1"/>
  <c r="BL46" i="39" s="1"/>
  <c r="BM46" i="39" s="1"/>
  <c r="BN46" i="39" s="1"/>
  <c r="BO46" i="39" s="1"/>
  <c r="BP46" i="39" s="1"/>
  <c r="BQ46" i="39" s="1"/>
  <c r="BR46" i="39" s="1"/>
  <c r="BS46" i="39" s="1"/>
  <c r="BT46" i="39" s="1"/>
  <c r="BU46" i="39" s="1"/>
  <c r="BV46" i="39" s="1"/>
  <c r="BW46" i="39" s="1"/>
  <c r="AH53" i="39"/>
  <c r="C1" i="12"/>
  <c r="T25" i="53"/>
  <c r="T2" i="53"/>
  <c r="G25" i="53"/>
  <c r="G2" i="53"/>
  <c r="E16" i="40"/>
  <c r="E31" i="40" s="1"/>
  <c r="F17" i="40"/>
  <c r="O64" i="40"/>
  <c r="O21" i="40"/>
  <c r="H31" i="40"/>
  <c r="H27" i="40"/>
  <c r="P27" i="40"/>
  <c r="E25" i="53"/>
  <c r="K25" i="53"/>
  <c r="K2" i="53"/>
  <c r="J5" i="40"/>
  <c r="I5" i="40" s="1"/>
  <c r="H37" i="53"/>
  <c r="I16" i="40"/>
  <c r="I26" i="40" s="1"/>
  <c r="AB37" i="53"/>
  <c r="AB23" i="40"/>
  <c r="AB71" i="12" s="1"/>
  <c r="AB43" i="40"/>
  <c r="H29" i="40"/>
  <c r="AB31" i="40"/>
  <c r="AB27" i="40"/>
  <c r="T9" i="39"/>
  <c r="Y25" i="53"/>
  <c r="Y2" i="53"/>
  <c r="X5" i="40"/>
  <c r="J17" i="40"/>
  <c r="Z27" i="40"/>
  <c r="E9" i="39"/>
  <c r="O25" i="53"/>
  <c r="O2" i="53"/>
  <c r="AA25" i="53"/>
  <c r="AA2" i="53"/>
  <c r="S64" i="40"/>
  <c r="S21" i="40"/>
  <c r="V20" i="40"/>
  <c r="AB26" i="40"/>
  <c r="N27" i="40"/>
  <c r="T27" i="40"/>
  <c r="V39" i="40"/>
  <c r="AE25" i="53"/>
  <c r="AE2" i="53"/>
  <c r="AD5" i="40"/>
  <c r="AC5" i="40" s="1"/>
  <c r="O17" i="40"/>
  <c r="G30" i="40"/>
  <c r="L30" i="40"/>
  <c r="AF16" i="40"/>
  <c r="AF23" i="40" s="1"/>
  <c r="R18" i="40"/>
  <c r="R26" i="40"/>
  <c r="S17" i="40"/>
  <c r="C64" i="40"/>
  <c r="C21" i="40"/>
  <c r="K64" i="40"/>
  <c r="K21" i="40"/>
  <c r="L20" i="40"/>
  <c r="D26" i="40"/>
  <c r="AC29" i="40"/>
  <c r="AC27" i="40"/>
  <c r="D27" i="40"/>
  <c r="AF30" i="40"/>
  <c r="Q40" i="40"/>
  <c r="AA40" i="40"/>
  <c r="S5" i="40"/>
  <c r="R5" i="40" s="1"/>
  <c r="W64" i="40"/>
  <c r="W21" i="40"/>
  <c r="AE64" i="40"/>
  <c r="AE21" i="40"/>
  <c r="H26" i="40"/>
  <c r="AB29" i="40"/>
  <c r="X27" i="40"/>
  <c r="AA30" i="40"/>
  <c r="V38" i="40"/>
  <c r="P25" i="53"/>
  <c r="P2" i="53"/>
  <c r="AF25" i="53"/>
  <c r="AF2" i="53"/>
  <c r="AB18" i="40"/>
  <c r="Q30" i="40"/>
  <c r="C31" i="40"/>
  <c r="Q25" i="53"/>
  <c r="Q2" i="53"/>
  <c r="AG5" i="40"/>
  <c r="AG9" i="39" s="1"/>
  <c r="R43" i="40"/>
  <c r="R37" i="53"/>
  <c r="E64" i="40"/>
  <c r="M64" i="40"/>
  <c r="U64" i="40"/>
  <c r="AC64" i="40"/>
  <c r="R29" i="40"/>
  <c r="U25" i="53"/>
  <c r="Z25" i="53"/>
  <c r="Z2" i="53"/>
  <c r="S16" i="40"/>
  <c r="AC17" i="40"/>
  <c r="C26" i="40"/>
  <c r="C29" i="40"/>
  <c r="AE45" i="40"/>
  <c r="H43" i="40"/>
  <c r="W43" i="40"/>
  <c r="U2" i="53"/>
  <c r="D5" i="40"/>
  <c r="C5" i="40" s="1"/>
  <c r="L25" i="53"/>
  <c r="L2" i="53"/>
  <c r="H64" i="40"/>
  <c r="P64" i="40"/>
  <c r="X64" i="40"/>
  <c r="AF20" i="40"/>
  <c r="AF21" i="40" s="1"/>
  <c r="AD23" i="40"/>
  <c r="AD71" i="12" s="1"/>
  <c r="AD70" i="12" s="1"/>
  <c r="M26" i="40"/>
  <c r="M29" i="40"/>
  <c r="W31" i="40"/>
  <c r="M43" i="40"/>
  <c r="N42" i="40"/>
  <c r="N16" i="40"/>
  <c r="X17" i="40"/>
  <c r="I64" i="40"/>
  <c r="Q20" i="40"/>
  <c r="Y64" i="40"/>
  <c r="W23" i="40"/>
  <c r="W71" i="12" s="1"/>
  <c r="T64" i="40"/>
  <c r="AC43" i="40"/>
  <c r="AD42" i="40"/>
  <c r="AE42" i="40" s="1"/>
  <c r="F25" i="53"/>
  <c r="F2" i="53"/>
  <c r="N5" i="40"/>
  <c r="V25" i="53"/>
  <c r="V2" i="53"/>
  <c r="AE37" i="53"/>
  <c r="J64" i="40"/>
  <c r="R64" i="40"/>
  <c r="Z64" i="40"/>
  <c r="D21" i="40"/>
  <c r="T21" i="40"/>
  <c r="AB21" i="40"/>
  <c r="I27" i="40"/>
  <c r="Y27" i="40"/>
  <c r="W29" i="40"/>
  <c r="AB64" i="40"/>
  <c r="X42" i="40"/>
  <c r="I42" i="40"/>
  <c r="T42" i="40"/>
  <c r="AH58" i="37"/>
  <c r="AG60" i="37"/>
  <c r="BW11" i="37"/>
  <c r="BW53" i="37" s="1"/>
  <c r="AF18" i="37"/>
  <c r="AG25" i="37" s="1"/>
  <c r="AH1" i="37"/>
  <c r="AG25" i="12"/>
  <c r="AG18" i="12"/>
  <c r="AH18" i="12"/>
  <c r="AG27" i="12"/>
  <c r="AG28" i="12"/>
  <c r="AG71" i="8"/>
  <c r="AI49" i="12"/>
  <c r="AI36" i="12"/>
  <c r="AG59" i="12"/>
  <c r="AG36" i="12"/>
  <c r="AG49" i="12"/>
  <c r="AH62" i="12"/>
  <c r="AH33" i="12"/>
  <c r="AI35" i="12"/>
  <c r="AG50" i="12"/>
  <c r="AG50" i="8"/>
  <c r="AH52" i="8"/>
  <c r="AG52" i="8"/>
  <c r="AH11" i="8"/>
  <c r="AH50" i="12"/>
  <c r="AH10" i="8"/>
  <c r="AG68" i="8"/>
  <c r="AG47" i="12"/>
  <c r="AG10" i="8"/>
  <c r="AI21" i="12"/>
  <c r="AH50" i="8"/>
  <c r="AI59" i="12"/>
  <c r="AH35" i="12"/>
  <c r="AH59" i="12"/>
  <c r="AI22" i="12"/>
  <c r="AG33" i="12"/>
  <c r="AG62" i="12"/>
  <c r="AH49" i="12"/>
  <c r="AH61" i="12"/>
  <c r="AG53" i="8"/>
  <c r="AG8" i="8"/>
  <c r="AG61" i="12"/>
  <c r="AI19" i="12"/>
  <c r="AG11" i="8"/>
  <c r="AH24" i="8"/>
  <c r="AG24" i="8"/>
  <c r="AI62" i="12"/>
  <c r="AG70" i="8"/>
  <c r="AI33" i="12"/>
  <c r="AI50" i="12"/>
  <c r="AH36" i="12"/>
  <c r="AH53" i="8"/>
  <c r="AI47" i="12"/>
  <c r="AI61" i="12"/>
  <c r="AH47" i="12"/>
  <c r="AH8" i="8"/>
  <c r="AG35" i="12"/>
  <c r="F13" i="15" l="1"/>
  <c r="AG7" i="37"/>
  <c r="AG5" i="36"/>
  <c r="AG6" i="40" s="1"/>
  <c r="F69" i="15"/>
  <c r="F71" i="15" s="1"/>
  <c r="K15" i="44"/>
  <c r="AG20" i="8"/>
  <c r="AA69" i="39"/>
  <c r="AE27" i="36"/>
  <c r="V15" i="39"/>
  <c r="L69" i="39"/>
  <c r="Q69" i="39"/>
  <c r="L15" i="39"/>
  <c r="L31" i="36" s="1"/>
  <c r="G38" i="39"/>
  <c r="AE71" i="39"/>
  <c r="V69" i="39"/>
  <c r="BI25" i="39"/>
  <c r="BJ25" i="39" s="1"/>
  <c r="BK25" i="39" s="1"/>
  <c r="BL25" i="39" s="1"/>
  <c r="BM25" i="39" s="1"/>
  <c r="BN25" i="39" s="1"/>
  <c r="BO25" i="39" s="1"/>
  <c r="BP25" i="39" s="1"/>
  <c r="BQ25" i="39" s="1"/>
  <c r="BR25" i="39" s="1"/>
  <c r="BS25" i="39" s="1"/>
  <c r="BT25" i="39" s="1"/>
  <c r="BU25" i="39" s="1"/>
  <c r="BV25" i="39" s="1"/>
  <c r="BW25" i="39" s="1"/>
  <c r="AF54" i="39"/>
  <c r="AF31" i="36" s="1"/>
  <c r="R69" i="39"/>
  <c r="V38" i="39"/>
  <c r="AE38" i="39"/>
  <c r="W69" i="39"/>
  <c r="H69" i="39"/>
  <c r="Q38" i="39"/>
  <c r="G21" i="40"/>
  <c r="X23" i="40"/>
  <c r="X71" i="12" s="1"/>
  <c r="X70" i="12" s="1"/>
  <c r="X37" i="53"/>
  <c r="G15" i="39"/>
  <c r="G31" i="36" s="1"/>
  <c r="L38" i="39"/>
  <c r="AF71" i="39"/>
  <c r="AA71" i="39"/>
  <c r="AB71" i="39"/>
  <c r="L71" i="39"/>
  <c r="M71" i="39"/>
  <c r="Q15" i="39"/>
  <c r="Q71" i="39"/>
  <c r="V71" i="39"/>
  <c r="W71" i="39"/>
  <c r="AG71" i="39"/>
  <c r="AF15" i="39"/>
  <c r="AD15" i="39"/>
  <c r="AA15" i="39"/>
  <c r="AH42" i="36"/>
  <c r="AH44" i="36"/>
  <c r="AG35" i="36"/>
  <c r="AG12" i="36"/>
  <c r="AB27" i="36"/>
  <c r="AF27" i="36"/>
  <c r="AG18" i="37"/>
  <c r="AH25" i="37" s="1"/>
  <c r="AH22" i="37" s="1"/>
  <c r="AG22" i="37"/>
  <c r="AI6" i="36"/>
  <c r="AJ1" i="36"/>
  <c r="AI18" i="12"/>
  <c r="W70" i="12"/>
  <c r="G97" i="54"/>
  <c r="AJ1" i="12"/>
  <c r="AB11" i="40"/>
  <c r="AB10" i="39" s="1"/>
  <c r="AB32" i="8"/>
  <c r="AF26" i="8"/>
  <c r="T11" i="40"/>
  <c r="T10" i="39" s="1"/>
  <c r="T32" i="8"/>
  <c r="T39" i="8" s="1"/>
  <c r="AH1" i="39"/>
  <c r="AH13" i="12"/>
  <c r="AH14" i="12" s="1"/>
  <c r="AH41" i="12" s="1"/>
  <c r="C46" i="54"/>
  <c r="AH1" i="40"/>
  <c r="AH1" i="53"/>
  <c r="AH17" i="8"/>
  <c r="AH7" i="36" s="1"/>
  <c r="G3" i="15" s="1"/>
  <c r="AH16" i="8"/>
  <c r="AI1" i="8"/>
  <c r="L11" i="40"/>
  <c r="L10" i="39" s="1"/>
  <c r="L32" i="8"/>
  <c r="L39" i="8" s="1"/>
  <c r="AI32" i="12"/>
  <c r="AG49" i="8"/>
  <c r="B53" i="54" s="1"/>
  <c r="AG60" i="8"/>
  <c r="AG74" i="8" s="1"/>
  <c r="AG80" i="8" s="1"/>
  <c r="AG23" i="8"/>
  <c r="AH62" i="8"/>
  <c r="AG63" i="8"/>
  <c r="AG77" i="8" s="1"/>
  <c r="AG83" i="8" s="1"/>
  <c r="AG29" i="8"/>
  <c r="AG36" i="8" s="1"/>
  <c r="AH60" i="8"/>
  <c r="AH49" i="8"/>
  <c r="C53" i="54" s="1"/>
  <c r="AG7" i="8"/>
  <c r="AG26" i="8" s="1"/>
  <c r="AG27" i="8"/>
  <c r="AG39" i="12"/>
  <c r="AG32" i="12"/>
  <c r="AH30" i="8"/>
  <c r="AH29" i="8"/>
  <c r="AH63" i="8"/>
  <c r="AG30" i="8"/>
  <c r="AG42" i="12"/>
  <c r="AG62" i="8"/>
  <c r="AG76" i="8" s="1"/>
  <c r="AG82" i="8" s="1"/>
  <c r="AH27" i="8"/>
  <c r="AH7" i="8"/>
  <c r="C48" i="54" s="1"/>
  <c r="AG41" i="12"/>
  <c r="AH39" i="12"/>
  <c r="AH32" i="12"/>
  <c r="AH42" i="12"/>
  <c r="AI53" i="39"/>
  <c r="AH70" i="39"/>
  <c r="AH71" i="39" s="1"/>
  <c r="H1" i="15"/>
  <c r="G69" i="15"/>
  <c r="G71" i="15" s="1"/>
  <c r="G13" i="15"/>
  <c r="D31" i="40"/>
  <c r="D29" i="40"/>
  <c r="W44" i="40"/>
  <c r="W62" i="40" s="1"/>
  <c r="Z7" i="8"/>
  <c r="AE6" i="39"/>
  <c r="D37" i="53"/>
  <c r="Y16" i="40"/>
  <c r="Y31" i="40" s="1"/>
  <c r="X29" i="40"/>
  <c r="K7" i="8"/>
  <c r="AE7" i="8"/>
  <c r="AA21" i="40"/>
  <c r="AG39" i="36"/>
  <c r="AG11" i="36" s="1"/>
  <c r="L7" i="8"/>
  <c r="AA7" i="8"/>
  <c r="G7" i="8"/>
  <c r="AF7" i="8"/>
  <c r="X40" i="8"/>
  <c r="X5" i="39"/>
  <c r="V7" i="8"/>
  <c r="U7" i="8"/>
  <c r="I31" i="40"/>
  <c r="O7" i="8"/>
  <c r="T7" i="8"/>
  <c r="W19" i="40"/>
  <c r="P7" i="8"/>
  <c r="V27" i="40"/>
  <c r="F7" i="8"/>
  <c r="AB5" i="40"/>
  <c r="AB8" i="8" s="1"/>
  <c r="E7" i="8"/>
  <c r="AE29" i="40"/>
  <c r="AK43" i="39"/>
  <c r="AK51" i="39"/>
  <c r="I25" i="53"/>
  <c r="I2" i="53"/>
  <c r="I8" i="8"/>
  <c r="I9" i="39"/>
  <c r="I9" i="8"/>
  <c r="I10" i="8"/>
  <c r="I11" i="8"/>
  <c r="C25" i="53"/>
  <c r="C2" i="53"/>
  <c r="C9" i="39"/>
  <c r="C9" i="8"/>
  <c r="C10" i="8"/>
  <c r="C11" i="8"/>
  <c r="C8" i="8"/>
  <c r="I44" i="40"/>
  <c r="AC26" i="40"/>
  <c r="AC18" i="40"/>
  <c r="AD17" i="40"/>
  <c r="AB19" i="40"/>
  <c r="AB7" i="39"/>
  <c r="S25" i="53"/>
  <c r="S2" i="53"/>
  <c r="S9" i="39"/>
  <c r="S9" i="8"/>
  <c r="S10" i="8"/>
  <c r="S11" i="8"/>
  <c r="S8" i="8"/>
  <c r="AF37" i="53"/>
  <c r="AF5" i="39"/>
  <c r="AF6" i="39" s="1"/>
  <c r="AF29" i="40"/>
  <c r="AF40" i="8"/>
  <c r="AD25" i="53"/>
  <c r="AD2" i="53"/>
  <c r="AD9" i="39"/>
  <c r="AD11" i="8"/>
  <c r="AD8" i="8"/>
  <c r="AD9" i="8"/>
  <c r="AD10" i="8"/>
  <c r="V64" i="40"/>
  <c r="V21" i="40"/>
  <c r="K17" i="40"/>
  <c r="Y17" i="40"/>
  <c r="X18" i="40"/>
  <c r="X26" i="40"/>
  <c r="M44" i="40"/>
  <c r="M62" i="40" s="1"/>
  <c r="S37" i="53"/>
  <c r="S29" i="40"/>
  <c r="S23" i="40"/>
  <c r="S31" i="40"/>
  <c r="T16" i="40"/>
  <c r="T43" i="40" s="1"/>
  <c r="S5" i="39"/>
  <c r="S40" i="8"/>
  <c r="S33" i="8" s="1"/>
  <c r="S5" i="12" s="1"/>
  <c r="J25" i="53"/>
  <c r="J2" i="53"/>
  <c r="J9" i="39"/>
  <c r="J9" i="8"/>
  <c r="J10" i="8"/>
  <c r="J11" i="8"/>
  <c r="J8" i="8"/>
  <c r="D25" i="53"/>
  <c r="D2" i="53"/>
  <c r="D9" i="39"/>
  <c r="D10" i="8"/>
  <c r="D11" i="8"/>
  <c r="D8" i="8"/>
  <c r="D9" i="8"/>
  <c r="AA27" i="40"/>
  <c r="L27" i="40"/>
  <c r="S43" i="40"/>
  <c r="X25" i="53"/>
  <c r="X2" i="53"/>
  <c r="X9" i="39"/>
  <c r="X8" i="8"/>
  <c r="X9" i="8"/>
  <c r="X10" i="8"/>
  <c r="X11" i="8"/>
  <c r="N25" i="53"/>
  <c r="N2" i="53"/>
  <c r="N9" i="39"/>
  <c r="N11" i="8"/>
  <c r="N8" i="8"/>
  <c r="N9" i="8"/>
  <c r="N10" i="8"/>
  <c r="N37" i="53"/>
  <c r="O16" i="40"/>
  <c r="O26" i="40" s="1"/>
  <c r="N29" i="40"/>
  <c r="N5" i="39"/>
  <c r="N31" i="40"/>
  <c r="N40" i="8"/>
  <c r="N33" i="8" s="1"/>
  <c r="N5" i="12" s="1"/>
  <c r="AF64" i="40"/>
  <c r="G27" i="40"/>
  <c r="AB70" i="12"/>
  <c r="AE71" i="12"/>
  <c r="E37" i="53"/>
  <c r="F16" i="40"/>
  <c r="G16" i="40" s="1"/>
  <c r="E29" i="40"/>
  <c r="E5" i="39"/>
  <c r="W49" i="40"/>
  <c r="M5" i="40"/>
  <c r="E26" i="40"/>
  <c r="U42" i="40"/>
  <c r="X43" i="40"/>
  <c r="Y42" i="40"/>
  <c r="N43" i="40"/>
  <c r="O42" i="40"/>
  <c r="AE9" i="36"/>
  <c r="AF9" i="36" s="1"/>
  <c r="D44" i="40"/>
  <c r="D62" i="40" s="1"/>
  <c r="S26" i="40"/>
  <c r="T17" i="40"/>
  <c r="S18" i="40"/>
  <c r="P17" i="40"/>
  <c r="I37" i="53"/>
  <c r="J16" i="40"/>
  <c r="J26" i="40" s="1"/>
  <c r="I29" i="40"/>
  <c r="I5" i="39"/>
  <c r="I40" i="8"/>
  <c r="I33" i="8" s="1"/>
  <c r="I5" i="12" s="1"/>
  <c r="R25" i="53"/>
  <c r="R2" i="53"/>
  <c r="R9" i="39"/>
  <c r="R9" i="8"/>
  <c r="R10" i="8"/>
  <c r="R11" i="8"/>
  <c r="R8" i="8"/>
  <c r="W5" i="40"/>
  <c r="I43" i="40"/>
  <c r="J42" i="40"/>
  <c r="Q64" i="40"/>
  <c r="Q21" i="40"/>
  <c r="R44" i="40"/>
  <c r="N26" i="40"/>
  <c r="AD43" i="40"/>
  <c r="C44" i="40"/>
  <c r="C62" i="40" s="1"/>
  <c r="Q27" i="40"/>
  <c r="H44" i="40"/>
  <c r="H62" i="40" s="1"/>
  <c r="G17" i="40"/>
  <c r="AF31" i="40"/>
  <c r="AF27" i="40"/>
  <c r="L21" i="40"/>
  <c r="L64" i="40"/>
  <c r="R19" i="40"/>
  <c r="R7" i="39"/>
  <c r="AC2" i="53"/>
  <c r="AC25" i="53"/>
  <c r="AC9" i="39"/>
  <c r="AC10" i="8"/>
  <c r="AC11" i="8"/>
  <c r="AC9" i="8"/>
  <c r="AC8" i="8"/>
  <c r="AB44" i="40"/>
  <c r="AB62" i="40" s="1"/>
  <c r="H5" i="40"/>
  <c r="Y37" i="53"/>
  <c r="Z16" i="40"/>
  <c r="Y29" i="40"/>
  <c r="Y5" i="39"/>
  <c r="Y23" i="40"/>
  <c r="Y71" i="12" s="1"/>
  <c r="Y70" i="12" s="1"/>
  <c r="Y40" i="8"/>
  <c r="AE24" i="39"/>
  <c r="AF24" i="39" s="1"/>
  <c r="AI64" i="37"/>
  <c r="AI61" i="37" s="1"/>
  <c r="AI60" i="37" s="1"/>
  <c r="AH18" i="37"/>
  <c r="AI25" i="37" s="1"/>
  <c r="AI22" i="37" s="1"/>
  <c r="AI1" i="37"/>
  <c r="C85" i="54"/>
  <c r="AG24" i="12"/>
  <c r="AG21" i="37" s="1"/>
  <c r="AG20" i="37" s="1"/>
  <c r="AI8" i="8"/>
  <c r="AJ49" i="12"/>
  <c r="AJ50" i="12"/>
  <c r="AI11" i="8"/>
  <c r="AJ21" i="12"/>
  <c r="AI53" i="8"/>
  <c r="AJ33" i="12"/>
  <c r="AJ22" i="12"/>
  <c r="AJ36" i="12"/>
  <c r="AJ47" i="12"/>
  <c r="AI24" i="8"/>
  <c r="AI50" i="8"/>
  <c r="AJ19" i="12"/>
  <c r="AJ62" i="12"/>
  <c r="AJ35" i="12"/>
  <c r="AJ61" i="12"/>
  <c r="AJ59" i="12"/>
  <c r="AI52" i="8"/>
  <c r="AI10" i="8"/>
  <c r="AH7" i="37" l="1"/>
  <c r="AH5" i="36"/>
  <c r="AH6" i="40" s="1"/>
  <c r="AI5" i="36"/>
  <c r="AI6" i="40" s="1"/>
  <c r="AI7" i="37"/>
  <c r="K16" i="44"/>
  <c r="K17" i="44" s="1"/>
  <c r="AG34" i="8"/>
  <c r="AG6" i="12" s="1"/>
  <c r="AG65" i="12" s="1"/>
  <c r="AG9" i="36"/>
  <c r="V31" i="36"/>
  <c r="AF38" i="39"/>
  <c r="W63" i="40"/>
  <c r="W65" i="40" s="1"/>
  <c r="W66" i="40" s="1"/>
  <c r="AE18" i="39"/>
  <c r="AF18" i="39" s="1"/>
  <c r="Q31" i="36"/>
  <c r="AJ6" i="36"/>
  <c r="AK1" i="36"/>
  <c r="AI44" i="36"/>
  <c r="AI42" i="36" s="1"/>
  <c r="AI18" i="36"/>
  <c r="AI7" i="8"/>
  <c r="AI26" i="8" s="1"/>
  <c r="AI27" i="8"/>
  <c r="AI60" i="8"/>
  <c r="AI49" i="8"/>
  <c r="D53" i="54" s="1"/>
  <c r="AI29" i="8"/>
  <c r="AI30" i="8"/>
  <c r="AI62" i="8"/>
  <c r="AI63" i="8"/>
  <c r="AJ18" i="12"/>
  <c r="AJ32" i="12"/>
  <c r="AH7" i="40"/>
  <c r="AH8" i="40" s="1"/>
  <c r="AH5" i="40"/>
  <c r="AH9" i="39" s="1"/>
  <c r="AF11" i="40"/>
  <c r="AF10" i="39" s="1"/>
  <c r="AF32" i="8"/>
  <c r="AH25" i="12"/>
  <c r="AH27" i="12"/>
  <c r="AH28" i="12"/>
  <c r="D46" i="54"/>
  <c r="AI1" i="53"/>
  <c r="AI1" i="39"/>
  <c r="AI13" i="12"/>
  <c r="AI14" i="12" s="1"/>
  <c r="AI17" i="8"/>
  <c r="AI7" i="36" s="1"/>
  <c r="H3" i="15" s="1"/>
  <c r="AI16" i="8"/>
  <c r="AJ1" i="8"/>
  <c r="AI1" i="40"/>
  <c r="H97" i="54"/>
  <c r="AK1" i="12"/>
  <c r="AH65" i="8"/>
  <c r="AH15" i="8"/>
  <c r="AH14" i="8" s="1"/>
  <c r="AI9" i="40"/>
  <c r="AH47" i="36"/>
  <c r="AH6" i="37"/>
  <c r="AF12" i="37"/>
  <c r="AG8" i="12"/>
  <c r="AG67" i="12" s="1"/>
  <c r="AG37" i="8"/>
  <c r="AG9" i="12" s="1"/>
  <c r="AG12" i="37"/>
  <c r="AH26" i="8"/>
  <c r="B48" i="54"/>
  <c r="AH38" i="12"/>
  <c r="AH74" i="40" s="1"/>
  <c r="AG38" i="12"/>
  <c r="AG74" i="40" s="1"/>
  <c r="AH59" i="8"/>
  <c r="AG73" i="8"/>
  <c r="AG79" i="8" s="1"/>
  <c r="AG59" i="8"/>
  <c r="AG11" i="40" s="1"/>
  <c r="AJ53" i="39"/>
  <c r="AI70" i="39"/>
  <c r="AI71" i="39" s="1"/>
  <c r="H13" i="15"/>
  <c r="H69" i="15"/>
  <c r="H71" i="15" s="1"/>
  <c r="I1" i="15"/>
  <c r="AB11" i="8"/>
  <c r="AB10" i="8"/>
  <c r="AB9" i="39"/>
  <c r="AE22" i="39" s="1"/>
  <c r="AF22" i="39" s="1"/>
  <c r="AB2" i="53"/>
  <c r="AB25" i="53"/>
  <c r="AB9" i="8"/>
  <c r="S7" i="8"/>
  <c r="R7" i="8"/>
  <c r="AL51" i="39"/>
  <c r="AL43" i="39"/>
  <c r="G37" i="53"/>
  <c r="G29" i="40"/>
  <c r="G5" i="39"/>
  <c r="G6" i="39" s="1"/>
  <c r="G18" i="39" s="1"/>
  <c r="G31" i="40"/>
  <c r="G26" i="40"/>
  <c r="J43" i="40"/>
  <c r="K42" i="40"/>
  <c r="O37" i="53"/>
  <c r="O29" i="40"/>
  <c r="O31" i="40"/>
  <c r="O40" i="8"/>
  <c r="O33" i="8" s="1"/>
  <c r="O5" i="12" s="1"/>
  <c r="P16" i="40"/>
  <c r="P26" i="40" s="1"/>
  <c r="O5" i="39"/>
  <c r="D7" i="8"/>
  <c r="X44" i="40"/>
  <c r="X62" i="40" s="1"/>
  <c r="AC19" i="40"/>
  <c r="AC7" i="39"/>
  <c r="AC7" i="8"/>
  <c r="H63" i="40"/>
  <c r="H65" i="40" s="1"/>
  <c r="H66" i="40" s="1"/>
  <c r="H49" i="40"/>
  <c r="F26" i="40"/>
  <c r="E44" i="40"/>
  <c r="E62" i="40" s="1"/>
  <c r="T37" i="53"/>
  <c r="U16" i="40"/>
  <c r="V16" i="40" s="1"/>
  <c r="T23" i="40"/>
  <c r="T29" i="40"/>
  <c r="T5" i="39"/>
  <c r="T40" i="8"/>
  <c r="T33" i="8" s="1"/>
  <c r="T5" i="12" s="1"/>
  <c r="T31" i="40"/>
  <c r="AC44" i="40"/>
  <c r="AC62" i="40" s="1"/>
  <c r="N44" i="40"/>
  <c r="N62" i="40" s="1"/>
  <c r="W25" i="53"/>
  <c r="W2" i="53"/>
  <c r="W9" i="39"/>
  <c r="W11" i="8"/>
  <c r="W8" i="8"/>
  <c r="W9" i="8"/>
  <c r="W10" i="8"/>
  <c r="O44" i="40"/>
  <c r="X7" i="39"/>
  <c r="X19" i="40"/>
  <c r="Z37" i="53"/>
  <c r="Z29" i="40"/>
  <c r="Z23" i="40"/>
  <c r="Z71" i="12" s="1"/>
  <c r="Z70" i="12" s="1"/>
  <c r="Z5" i="39"/>
  <c r="Z31" i="40"/>
  <c r="Z40" i="8"/>
  <c r="R49" i="40"/>
  <c r="R63" i="40"/>
  <c r="R65" i="40" s="1"/>
  <c r="R66" i="40" s="1"/>
  <c r="S19" i="40"/>
  <c r="S7" i="39"/>
  <c r="O43" i="40"/>
  <c r="P42" i="40"/>
  <c r="M2" i="53"/>
  <c r="M25" i="53"/>
  <c r="M9" i="39"/>
  <c r="M10" i="8"/>
  <c r="M11" i="8"/>
  <c r="M8" i="8"/>
  <c r="M9" i="8"/>
  <c r="F37" i="53"/>
  <c r="F29" i="40"/>
  <c r="F31" i="40"/>
  <c r="F5" i="39"/>
  <c r="I6" i="39" s="1"/>
  <c r="I18" i="39" s="1"/>
  <c r="Y18" i="40"/>
  <c r="Y26" i="40"/>
  <c r="Z17" i="40"/>
  <c r="I63" i="40"/>
  <c r="I65" i="40" s="1"/>
  <c r="I66" i="40" s="1"/>
  <c r="I49" i="40"/>
  <c r="R62" i="40"/>
  <c r="L17" i="40"/>
  <c r="AD7" i="8"/>
  <c r="I62" i="40"/>
  <c r="I7" i="8"/>
  <c r="H25" i="53"/>
  <c r="H2" i="53"/>
  <c r="H9" i="39"/>
  <c r="H8" i="8"/>
  <c r="H9" i="8"/>
  <c r="H10" i="8"/>
  <c r="H11" i="8"/>
  <c r="C63" i="40"/>
  <c r="C65" i="40" s="1"/>
  <c r="C49" i="40"/>
  <c r="U17" i="40"/>
  <c r="T18" i="40"/>
  <c r="T26" i="40"/>
  <c r="Y43" i="40"/>
  <c r="Z42" i="40"/>
  <c r="Z43" i="40" s="1"/>
  <c r="AE23" i="40"/>
  <c r="AE70" i="12"/>
  <c r="AF70" i="12" s="1"/>
  <c r="AF71" i="12" s="1"/>
  <c r="N7" i="8"/>
  <c r="J44" i="40"/>
  <c r="AA16" i="40"/>
  <c r="S44" i="40"/>
  <c r="X7" i="8"/>
  <c r="M63" i="40"/>
  <c r="M65" i="40" s="1"/>
  <c r="M66" i="40" s="1"/>
  <c r="M49" i="40"/>
  <c r="AB63" i="40"/>
  <c r="AB65" i="40" s="1"/>
  <c r="AB66" i="40" s="1"/>
  <c r="AB49" i="40"/>
  <c r="AE43" i="40"/>
  <c r="AF43" i="40"/>
  <c r="J37" i="53"/>
  <c r="K16" i="40"/>
  <c r="J29" i="40"/>
  <c r="J5" i="39"/>
  <c r="J31" i="40"/>
  <c r="J40" i="8"/>
  <c r="J33" i="8" s="1"/>
  <c r="J5" i="12" s="1"/>
  <c r="D63" i="40"/>
  <c r="D65" i="40" s="1"/>
  <c r="D49" i="40"/>
  <c r="W55" i="40"/>
  <c r="W51" i="40"/>
  <c r="J7" i="8"/>
  <c r="AD26" i="40"/>
  <c r="AE17" i="40"/>
  <c r="AD18" i="40"/>
  <c r="C7" i="8"/>
  <c r="Q17" i="40"/>
  <c r="AI58" i="37"/>
  <c r="AI18" i="37"/>
  <c r="AJ25" i="37" s="1"/>
  <c r="AJ22" i="37" s="1"/>
  <c r="D85" i="54"/>
  <c r="AJ1" i="37"/>
  <c r="AK62" i="12"/>
  <c r="AK36" i="12"/>
  <c r="AJ10" i="8"/>
  <c r="AJ8" i="8"/>
  <c r="AJ11" i="8"/>
  <c r="AK19" i="12"/>
  <c r="AH71" i="8"/>
  <c r="AK49" i="12"/>
  <c r="AK50" i="12"/>
  <c r="AH68" i="8"/>
  <c r="AJ53" i="8"/>
  <c r="AH70" i="8"/>
  <c r="AK21" i="12"/>
  <c r="AK33" i="12"/>
  <c r="AK61" i="12"/>
  <c r="AJ52" i="8"/>
  <c r="AK22" i="12"/>
  <c r="AK35" i="12"/>
  <c r="AK47" i="12"/>
  <c r="AJ50" i="8"/>
  <c r="AJ24" i="8"/>
  <c r="AK59" i="12"/>
  <c r="AJ7" i="37" l="1"/>
  <c r="AJ5" i="36"/>
  <c r="AJ6" i="40" s="1"/>
  <c r="K18" i="44"/>
  <c r="AK6" i="36"/>
  <c r="AL1" i="36"/>
  <c r="AJ44" i="36"/>
  <c r="AJ42" i="36" s="1"/>
  <c r="AJ18" i="36"/>
  <c r="D48" i="54"/>
  <c r="AH24" i="12"/>
  <c r="AH21" i="37" s="1"/>
  <c r="AH20" i="37" s="1"/>
  <c r="AG55" i="12"/>
  <c r="AI59" i="8"/>
  <c r="AI11" i="40" s="1"/>
  <c r="AI76" i="40" s="1"/>
  <c r="AK18" i="12"/>
  <c r="AK32" i="12"/>
  <c r="AJ27" i="8"/>
  <c r="AJ7" i="8"/>
  <c r="E48" i="54" s="1"/>
  <c r="AJ62" i="8"/>
  <c r="AJ63" i="8"/>
  <c r="AJ30" i="8"/>
  <c r="AJ60" i="8"/>
  <c r="AJ49" i="8"/>
  <c r="E53" i="54" s="1"/>
  <c r="AJ29" i="8"/>
  <c r="AH74" i="8"/>
  <c r="AH76" i="8"/>
  <c r="AH82" i="8" s="1"/>
  <c r="AH77" i="8"/>
  <c r="AH83" i="8" s="1"/>
  <c r="AH35" i="36"/>
  <c r="AB7" i="8"/>
  <c r="AJ9" i="40"/>
  <c r="AI47" i="36"/>
  <c r="AI6" i="37"/>
  <c r="AH20" i="8"/>
  <c r="AH34" i="8" s="1"/>
  <c r="AH41" i="8" s="1"/>
  <c r="AH22" i="8"/>
  <c r="AH36" i="8" s="1"/>
  <c r="I97" i="54"/>
  <c r="AL1" i="12"/>
  <c r="AI7" i="40"/>
  <c r="AI8" i="40" s="1"/>
  <c r="AI5" i="40"/>
  <c r="AI9" i="39" s="1"/>
  <c r="AI28" i="12"/>
  <c r="AI25" i="12"/>
  <c r="AI41" i="12"/>
  <c r="AI27" i="12"/>
  <c r="AI39" i="12"/>
  <c r="AI42" i="12"/>
  <c r="AI15" i="8"/>
  <c r="AI14" i="8" s="1"/>
  <c r="AH23" i="8"/>
  <c r="AH37" i="8" s="1"/>
  <c r="AH44" i="8" s="1"/>
  <c r="E46" i="54"/>
  <c r="AJ1" i="53"/>
  <c r="AJ1" i="39"/>
  <c r="AJ13" i="12"/>
  <c r="AJ14" i="12" s="1"/>
  <c r="AJ17" i="8"/>
  <c r="AJ7" i="36" s="1"/>
  <c r="I3" i="15" s="1"/>
  <c r="AJ16" i="8"/>
  <c r="AK1" i="8"/>
  <c r="AJ1" i="40"/>
  <c r="AH12" i="37"/>
  <c r="AI65" i="8"/>
  <c r="AG53" i="12"/>
  <c r="AG46" i="12"/>
  <c r="AG33" i="8"/>
  <c r="AG40" i="8" s="1"/>
  <c r="AG16" i="40" s="1"/>
  <c r="AG30" i="40" s="1"/>
  <c r="AG31" i="40" s="1"/>
  <c r="AH11" i="40"/>
  <c r="AH76" i="40" s="1"/>
  <c r="AG5" i="12"/>
  <c r="AG58" i="12" s="1"/>
  <c r="AG56" i="12"/>
  <c r="AG68" i="12"/>
  <c r="AG64" i="12" s="1"/>
  <c r="AG67" i="8"/>
  <c r="AG76" i="40"/>
  <c r="AK53" i="39"/>
  <c r="AJ70" i="39"/>
  <c r="AJ71" i="39" s="1"/>
  <c r="J1" i="15"/>
  <c r="I69" i="15"/>
  <c r="I71" i="15" s="1"/>
  <c r="I13" i="15"/>
  <c r="P43" i="40"/>
  <c r="J6" i="39"/>
  <c r="J18" i="39" s="1"/>
  <c r="Q16" i="40"/>
  <c r="Q43" i="40" s="1"/>
  <c r="AG37" i="40"/>
  <c r="H7" i="8"/>
  <c r="AG10" i="39"/>
  <c r="AG46" i="40"/>
  <c r="AG47" i="40"/>
  <c r="AG48" i="40"/>
  <c r="AM43" i="39"/>
  <c r="AM51" i="39"/>
  <c r="I20" i="39"/>
  <c r="I24" i="39"/>
  <c r="I22" i="39"/>
  <c r="AB55" i="40"/>
  <c r="AB59" i="40" s="1"/>
  <c r="AB51" i="40"/>
  <c r="J49" i="40"/>
  <c r="J63" i="40"/>
  <c r="J65" i="40" s="1"/>
  <c r="J66" i="40" s="1"/>
  <c r="T7" i="39"/>
  <c r="T19" i="40"/>
  <c r="O63" i="40"/>
  <c r="O65" i="40" s="1"/>
  <c r="O66" i="40" s="1"/>
  <c r="O49" i="40"/>
  <c r="P44" i="40"/>
  <c r="P62" i="40" s="1"/>
  <c r="W59" i="40"/>
  <c r="J62" i="40"/>
  <c r="U26" i="40"/>
  <c r="U18" i="40"/>
  <c r="Z18" i="40"/>
  <c r="Z26" i="40"/>
  <c r="M7" i="8"/>
  <c r="O62" i="40"/>
  <c r="F44" i="40"/>
  <c r="Y44" i="40"/>
  <c r="Y62" i="40" s="1"/>
  <c r="Z6" i="39"/>
  <c r="Z18" i="39" s="1"/>
  <c r="AB6" i="39"/>
  <c r="AB18" i="39" s="1"/>
  <c r="AD6" i="39"/>
  <c r="AC6" i="39"/>
  <c r="AC18" i="39" s="1"/>
  <c r="N63" i="40"/>
  <c r="N65" i="40" s="1"/>
  <c r="N66" i="40" s="1"/>
  <c r="N49" i="40"/>
  <c r="X63" i="40"/>
  <c r="X65" i="40" s="1"/>
  <c r="X66" i="40" s="1"/>
  <c r="X49" i="40"/>
  <c r="AD19" i="40"/>
  <c r="AD7" i="39"/>
  <c r="D55" i="40"/>
  <c r="D59" i="40" s="1"/>
  <c r="D51" i="40"/>
  <c r="K37" i="53"/>
  <c r="K29" i="40"/>
  <c r="K31" i="40"/>
  <c r="K5" i="39"/>
  <c r="O6" i="39" s="1"/>
  <c r="O18" i="39" s="1"/>
  <c r="K40" i="8"/>
  <c r="K33" i="8" s="1"/>
  <c r="K5" i="12" s="1"/>
  <c r="S63" i="40"/>
  <c r="S65" i="40" s="1"/>
  <c r="S66" i="40" s="1"/>
  <c r="S49" i="40"/>
  <c r="K26" i="40"/>
  <c r="K44" i="40" s="1"/>
  <c r="Y19" i="40"/>
  <c r="Y7" i="39"/>
  <c r="G22" i="39"/>
  <c r="G20" i="39"/>
  <c r="G24" i="39"/>
  <c r="AE26" i="40"/>
  <c r="AE44" i="40" s="1"/>
  <c r="AE18" i="40"/>
  <c r="AF17" i="40"/>
  <c r="S62" i="40"/>
  <c r="C55" i="40"/>
  <c r="C51" i="40"/>
  <c r="F6" i="39"/>
  <c r="F18" i="39" s="1"/>
  <c r="H6" i="39"/>
  <c r="H18" i="39" s="1"/>
  <c r="AC63" i="40"/>
  <c r="AC65" i="40" s="1"/>
  <c r="AC66" i="40" s="1"/>
  <c r="AC49" i="40"/>
  <c r="U37" i="53"/>
  <c r="U29" i="40"/>
  <c r="U40" i="8"/>
  <c r="U33" i="8" s="1"/>
  <c r="U5" i="12" s="1"/>
  <c r="U5" i="39"/>
  <c r="U23" i="40"/>
  <c r="U31" i="40"/>
  <c r="H55" i="40"/>
  <c r="H51" i="40"/>
  <c r="AD44" i="40"/>
  <c r="M51" i="40"/>
  <c r="M55" i="40"/>
  <c r="W7" i="8"/>
  <c r="U43" i="40"/>
  <c r="L16" i="40"/>
  <c r="L26" i="40" s="1"/>
  <c r="AA37" i="53"/>
  <c r="AA29" i="40"/>
  <c r="AA5" i="39"/>
  <c r="AA6" i="39" s="1"/>
  <c r="AA18" i="39" s="1"/>
  <c r="AA40" i="8"/>
  <c r="AA23" i="40"/>
  <c r="AA71" i="12" s="1"/>
  <c r="AA70" i="12" s="1"/>
  <c r="AA43" i="40"/>
  <c r="AG43" i="40" s="1"/>
  <c r="AH43" i="40" s="1"/>
  <c r="AI43" i="40" s="1"/>
  <c r="AJ43" i="40" s="1"/>
  <c r="AK43" i="40" s="1"/>
  <c r="AL43" i="40" s="1"/>
  <c r="AM43" i="40" s="1"/>
  <c r="AN43" i="40" s="1"/>
  <c r="AO43" i="40" s="1"/>
  <c r="AP43" i="40" s="1"/>
  <c r="AQ43" i="40" s="1"/>
  <c r="AR43" i="40" s="1"/>
  <c r="AS43" i="40" s="1"/>
  <c r="AT43" i="40" s="1"/>
  <c r="AU43" i="40" s="1"/>
  <c r="AV43" i="40" s="1"/>
  <c r="AW43" i="40" s="1"/>
  <c r="AX43" i="40" s="1"/>
  <c r="AY43" i="40" s="1"/>
  <c r="AZ43" i="40" s="1"/>
  <c r="BA43" i="40" s="1"/>
  <c r="BB43" i="40" s="1"/>
  <c r="BC43" i="40" s="1"/>
  <c r="BD43" i="40" s="1"/>
  <c r="BE43" i="40" s="1"/>
  <c r="BF43" i="40" s="1"/>
  <c r="BG43" i="40" s="1"/>
  <c r="BH43" i="40" s="1"/>
  <c r="BI43" i="40" s="1"/>
  <c r="BJ43" i="40" s="1"/>
  <c r="BK43" i="40" s="1"/>
  <c r="BL43" i="40" s="1"/>
  <c r="BM43" i="40" s="1"/>
  <c r="BN43" i="40" s="1"/>
  <c r="BO43" i="40" s="1"/>
  <c r="BP43" i="40" s="1"/>
  <c r="BQ43" i="40" s="1"/>
  <c r="BR43" i="40" s="1"/>
  <c r="BS43" i="40" s="1"/>
  <c r="BT43" i="40" s="1"/>
  <c r="BU43" i="40" s="1"/>
  <c r="BV43" i="40" s="1"/>
  <c r="BW43" i="40" s="1"/>
  <c r="AA31" i="40"/>
  <c r="I55" i="40"/>
  <c r="I59" i="40" s="1"/>
  <c r="I51" i="40"/>
  <c r="R55" i="40"/>
  <c r="R51" i="40"/>
  <c r="V37" i="53"/>
  <c r="V43" i="40"/>
  <c r="V29" i="40"/>
  <c r="V5" i="39"/>
  <c r="V6" i="39" s="1"/>
  <c r="V18" i="39" s="1"/>
  <c r="V40" i="8"/>
  <c r="V31" i="40"/>
  <c r="V23" i="40"/>
  <c r="V71" i="12" s="1"/>
  <c r="V70" i="12" s="1"/>
  <c r="K43" i="40"/>
  <c r="V17" i="40"/>
  <c r="T44" i="40"/>
  <c r="E63" i="40"/>
  <c r="E65" i="40" s="1"/>
  <c r="E49" i="40"/>
  <c r="P37" i="53"/>
  <c r="P29" i="40"/>
  <c r="P5" i="39"/>
  <c r="T6" i="39" s="1"/>
  <c r="T18" i="39" s="1"/>
  <c r="P40" i="8"/>
  <c r="P33" i="8" s="1"/>
  <c r="P5" i="12" s="1"/>
  <c r="P31" i="40"/>
  <c r="AA17" i="40"/>
  <c r="AJ64" i="37"/>
  <c r="AJ61" i="37" s="1"/>
  <c r="AJ60" i="37" s="1"/>
  <c r="E85" i="54"/>
  <c r="AK1" i="37"/>
  <c r="AL35" i="12"/>
  <c r="AL61" i="12"/>
  <c r="AL33" i="12"/>
  <c r="AL59" i="12"/>
  <c r="AK53" i="8"/>
  <c r="AK8" i="8"/>
  <c r="AL21" i="12"/>
  <c r="AK50" i="8"/>
  <c r="AK52" i="8"/>
  <c r="AI68" i="8"/>
  <c r="AL62" i="12"/>
  <c r="AL47" i="12"/>
  <c r="AL50" i="12"/>
  <c r="AL49" i="12"/>
  <c r="AK24" i="8"/>
  <c r="AI71" i="8"/>
  <c r="AL36" i="12"/>
  <c r="AK10" i="8"/>
  <c r="AL22" i="12"/>
  <c r="AI70" i="8"/>
  <c r="AK11" i="8"/>
  <c r="AL19" i="12"/>
  <c r="J3" i="15" l="1"/>
  <c r="AK7" i="37"/>
  <c r="AK5" i="36"/>
  <c r="AK6" i="40" s="1"/>
  <c r="J20" i="39"/>
  <c r="Q31" i="40"/>
  <c r="Q40" i="8"/>
  <c r="Q33" i="8" s="1"/>
  <c r="Q5" i="12" s="1"/>
  <c r="Q5" i="39"/>
  <c r="Q6" i="39" s="1"/>
  <c r="Q18" i="39" s="1"/>
  <c r="Q26" i="40"/>
  <c r="Q37" i="53"/>
  <c r="Q29" i="40"/>
  <c r="J22" i="39"/>
  <c r="J24" i="39"/>
  <c r="AI35" i="36"/>
  <c r="AJ39" i="36" s="1"/>
  <c r="AH8" i="12"/>
  <c r="AH67" i="12" s="1"/>
  <c r="AL6" i="36"/>
  <c r="AM1" i="36"/>
  <c r="AK44" i="36"/>
  <c r="AK42" i="36" s="1"/>
  <c r="AK18" i="36"/>
  <c r="AH43" i="8"/>
  <c r="AH33" i="8"/>
  <c r="AH40" i="8" s="1"/>
  <c r="AI24" i="12"/>
  <c r="AI21" i="37" s="1"/>
  <c r="AI20" i="37" s="1"/>
  <c r="AH6" i="12"/>
  <c r="AH65" i="12" s="1"/>
  <c r="AI74" i="8"/>
  <c r="AI76" i="8"/>
  <c r="AI82" i="8" s="1"/>
  <c r="AI77" i="8"/>
  <c r="AI83" i="8" s="1"/>
  <c r="AK29" i="8"/>
  <c r="AK30" i="8"/>
  <c r="AK62" i="8"/>
  <c r="AK63" i="8"/>
  <c r="AK7" i="8"/>
  <c r="AK27" i="8"/>
  <c r="AK49" i="8"/>
  <c r="F53" i="54" s="1"/>
  <c r="AK60" i="8"/>
  <c r="AL18" i="12"/>
  <c r="AL32" i="12"/>
  <c r="AI20" i="8"/>
  <c r="AI34" i="8" s="1"/>
  <c r="AI22" i="8"/>
  <c r="AI36" i="8" s="1"/>
  <c r="AJ25" i="12"/>
  <c r="AJ28" i="12"/>
  <c r="AJ41" i="12"/>
  <c r="AJ42" i="12"/>
  <c r="AJ39" i="12"/>
  <c r="AJ27" i="12"/>
  <c r="AJ65" i="8"/>
  <c r="F46" i="54"/>
  <c r="AK1" i="53"/>
  <c r="AK1" i="39"/>
  <c r="AK13" i="12"/>
  <c r="AK14" i="12" s="1"/>
  <c r="AK16" i="8"/>
  <c r="AL1" i="8"/>
  <c r="AK1" i="40"/>
  <c r="AK17" i="8"/>
  <c r="AK7" i="36" s="1"/>
  <c r="AK6" i="37" s="1"/>
  <c r="AH9" i="12"/>
  <c r="AJ59" i="8"/>
  <c r="AJ15" i="8"/>
  <c r="AJ23" i="8" s="1"/>
  <c r="AJ37" i="8" s="1"/>
  <c r="J97" i="54"/>
  <c r="AM1" i="12"/>
  <c r="AG52" i="12"/>
  <c r="AG70" i="12" s="1"/>
  <c r="AK9" i="40"/>
  <c r="AJ47" i="36"/>
  <c r="AK47" i="36" s="1"/>
  <c r="AJ6" i="37"/>
  <c r="AJ26" i="8"/>
  <c r="AI12" i="37"/>
  <c r="AJ5" i="40"/>
  <c r="AJ9" i="39" s="1"/>
  <c r="AJ7" i="40"/>
  <c r="AJ8" i="40" s="1"/>
  <c r="AI38" i="12"/>
  <c r="AI74" i="40" s="1"/>
  <c r="AI23" i="8"/>
  <c r="AI37" i="8" s="1"/>
  <c r="AH80" i="8"/>
  <c r="AH73" i="8"/>
  <c r="AL53" i="39"/>
  <c r="AK70" i="39"/>
  <c r="AK71" i="39" s="1"/>
  <c r="K1" i="15"/>
  <c r="J69" i="15"/>
  <c r="J71" i="15" s="1"/>
  <c r="J13" i="15"/>
  <c r="AG77" i="40"/>
  <c r="AG42" i="40"/>
  <c r="AG45" i="40"/>
  <c r="AH37" i="40"/>
  <c r="AI10" i="39"/>
  <c r="AH10" i="39"/>
  <c r="AN51" i="39"/>
  <c r="AN43" i="39"/>
  <c r="T22" i="39"/>
  <c r="T20" i="39"/>
  <c r="T24" i="39"/>
  <c r="T63" i="40"/>
  <c r="T65" i="40" s="1"/>
  <c r="T66" i="40" s="1"/>
  <c r="T49" i="40"/>
  <c r="AA24" i="39"/>
  <c r="AA22" i="39"/>
  <c r="K63" i="40"/>
  <c r="K65" i="40" s="1"/>
  <c r="K49" i="40"/>
  <c r="T62" i="40"/>
  <c r="V22" i="39"/>
  <c r="V20" i="39"/>
  <c r="V24" i="39"/>
  <c r="M59" i="40"/>
  <c r="H59" i="40"/>
  <c r="AC55" i="40"/>
  <c r="AC59" i="40" s="1"/>
  <c r="AC51" i="40"/>
  <c r="S55" i="40"/>
  <c r="S59" i="40" s="1"/>
  <c r="S51" i="40"/>
  <c r="N55" i="40"/>
  <c r="N59" i="40" s="1"/>
  <c r="N51" i="40"/>
  <c r="Z44" i="40"/>
  <c r="C59" i="40"/>
  <c r="N67" i="40"/>
  <c r="Z19" i="40"/>
  <c r="Z7" i="39"/>
  <c r="AD8" i="39" s="1"/>
  <c r="AD42" i="39" s="1"/>
  <c r="O55" i="40"/>
  <c r="O59" i="40" s="1"/>
  <c r="O51" i="40"/>
  <c r="E51" i="40"/>
  <c r="E55" i="40"/>
  <c r="E59" i="40" s="1"/>
  <c r="V26" i="40"/>
  <c r="V18" i="40"/>
  <c r="K6" i="39"/>
  <c r="K18" i="39" s="1"/>
  <c r="M6" i="39"/>
  <c r="M18" i="39" s="1"/>
  <c r="N6" i="39"/>
  <c r="N18" i="39" s="1"/>
  <c r="AC22" i="39"/>
  <c r="AC24" i="39"/>
  <c r="U19" i="40"/>
  <c r="U7" i="39"/>
  <c r="Y8" i="39" s="1"/>
  <c r="Y42" i="39" s="1"/>
  <c r="AA26" i="40"/>
  <c r="AA18" i="40"/>
  <c r="L37" i="53"/>
  <c r="L43" i="40"/>
  <c r="L29" i="40"/>
  <c r="L40" i="8"/>
  <c r="L33" i="8" s="1"/>
  <c r="L5" i="12" s="1"/>
  <c r="L5" i="39"/>
  <c r="L6" i="39" s="1"/>
  <c r="L18" i="39" s="1"/>
  <c r="L31" i="40"/>
  <c r="AD22" i="39"/>
  <c r="AD24" i="39"/>
  <c r="AD18" i="39"/>
  <c r="F63" i="40"/>
  <c r="F65" i="40" s="1"/>
  <c r="J67" i="40" s="1"/>
  <c r="F49" i="40"/>
  <c r="G44" i="40"/>
  <c r="G63" i="40" s="1"/>
  <c r="G65" i="40" s="1"/>
  <c r="U44" i="40"/>
  <c r="U62" i="40" s="1"/>
  <c r="O22" i="39"/>
  <c r="O20" i="39"/>
  <c r="O24" i="39"/>
  <c r="AD63" i="40"/>
  <c r="AD65" i="40" s="1"/>
  <c r="AD66" i="40" s="1"/>
  <c r="AD49" i="40"/>
  <c r="W6" i="39"/>
  <c r="W18" i="39" s="1"/>
  <c r="U6" i="39"/>
  <c r="U18" i="39" s="1"/>
  <c r="X6" i="39"/>
  <c r="X18" i="39" s="1"/>
  <c r="Y6" i="39"/>
  <c r="Y18" i="39" s="1"/>
  <c r="H22" i="39"/>
  <c r="H20" i="39"/>
  <c r="H24" i="39"/>
  <c r="AF18" i="40"/>
  <c r="AF19" i="40" s="1"/>
  <c r="AF26" i="40"/>
  <c r="AF44" i="40" s="1"/>
  <c r="L44" i="40"/>
  <c r="AB22" i="39"/>
  <c r="AB24" i="39"/>
  <c r="F62" i="40"/>
  <c r="AD62" i="40"/>
  <c r="F22" i="39"/>
  <c r="F20" i="39"/>
  <c r="F24" i="39"/>
  <c r="AE19" i="40"/>
  <c r="AE7" i="39"/>
  <c r="AE8" i="39" s="1"/>
  <c r="Q20" i="39"/>
  <c r="X55" i="40"/>
  <c r="X51" i="40"/>
  <c r="Z24" i="39"/>
  <c r="Z22" i="39"/>
  <c r="P6" i="39"/>
  <c r="P18" i="39" s="1"/>
  <c r="R6" i="39"/>
  <c r="R18" i="39" s="1"/>
  <c r="S6" i="39"/>
  <c r="S18" i="39" s="1"/>
  <c r="R59" i="40"/>
  <c r="AE63" i="40"/>
  <c r="AE65" i="40" s="1"/>
  <c r="AE66" i="40" s="1"/>
  <c r="AE49" i="40"/>
  <c r="Y63" i="40"/>
  <c r="Y65" i="40" s="1"/>
  <c r="Y66" i="40" s="1"/>
  <c r="Y49" i="40"/>
  <c r="P63" i="40"/>
  <c r="P65" i="40" s="1"/>
  <c r="P49" i="40"/>
  <c r="Q44" i="40"/>
  <c r="Q62" i="40" s="1"/>
  <c r="J55" i="40"/>
  <c r="J59" i="40" s="1"/>
  <c r="J51" i="40"/>
  <c r="AJ58" i="37"/>
  <c r="AJ18" i="37"/>
  <c r="AK25" i="37" s="1"/>
  <c r="AK22" i="37" s="1"/>
  <c r="AG5" i="39"/>
  <c r="AG6" i="39" s="1"/>
  <c r="AG28" i="40"/>
  <c r="AG24" i="40"/>
  <c r="F85" i="54"/>
  <c r="AL1" i="37"/>
  <c r="AL11" i="8"/>
  <c r="AM59" i="12"/>
  <c r="AM36" i="12"/>
  <c r="AM19" i="12"/>
  <c r="AM49" i="12"/>
  <c r="AM21" i="12"/>
  <c r="AL52" i="8"/>
  <c r="AJ70" i="8"/>
  <c r="AL50" i="8"/>
  <c r="AL10" i="8"/>
  <c r="AM47" i="12"/>
  <c r="AM61" i="12"/>
  <c r="AL8" i="8"/>
  <c r="AM33" i="12"/>
  <c r="AM22" i="12"/>
  <c r="AJ71" i="8"/>
  <c r="AJ68" i="8"/>
  <c r="AL24" i="8"/>
  <c r="AM62" i="12"/>
  <c r="AM50" i="12"/>
  <c r="AL53" i="8"/>
  <c r="AM35" i="12"/>
  <c r="K3" i="15" l="1"/>
  <c r="AL7" i="37"/>
  <c r="AL5" i="36"/>
  <c r="AL6" i="40" s="1"/>
  <c r="AJ14" i="8"/>
  <c r="AJ22" i="8" s="1"/>
  <c r="AJ36" i="8" s="1"/>
  <c r="K19" i="44"/>
  <c r="Q22" i="39"/>
  <c r="Q24" i="39"/>
  <c r="AG18" i="39"/>
  <c r="AH18" i="39" s="1"/>
  <c r="AI18" i="39" s="1"/>
  <c r="AJ18" i="39" s="1"/>
  <c r="AK18" i="39" s="1"/>
  <c r="AL18" i="39" s="1"/>
  <c r="AM18" i="39" s="1"/>
  <c r="AN18" i="39" s="1"/>
  <c r="AO18" i="39" s="1"/>
  <c r="AP18" i="39" s="1"/>
  <c r="AQ18" i="39" s="1"/>
  <c r="AR18" i="39" s="1"/>
  <c r="AS18" i="39" s="1"/>
  <c r="AT18" i="39" s="1"/>
  <c r="AU18" i="39" s="1"/>
  <c r="AV18" i="39" s="1"/>
  <c r="AW18" i="39" s="1"/>
  <c r="AX18" i="39" s="1"/>
  <c r="AY18" i="39" s="1"/>
  <c r="AZ18" i="39" s="1"/>
  <c r="BA18" i="39" s="1"/>
  <c r="BB18" i="39" s="1"/>
  <c r="BC18" i="39" s="1"/>
  <c r="BD18" i="39" s="1"/>
  <c r="BE18" i="39" s="1"/>
  <c r="BF18" i="39" s="1"/>
  <c r="BG18" i="39" s="1"/>
  <c r="BH18" i="39" s="1"/>
  <c r="BI18" i="39" s="1"/>
  <c r="BJ18" i="39" s="1"/>
  <c r="BK18" i="39" s="1"/>
  <c r="BL18" i="39" s="1"/>
  <c r="BM18" i="39" s="1"/>
  <c r="BN18" i="39" s="1"/>
  <c r="BO18" i="39" s="1"/>
  <c r="BP18" i="39" s="1"/>
  <c r="BQ18" i="39" s="1"/>
  <c r="BR18" i="39" s="1"/>
  <c r="BS18" i="39" s="1"/>
  <c r="BT18" i="39" s="1"/>
  <c r="BU18" i="39" s="1"/>
  <c r="BV18" i="39" s="1"/>
  <c r="BW18" i="39" s="1"/>
  <c r="AH5" i="12"/>
  <c r="AH58" i="12" s="1"/>
  <c r="AH55" i="12"/>
  <c r="AM6" i="36"/>
  <c r="AN1" i="36"/>
  <c r="AL44" i="36"/>
  <c r="AL42" i="36" s="1"/>
  <c r="AL18" i="36"/>
  <c r="AG71" i="12"/>
  <c r="AG23" i="40" s="1"/>
  <c r="AG22" i="40" s="1"/>
  <c r="AJ38" i="12"/>
  <c r="AJ74" i="40" s="1"/>
  <c r="AH53" i="12"/>
  <c r="AJ11" i="40"/>
  <c r="AJ10" i="39" s="1"/>
  <c r="AJ24" i="12"/>
  <c r="AJ21" i="37" s="1"/>
  <c r="AJ20" i="37" s="1"/>
  <c r="AL62" i="8"/>
  <c r="AL60" i="8"/>
  <c r="AL49" i="8"/>
  <c r="G53" i="54" s="1"/>
  <c r="AL29" i="8"/>
  <c r="AL30" i="8"/>
  <c r="AL27" i="8"/>
  <c r="AL7" i="8"/>
  <c r="AL63" i="8"/>
  <c r="AJ77" i="8"/>
  <c r="AJ83" i="8" s="1"/>
  <c r="AJ76" i="8"/>
  <c r="AJ82" i="8" s="1"/>
  <c r="AJ74" i="8"/>
  <c r="AM18" i="12"/>
  <c r="AM32" i="12"/>
  <c r="AK25" i="12"/>
  <c r="AK28" i="12"/>
  <c r="AK27" i="12"/>
  <c r="AK41" i="12"/>
  <c r="AK42" i="12"/>
  <c r="AK39" i="12"/>
  <c r="AJ20" i="8"/>
  <c r="AJ34" i="8" s="1"/>
  <c r="AK5" i="40"/>
  <c r="AK9" i="39" s="1"/>
  <c r="AK7" i="40"/>
  <c r="AK8" i="40" s="1"/>
  <c r="AJ35" i="36"/>
  <c r="F48" i="54"/>
  <c r="AK26" i="8"/>
  <c r="AJ12" i="37"/>
  <c r="AH68" i="12"/>
  <c r="AH64" i="12" s="1"/>
  <c r="AH56" i="12"/>
  <c r="AL1" i="40"/>
  <c r="AL1" i="53"/>
  <c r="AL1" i="39"/>
  <c r="AL13" i="12"/>
  <c r="AL14" i="12" s="1"/>
  <c r="G46" i="54"/>
  <c r="AM1" i="8"/>
  <c r="AL16" i="8"/>
  <c r="AL17" i="8"/>
  <c r="AL7" i="36" s="1"/>
  <c r="AL6" i="37" s="1"/>
  <c r="AG19" i="40"/>
  <c r="AG18" i="40" s="1"/>
  <c r="AG7" i="39" s="1"/>
  <c r="AG8" i="39" s="1"/>
  <c r="AK65" i="8"/>
  <c r="AH79" i="8"/>
  <c r="AH16" i="40" s="1"/>
  <c r="AH42" i="40" s="1"/>
  <c r="AH67" i="8"/>
  <c r="AJ44" i="8"/>
  <c r="AH46" i="12"/>
  <c r="AI44" i="8"/>
  <c r="AI9" i="12"/>
  <c r="AI43" i="8"/>
  <c r="AI8" i="12"/>
  <c r="K97" i="54"/>
  <c r="AN1" i="12"/>
  <c r="AI41" i="8"/>
  <c r="AI6" i="12"/>
  <c r="AI33" i="8"/>
  <c r="AI40" i="8" s="1"/>
  <c r="AK59" i="8"/>
  <c r="AK15" i="8"/>
  <c r="AL15" i="8" s="1"/>
  <c r="AI73" i="8"/>
  <c r="AI80" i="8"/>
  <c r="AM53" i="39"/>
  <c r="AL70" i="39"/>
  <c r="AL71" i="39" s="1"/>
  <c r="L1" i="15"/>
  <c r="K13" i="15"/>
  <c r="AL9" i="40"/>
  <c r="G67" i="40"/>
  <c r="G28" i="36" s="1"/>
  <c r="G29" i="36" s="1"/>
  <c r="G66" i="40"/>
  <c r="O67" i="40"/>
  <c r="K66" i="40"/>
  <c r="S67" i="40"/>
  <c r="P66" i="40"/>
  <c r="AE67" i="40"/>
  <c r="AE28" i="36" s="1"/>
  <c r="V44" i="40"/>
  <c r="V63" i="40" s="1"/>
  <c r="V65" i="40" s="1"/>
  <c r="AI37" i="40"/>
  <c r="AO43" i="39"/>
  <c r="AO51" i="39"/>
  <c r="AF7" i="39"/>
  <c r="AF8" i="39" s="1"/>
  <c r="W22" i="39"/>
  <c r="W20" i="39"/>
  <c r="W24" i="39"/>
  <c r="U63" i="40"/>
  <c r="U65" i="40" s="1"/>
  <c r="U66" i="40" s="1"/>
  <c r="U49" i="40"/>
  <c r="V49" i="40" s="1"/>
  <c r="AA19" i="40"/>
  <c r="AA7" i="39"/>
  <c r="AA8" i="39" s="1"/>
  <c r="AA42" i="39" s="1"/>
  <c r="T67" i="40"/>
  <c r="Y55" i="40"/>
  <c r="Y59" i="40" s="1"/>
  <c r="Y51" i="40"/>
  <c r="AD55" i="40"/>
  <c r="AD59" i="40" s="1"/>
  <c r="AD51" i="40"/>
  <c r="S24" i="39"/>
  <c r="S22" i="39"/>
  <c r="S20" i="39"/>
  <c r="N22" i="39"/>
  <c r="N20" i="39"/>
  <c r="N24" i="39"/>
  <c r="K55" i="40"/>
  <c r="K59" i="40" s="1"/>
  <c r="K51" i="40"/>
  <c r="L49" i="40"/>
  <c r="R20" i="39"/>
  <c r="R24" i="39"/>
  <c r="R22" i="39"/>
  <c r="X59" i="40"/>
  <c r="L22" i="39"/>
  <c r="L20" i="39"/>
  <c r="L24" i="39"/>
  <c r="M22" i="39"/>
  <c r="M20" i="39"/>
  <c r="M24" i="39"/>
  <c r="K67" i="40"/>
  <c r="M67" i="40"/>
  <c r="Q63" i="40"/>
  <c r="Q65" i="40" s="1"/>
  <c r="P22" i="39"/>
  <c r="P20" i="39"/>
  <c r="P24" i="39"/>
  <c r="F55" i="40"/>
  <c r="F59" i="40" s="1"/>
  <c r="G59" i="40" s="1"/>
  <c r="F51" i="40"/>
  <c r="G49" i="40"/>
  <c r="G51" i="40" s="1"/>
  <c r="K24" i="39"/>
  <c r="K22" i="39"/>
  <c r="K20" i="39"/>
  <c r="Y20" i="39"/>
  <c r="Y24" i="39"/>
  <c r="Y22" i="39"/>
  <c r="I67" i="40"/>
  <c r="H67" i="40"/>
  <c r="W8" i="39"/>
  <c r="W42" i="39" s="1"/>
  <c r="X8" i="39"/>
  <c r="X42" i="39" s="1"/>
  <c r="P55" i="40"/>
  <c r="P59" i="40" s="1"/>
  <c r="P51" i="40"/>
  <c r="Q49" i="40"/>
  <c r="L63" i="40"/>
  <c r="L65" i="40" s="1"/>
  <c r="X22" i="39"/>
  <c r="X20" i="39"/>
  <c r="X24" i="39"/>
  <c r="V19" i="40"/>
  <c r="V7" i="39"/>
  <c r="V8" i="39" s="1"/>
  <c r="V42" i="39" s="1"/>
  <c r="Z8" i="39"/>
  <c r="Z42" i="39" s="1"/>
  <c r="AB8" i="39"/>
  <c r="AB42" i="39" s="1"/>
  <c r="AC8" i="39"/>
  <c r="AC42" i="39" s="1"/>
  <c r="Z49" i="40"/>
  <c r="AA49" i="40" s="1"/>
  <c r="AA51" i="40" s="1"/>
  <c r="Z63" i="40"/>
  <c r="Z65" i="40" s="1"/>
  <c r="AA44" i="40"/>
  <c r="AA63" i="40" s="1"/>
  <c r="AA65" i="40" s="1"/>
  <c r="P67" i="40"/>
  <c r="R67" i="40"/>
  <c r="AF63" i="40"/>
  <c r="AF65" i="40" s="1"/>
  <c r="AF49" i="40"/>
  <c r="AF55" i="40" s="1"/>
  <c r="U22" i="39"/>
  <c r="U20" i="39"/>
  <c r="U24" i="39"/>
  <c r="Z62" i="40"/>
  <c r="T55" i="40"/>
  <c r="T51" i="40"/>
  <c r="L62" i="40"/>
  <c r="AK64" i="37"/>
  <c r="AK61" i="37" s="1"/>
  <c r="AK60" i="37" s="1"/>
  <c r="AG27" i="40"/>
  <c r="G85" i="54"/>
  <c r="AM1" i="37"/>
  <c r="AN49" i="12"/>
  <c r="AN61" i="12"/>
  <c r="AN59" i="12"/>
  <c r="AN50" i="12"/>
  <c r="AN21" i="12"/>
  <c r="AN62" i="12"/>
  <c r="AN35" i="12"/>
  <c r="AM53" i="8"/>
  <c r="AK68" i="8"/>
  <c r="AN22" i="12"/>
  <c r="AM10" i="8"/>
  <c r="AN36" i="12"/>
  <c r="AN33" i="12"/>
  <c r="AM50" i="8"/>
  <c r="AM8" i="8"/>
  <c r="AK70" i="8"/>
  <c r="AM11" i="8"/>
  <c r="AK71" i="8"/>
  <c r="AN19" i="12"/>
  <c r="AM24" i="8"/>
  <c r="AN47" i="12"/>
  <c r="AM52" i="8"/>
  <c r="L3" i="15" l="1"/>
  <c r="AM7" i="37"/>
  <c r="AM5" i="36"/>
  <c r="AM6" i="40" s="1"/>
  <c r="AK14" i="8"/>
  <c r="K20" i="44"/>
  <c r="AK23" i="8"/>
  <c r="AK37" i="8" s="1"/>
  <c r="AK44" i="8" s="1"/>
  <c r="BO24" i="39"/>
  <c r="AG22" i="39"/>
  <c r="AH22" i="39" s="1"/>
  <c r="AI22" i="39" s="1"/>
  <c r="AG17" i="39"/>
  <c r="AG16" i="36" s="1"/>
  <c r="AG21" i="36" s="1"/>
  <c r="AH52" i="12"/>
  <c r="AH70" i="12" s="1"/>
  <c r="AH71" i="12" s="1"/>
  <c r="AH23" i="40" s="1"/>
  <c r="AH22" i="40" s="1"/>
  <c r="AK35" i="36"/>
  <c r="AL35" i="36" s="1"/>
  <c r="AM35" i="36" s="1"/>
  <c r="AN35" i="36" s="1"/>
  <c r="AO35" i="36" s="1"/>
  <c r="AP35" i="36" s="1"/>
  <c r="AQ35" i="36" s="1"/>
  <c r="AR35" i="36" s="1"/>
  <c r="AS35" i="36" s="1"/>
  <c r="AT35" i="36" s="1"/>
  <c r="AU35" i="36" s="1"/>
  <c r="AV35" i="36" s="1"/>
  <c r="AW35" i="36" s="1"/>
  <c r="AX35" i="36" s="1"/>
  <c r="AY35" i="36" s="1"/>
  <c r="AZ35" i="36" s="1"/>
  <c r="BA35" i="36" s="1"/>
  <c r="BB35" i="36" s="1"/>
  <c r="BC35" i="36" s="1"/>
  <c r="BD35" i="36" s="1"/>
  <c r="BE35" i="36" s="1"/>
  <c r="BF35" i="36" s="1"/>
  <c r="BG35" i="36" s="1"/>
  <c r="BH35" i="36" s="1"/>
  <c r="BI35" i="36" s="1"/>
  <c r="BJ35" i="36" s="1"/>
  <c r="BK35" i="36" s="1"/>
  <c r="BL35" i="36" s="1"/>
  <c r="BM35" i="36" s="1"/>
  <c r="BN35" i="36" s="1"/>
  <c r="BO35" i="36" s="1"/>
  <c r="BP35" i="36" s="1"/>
  <c r="BQ35" i="36" s="1"/>
  <c r="BR35" i="36" s="1"/>
  <c r="BS35" i="36" s="1"/>
  <c r="BT35" i="36" s="1"/>
  <c r="BU35" i="36" s="1"/>
  <c r="BV35" i="36" s="1"/>
  <c r="BW35" i="36" s="1"/>
  <c r="AK39" i="36"/>
  <c r="AO1" i="36"/>
  <c r="AN6" i="36"/>
  <c r="AM44" i="36"/>
  <c r="AM42" i="36" s="1"/>
  <c r="AM18" i="36"/>
  <c r="B99" i="54"/>
  <c r="AJ76" i="40"/>
  <c r="AJ9" i="12"/>
  <c r="AJ56" i="12" s="1"/>
  <c r="AK24" i="12"/>
  <c r="AK21" i="37" s="1"/>
  <c r="AK20" i="37" s="1"/>
  <c r="AM60" i="8"/>
  <c r="AM49" i="8"/>
  <c r="H53" i="54" s="1"/>
  <c r="AM62" i="8"/>
  <c r="AM63" i="8"/>
  <c r="AM7" i="8"/>
  <c r="AM27" i="8"/>
  <c r="AM29" i="8"/>
  <c r="AM30" i="8"/>
  <c r="AN32" i="12"/>
  <c r="AN18" i="12"/>
  <c r="AK76" i="8"/>
  <c r="AK82" i="8" s="1"/>
  <c r="AK74" i="8"/>
  <c r="AK77" i="8"/>
  <c r="AK83" i="8" s="1"/>
  <c r="AI53" i="12"/>
  <c r="AI46" i="12"/>
  <c r="AI65" i="12"/>
  <c r="AI5" i="12"/>
  <c r="AI58" i="12" s="1"/>
  <c r="AL23" i="8"/>
  <c r="AL37" i="8" s="1"/>
  <c r="AL14" i="8"/>
  <c r="AL7" i="40"/>
  <c r="AL8" i="40" s="1"/>
  <c r="AL5" i="40"/>
  <c r="AL9" i="39" s="1"/>
  <c r="AL39" i="12"/>
  <c r="AL42" i="12"/>
  <c r="AL41" i="12"/>
  <c r="AL28" i="12"/>
  <c r="AL27" i="12"/>
  <c r="AL25" i="12"/>
  <c r="G48" i="54"/>
  <c r="AL26" i="8"/>
  <c r="AK12" i="37"/>
  <c r="AI55" i="12"/>
  <c r="AI67" i="12"/>
  <c r="AK22" i="8"/>
  <c r="AK36" i="8" s="1"/>
  <c r="AK20" i="8"/>
  <c r="AK34" i="8" s="1"/>
  <c r="AK38" i="12"/>
  <c r="AK74" i="40" s="1"/>
  <c r="AH77" i="40"/>
  <c r="AH5" i="39"/>
  <c r="AH6" i="39" s="1"/>
  <c r="AH17" i="39" s="1"/>
  <c r="AH16" i="36" s="1"/>
  <c r="AH26" i="36" s="1"/>
  <c r="AH30" i="40"/>
  <c r="AH28" i="40"/>
  <c r="AH24" i="40"/>
  <c r="AM1" i="53"/>
  <c r="H46" i="54"/>
  <c r="AM1" i="40"/>
  <c r="AM1" i="39"/>
  <c r="AM13" i="12"/>
  <c r="AM14" i="12" s="1"/>
  <c r="AN1" i="8"/>
  <c r="AM16" i="8"/>
  <c r="AM15" i="8" s="1"/>
  <c r="AM17" i="8"/>
  <c r="AM7" i="36" s="1"/>
  <c r="AM6" i="37" s="1"/>
  <c r="L97" i="54"/>
  <c r="AO1" i="12"/>
  <c r="AJ80" i="8"/>
  <c r="AJ73" i="8"/>
  <c r="AI68" i="12"/>
  <c r="AI56" i="12"/>
  <c r="AL65" i="8"/>
  <c r="AH19" i="40"/>
  <c r="AI19" i="40" s="1"/>
  <c r="AJ19" i="40" s="1"/>
  <c r="AK19" i="40" s="1"/>
  <c r="AK11" i="40"/>
  <c r="AJ8" i="12"/>
  <c r="AJ43" i="8"/>
  <c r="AL59" i="8"/>
  <c r="AI79" i="8"/>
  <c r="AI16" i="40" s="1"/>
  <c r="AI67" i="8"/>
  <c r="AJ6" i="12"/>
  <c r="AJ41" i="8"/>
  <c r="AJ33" i="8"/>
  <c r="AJ40" i="8" s="1"/>
  <c r="AN53" i="39"/>
  <c r="AM70" i="39"/>
  <c r="AM71" i="39" s="1"/>
  <c r="M1" i="15"/>
  <c r="L13" i="15"/>
  <c r="AM9" i="40"/>
  <c r="L67" i="40"/>
  <c r="L28" i="36" s="1"/>
  <c r="L29" i="36" s="1"/>
  <c r="L66" i="40"/>
  <c r="AA67" i="40"/>
  <c r="AA28" i="36" s="1"/>
  <c r="AA66" i="40"/>
  <c r="Q67" i="40"/>
  <c r="Q28" i="36" s="1"/>
  <c r="Q29" i="36" s="1"/>
  <c r="Q66" i="40"/>
  <c r="V67" i="40"/>
  <c r="V28" i="36" s="1"/>
  <c r="V29" i="36" s="1"/>
  <c r="V66" i="40"/>
  <c r="AD67" i="40"/>
  <c r="AD28" i="36" s="1"/>
  <c r="Z66" i="40"/>
  <c r="AF67" i="40"/>
  <c r="AF28" i="36" s="1"/>
  <c r="AF66" i="40"/>
  <c r="V62" i="40"/>
  <c r="BA24" i="39"/>
  <c r="AO24" i="39"/>
  <c r="BJ24" i="39"/>
  <c r="AH24" i="39"/>
  <c r="BR24" i="39"/>
  <c r="AP24" i="39"/>
  <c r="BC24" i="39"/>
  <c r="BF24" i="39"/>
  <c r="AR24" i="39"/>
  <c r="BS24" i="39"/>
  <c r="AQ24" i="39"/>
  <c r="AK24" i="39"/>
  <c r="AV24" i="39"/>
  <c r="AY24" i="39"/>
  <c r="AS24" i="39"/>
  <c r="BL24" i="39"/>
  <c r="BG24" i="39"/>
  <c r="AT24" i="39"/>
  <c r="BE24" i="39"/>
  <c r="L55" i="40"/>
  <c r="BH24" i="39"/>
  <c r="AM24" i="39"/>
  <c r="BU24" i="39"/>
  <c r="BW24" i="39"/>
  <c r="AG24" i="39"/>
  <c r="AG23" i="39" s="1"/>
  <c r="BQ24" i="39"/>
  <c r="BD24" i="39"/>
  <c r="BV24" i="39"/>
  <c r="AZ24" i="39"/>
  <c r="AL24" i="39"/>
  <c r="BK24" i="39"/>
  <c r="AW24" i="39"/>
  <c r="BN24" i="39"/>
  <c r="BP24" i="39"/>
  <c r="BB24" i="39"/>
  <c r="AN24" i="39"/>
  <c r="BM24" i="39"/>
  <c r="AI24" i="39"/>
  <c r="AJ24" i="39"/>
  <c r="BI24" i="39"/>
  <c r="AU24" i="39"/>
  <c r="BT24" i="39"/>
  <c r="AX24" i="39"/>
  <c r="AJ37" i="40"/>
  <c r="AP51" i="39"/>
  <c r="AP43" i="39"/>
  <c r="T59" i="40"/>
  <c r="Q51" i="40"/>
  <c r="AE42" i="39"/>
  <c r="AF42" i="39" s="1"/>
  <c r="AF59" i="40"/>
  <c r="AF51" i="40"/>
  <c r="Z67" i="40"/>
  <c r="AB67" i="40"/>
  <c r="AB28" i="36" s="1"/>
  <c r="AC67" i="40"/>
  <c r="AC28" i="36" s="1"/>
  <c r="Q59" i="40"/>
  <c r="L59" i="40"/>
  <c r="U55" i="40"/>
  <c r="U59" i="40" s="1"/>
  <c r="U51" i="40"/>
  <c r="Z55" i="40"/>
  <c r="Z51" i="40"/>
  <c r="Q55" i="40"/>
  <c r="U67" i="40"/>
  <c r="W67" i="40"/>
  <c r="X67" i="40"/>
  <c r="G55" i="40"/>
  <c r="V51" i="40"/>
  <c r="Y67" i="40"/>
  <c r="L51" i="40"/>
  <c r="AK58" i="37"/>
  <c r="AK18" i="37"/>
  <c r="AL25" i="37" s="1"/>
  <c r="AL22" i="37" s="1"/>
  <c r="H85" i="54"/>
  <c r="AN1" i="37"/>
  <c r="AL70" i="8"/>
  <c r="AO50" i="12"/>
  <c r="AO19" i="12"/>
  <c r="AN53" i="8"/>
  <c r="AO22" i="12"/>
  <c r="AN50" i="8"/>
  <c r="AO35" i="12"/>
  <c r="AO33" i="12"/>
  <c r="AN11" i="8"/>
  <c r="AO21" i="12"/>
  <c r="AO47" i="12"/>
  <c r="AO61" i="12"/>
  <c r="AO59" i="12"/>
  <c r="AL68" i="8"/>
  <c r="AN24" i="8"/>
  <c r="AN10" i="8"/>
  <c r="AN52" i="8"/>
  <c r="AN8" i="8"/>
  <c r="AO36" i="12"/>
  <c r="AO49" i="12"/>
  <c r="AO62" i="12"/>
  <c r="AL71" i="8"/>
  <c r="M3" i="15" l="1"/>
  <c r="AN7" i="37"/>
  <c r="AN5" i="36"/>
  <c r="AN6" i="40" s="1"/>
  <c r="K21" i="44"/>
  <c r="AG21" i="39"/>
  <c r="AG16" i="39" s="1"/>
  <c r="AL19" i="40"/>
  <c r="AG26" i="36"/>
  <c r="AH19" i="36"/>
  <c r="AH10" i="36" s="1"/>
  <c r="AH46" i="40" s="1"/>
  <c r="AH22" i="36"/>
  <c r="AN44" i="36"/>
  <c r="AN42" i="36" s="1"/>
  <c r="AN18" i="36"/>
  <c r="AP1" i="36"/>
  <c r="AO6" i="36"/>
  <c r="AJ68" i="12"/>
  <c r="C99" i="54"/>
  <c r="AH23" i="39"/>
  <c r="AL11" i="40"/>
  <c r="AL10" i="39" s="1"/>
  <c r="AI64" i="12"/>
  <c r="AK9" i="12"/>
  <c r="AK68" i="12" s="1"/>
  <c r="AL38" i="12"/>
  <c r="AL74" i="40" s="1"/>
  <c r="AL76" i="8"/>
  <c r="AL82" i="8" s="1"/>
  <c r="AL74" i="8"/>
  <c r="AL77" i="8"/>
  <c r="AL83" i="8" s="1"/>
  <c r="AO18" i="12"/>
  <c r="AO32" i="12"/>
  <c r="AN30" i="8"/>
  <c r="AN63" i="8"/>
  <c r="AN29" i="8"/>
  <c r="AN60" i="8"/>
  <c r="AN49" i="8"/>
  <c r="I53" i="54" s="1"/>
  <c r="AN62" i="8"/>
  <c r="AN7" i="8"/>
  <c r="I48" i="54" s="1"/>
  <c r="AN27" i="8"/>
  <c r="AM42" i="12"/>
  <c r="AM39" i="12"/>
  <c r="AM28" i="12"/>
  <c r="AM27" i="12"/>
  <c r="AM41" i="12"/>
  <c r="AM25" i="12"/>
  <c r="AK10" i="39"/>
  <c r="AK76" i="40"/>
  <c r="AI52" i="12"/>
  <c r="AI30" i="40"/>
  <c r="AH31" i="40"/>
  <c r="AJ67" i="12"/>
  <c r="AJ55" i="12"/>
  <c r="AM7" i="40"/>
  <c r="AM19" i="40" s="1"/>
  <c r="AM5" i="40"/>
  <c r="AM9" i="39" s="1"/>
  <c r="AL24" i="12"/>
  <c r="AL21" i="37" s="1"/>
  <c r="AL20" i="37" s="1"/>
  <c r="H48" i="54"/>
  <c r="AL12" i="37"/>
  <c r="AM26" i="8"/>
  <c r="AI77" i="40"/>
  <c r="AI42" i="40"/>
  <c r="AI28" i="40"/>
  <c r="AI24" i="40"/>
  <c r="AI5" i="39"/>
  <c r="AI6" i="39" s="1"/>
  <c r="AI17" i="39" s="1"/>
  <c r="AI16" i="36" s="1"/>
  <c r="AI26" i="36" s="1"/>
  <c r="AM65" i="8"/>
  <c r="AK41" i="8"/>
  <c r="AK6" i="12"/>
  <c r="AK33" i="8"/>
  <c r="AK40" i="8" s="1"/>
  <c r="M97" i="54"/>
  <c r="AP1" i="12"/>
  <c r="AJ65" i="12"/>
  <c r="AJ53" i="12"/>
  <c r="AJ46" i="12"/>
  <c r="AJ5" i="12"/>
  <c r="AJ58" i="12" s="1"/>
  <c r="AK43" i="8"/>
  <c r="AK8" i="12"/>
  <c r="AL22" i="8"/>
  <c r="AL36" i="8" s="1"/>
  <c r="AL20" i="8"/>
  <c r="AL34" i="8" s="1"/>
  <c r="AM23" i="8"/>
  <c r="AM37" i="8" s="1"/>
  <c r="AM14" i="8"/>
  <c r="AL44" i="8"/>
  <c r="AK80" i="8"/>
  <c r="AK73" i="8"/>
  <c r="I46" i="54"/>
  <c r="AN1" i="40"/>
  <c r="AN1" i="53"/>
  <c r="AO1" i="8"/>
  <c r="AN13" i="12"/>
  <c r="AN14" i="12" s="1"/>
  <c r="AN17" i="8"/>
  <c r="AN7" i="36" s="1"/>
  <c r="AN6" i="37" s="1"/>
  <c r="AN1" i="39"/>
  <c r="AN16" i="8"/>
  <c r="AN15" i="8" s="1"/>
  <c r="AH27" i="40"/>
  <c r="AH21" i="39"/>
  <c r="AJ67" i="8"/>
  <c r="AJ79" i="8"/>
  <c r="AJ16" i="40" s="1"/>
  <c r="AM59" i="8"/>
  <c r="AO53" i="39"/>
  <c r="AN70" i="39"/>
  <c r="AN71" i="39" s="1"/>
  <c r="AN9" i="40"/>
  <c r="N1" i="15"/>
  <c r="M13" i="15"/>
  <c r="AH18" i="40"/>
  <c r="AH7" i="39" s="1"/>
  <c r="AH8" i="39" s="1"/>
  <c r="AG42" i="39"/>
  <c r="AJ22" i="39"/>
  <c r="AK37" i="40"/>
  <c r="AQ51" i="39"/>
  <c r="AQ43" i="39"/>
  <c r="AI18" i="40"/>
  <c r="Z59" i="40"/>
  <c r="AA55" i="40"/>
  <c r="V55" i="40"/>
  <c r="V59" i="40"/>
  <c r="AL64" i="37"/>
  <c r="AL61" i="37" s="1"/>
  <c r="AL60" i="37" s="1"/>
  <c r="AO1" i="37"/>
  <c r="I85" i="54"/>
  <c r="AH21" i="36"/>
  <c r="AI22" i="36" s="1"/>
  <c r="AI19" i="36"/>
  <c r="AI10" i="36" s="1"/>
  <c r="AP47" i="12"/>
  <c r="AO53" i="8"/>
  <c r="AP50" i="12"/>
  <c r="AM70" i="8"/>
  <c r="AM68" i="8"/>
  <c r="AP19" i="12"/>
  <c r="AP35" i="12"/>
  <c r="AO24" i="8"/>
  <c r="AO10" i="8"/>
  <c r="AM71" i="8"/>
  <c r="AO11" i="8"/>
  <c r="AP62" i="12"/>
  <c r="AO50" i="8"/>
  <c r="AP22" i="12"/>
  <c r="AP21" i="12"/>
  <c r="AP49" i="12"/>
  <c r="AO8" i="8"/>
  <c r="AP61" i="12"/>
  <c r="AP59" i="12"/>
  <c r="AO52" i="8"/>
  <c r="AP33" i="12"/>
  <c r="AP36" i="12"/>
  <c r="N3" i="15" l="1"/>
  <c r="AO7" i="37"/>
  <c r="AO5" i="36"/>
  <c r="AO6" i="40" s="1"/>
  <c r="K22" i="44"/>
  <c r="AJ19" i="36"/>
  <c r="AJ10" i="36" s="1"/>
  <c r="AJ46" i="40" s="1"/>
  <c r="AO44" i="36"/>
  <c r="AO42" i="36" s="1"/>
  <c r="AO18" i="36"/>
  <c r="AL76" i="40"/>
  <c r="AP6" i="36"/>
  <c r="AQ1" i="36"/>
  <c r="AI21" i="36"/>
  <c r="AJ22" i="36" s="1"/>
  <c r="AK56" i="12"/>
  <c r="AI21" i="39"/>
  <c r="AI70" i="12"/>
  <c r="AI71" i="12" s="1"/>
  <c r="D99" i="54" s="1"/>
  <c r="AH16" i="39"/>
  <c r="AM24" i="12"/>
  <c r="AM21" i="37" s="1"/>
  <c r="AL9" i="12"/>
  <c r="AL68" i="12" s="1"/>
  <c r="AJ52" i="12"/>
  <c r="AJ30" i="40"/>
  <c r="AJ31" i="40" s="1"/>
  <c r="AJ64" i="12"/>
  <c r="AI23" i="39"/>
  <c r="AM77" i="8"/>
  <c r="AM83" i="8" s="1"/>
  <c r="AM74" i="8"/>
  <c r="AM76" i="8"/>
  <c r="AM82" i="8" s="1"/>
  <c r="AP32" i="12"/>
  <c r="AP18" i="12"/>
  <c r="AO30" i="8"/>
  <c r="AO62" i="8"/>
  <c r="AO60" i="8"/>
  <c r="AO49" i="8"/>
  <c r="J53" i="54" s="1"/>
  <c r="AO29" i="8"/>
  <c r="AO63" i="8"/>
  <c r="AO27" i="8"/>
  <c r="AO7" i="8"/>
  <c r="AO15" i="8"/>
  <c r="AN27" i="12"/>
  <c r="AN39" i="12"/>
  <c r="AN42" i="12"/>
  <c r="AN28" i="12"/>
  <c r="AN41" i="12"/>
  <c r="AN25" i="12"/>
  <c r="AK65" i="12"/>
  <c r="AK5" i="12"/>
  <c r="AK58" i="12" s="1"/>
  <c r="AK46" i="12"/>
  <c r="AK53" i="12"/>
  <c r="AN5" i="40"/>
  <c r="AN9" i="39" s="1"/>
  <c r="AN7" i="40"/>
  <c r="AN19" i="40" s="1"/>
  <c r="AK79" i="8"/>
  <c r="AK16" i="40" s="1"/>
  <c r="AK67" i="8"/>
  <c r="AI31" i="40"/>
  <c r="AN23" i="8"/>
  <c r="AN37" i="8" s="1"/>
  <c r="AN14" i="8"/>
  <c r="AL8" i="12"/>
  <c r="AL43" i="8"/>
  <c r="AN65" i="8"/>
  <c r="AM8" i="40"/>
  <c r="AK55" i="12"/>
  <c r="AK67" i="12"/>
  <c r="AQ1" i="12"/>
  <c r="N97" i="54"/>
  <c r="AM38" i="12"/>
  <c r="AM74" i="40" s="1"/>
  <c r="AL41" i="8"/>
  <c r="AL33" i="8"/>
  <c r="AL40" i="8" s="1"/>
  <c r="AL6" i="12"/>
  <c r="J46" i="54"/>
  <c r="AO1" i="40"/>
  <c r="AO1" i="53"/>
  <c r="AP1" i="8"/>
  <c r="AO1" i="39"/>
  <c r="AO17" i="8"/>
  <c r="AO7" i="36" s="1"/>
  <c r="AO6" i="37" s="1"/>
  <c r="AO16" i="8"/>
  <c r="AO13" i="8" s="1"/>
  <c r="AO13" i="12"/>
  <c r="AO14" i="12" s="1"/>
  <c r="AM22" i="8"/>
  <c r="AM36" i="8" s="1"/>
  <c r="AM20" i="8"/>
  <c r="AM34" i="8" s="1"/>
  <c r="AI27" i="40"/>
  <c r="AN26" i="8"/>
  <c r="AM12" i="37"/>
  <c r="AL80" i="8"/>
  <c r="AL73" i="8"/>
  <c r="AN59" i="8"/>
  <c r="AJ5" i="39"/>
  <c r="AJ6" i="39" s="1"/>
  <c r="AJ21" i="39" s="1"/>
  <c r="AJ24" i="40"/>
  <c r="AJ42" i="40"/>
  <c r="AJ77" i="40"/>
  <c r="AJ28" i="40"/>
  <c r="AM44" i="8"/>
  <c r="AM11" i="40"/>
  <c r="AP53" i="39"/>
  <c r="AO70" i="39"/>
  <c r="AO71" i="39" s="1"/>
  <c r="AO9" i="40"/>
  <c r="N13" i="15"/>
  <c r="O1" i="15"/>
  <c r="AG27" i="36"/>
  <c r="AG78" i="40" s="1"/>
  <c r="AH42" i="39"/>
  <c r="AI42" i="39" s="1"/>
  <c r="AJ42" i="39" s="1"/>
  <c r="AK42" i="39" s="1"/>
  <c r="AL42" i="39" s="1"/>
  <c r="AM42" i="39" s="1"/>
  <c r="AN42" i="39" s="1"/>
  <c r="AO42" i="39" s="1"/>
  <c r="AP42" i="39" s="1"/>
  <c r="AQ42" i="39" s="1"/>
  <c r="AR42" i="39" s="1"/>
  <c r="AS42" i="39" s="1"/>
  <c r="AT42" i="39" s="1"/>
  <c r="AU42" i="39" s="1"/>
  <c r="AV42" i="39" s="1"/>
  <c r="AW42" i="39" s="1"/>
  <c r="AX42" i="39" s="1"/>
  <c r="AY42" i="39" s="1"/>
  <c r="AZ42" i="39" s="1"/>
  <c r="BA42" i="39" s="1"/>
  <c r="BB42" i="39" s="1"/>
  <c r="BC42" i="39" s="1"/>
  <c r="BD42" i="39" s="1"/>
  <c r="BE42" i="39" s="1"/>
  <c r="BF42" i="39" s="1"/>
  <c r="BG42" i="39" s="1"/>
  <c r="BH42" i="39" s="1"/>
  <c r="BI42" i="39" s="1"/>
  <c r="BJ42" i="39" s="1"/>
  <c r="BK42" i="39" s="1"/>
  <c r="BL42" i="39" s="1"/>
  <c r="BM42" i="39" s="1"/>
  <c r="BN42" i="39" s="1"/>
  <c r="BO42" i="39" s="1"/>
  <c r="BP42" i="39" s="1"/>
  <c r="BQ42" i="39" s="1"/>
  <c r="BR42" i="39" s="1"/>
  <c r="BS42" i="39" s="1"/>
  <c r="BT42" i="39" s="1"/>
  <c r="BU42" i="39" s="1"/>
  <c r="BV42" i="39" s="1"/>
  <c r="BW42" i="39" s="1"/>
  <c r="AG41" i="39"/>
  <c r="AG68" i="39" s="1"/>
  <c r="AK22" i="39"/>
  <c r="AL37" i="40"/>
  <c r="AR43" i="39"/>
  <c r="AR51" i="39"/>
  <c r="AA59" i="40"/>
  <c r="AI7" i="39"/>
  <c r="AI8" i="39" s="1"/>
  <c r="AJ18" i="40"/>
  <c r="AF68" i="39"/>
  <c r="AF69" i="39" s="1"/>
  <c r="AL58" i="37"/>
  <c r="AL18" i="37"/>
  <c r="AM25" i="37" s="1"/>
  <c r="AM22" i="37" s="1"/>
  <c r="J85" i="54"/>
  <c r="AP1" i="37"/>
  <c r="AI46" i="40"/>
  <c r="AN71" i="8"/>
  <c r="AP11" i="8"/>
  <c r="AP53" i="8"/>
  <c r="AP8" i="8"/>
  <c r="AP52" i="8"/>
  <c r="AN68" i="8"/>
  <c r="AP10" i="8"/>
  <c r="AQ59" i="12"/>
  <c r="AQ47" i="12"/>
  <c r="AN70" i="8"/>
  <c r="AQ22" i="12"/>
  <c r="AQ33" i="12"/>
  <c r="AQ62" i="12"/>
  <c r="AQ19" i="12"/>
  <c r="AP50" i="8"/>
  <c r="AQ36" i="12"/>
  <c r="AQ50" i="12"/>
  <c r="AQ21" i="12"/>
  <c r="AQ35" i="12"/>
  <c r="AP24" i="8"/>
  <c r="AQ49" i="12"/>
  <c r="AQ61" i="12"/>
  <c r="O3" i="15" l="1"/>
  <c r="AP7" i="37"/>
  <c r="AP5" i="36"/>
  <c r="AP6" i="40" s="1"/>
  <c r="K23" i="44"/>
  <c r="AI41" i="39"/>
  <c r="AI68" i="39" s="1"/>
  <c r="AH41" i="39"/>
  <c r="AH68" i="39" s="1"/>
  <c r="AI16" i="39"/>
  <c r="AQ6" i="36"/>
  <c r="AR1" i="36"/>
  <c r="AP44" i="36"/>
  <c r="AP42" i="36" s="1"/>
  <c r="AP18" i="36"/>
  <c r="AI23" i="40"/>
  <c r="AI22" i="40" s="1"/>
  <c r="AJ70" i="12"/>
  <c r="AJ71" i="12" s="1"/>
  <c r="E99" i="54" s="1"/>
  <c r="AL56" i="12"/>
  <c r="AJ27" i="40"/>
  <c r="AM9" i="12"/>
  <c r="AM68" i="12" s="1"/>
  <c r="AN74" i="8"/>
  <c r="AN76" i="8"/>
  <c r="AN82" i="8" s="1"/>
  <c r="AN77" i="8"/>
  <c r="AN83" i="8" s="1"/>
  <c r="AP60" i="8"/>
  <c r="AP49" i="8"/>
  <c r="K53" i="54" s="1"/>
  <c r="AP63" i="8"/>
  <c r="AP30" i="8"/>
  <c r="AP29" i="8"/>
  <c r="AP7" i="8"/>
  <c r="K48" i="54" s="1"/>
  <c r="AP27" i="8"/>
  <c r="AP62" i="8"/>
  <c r="AQ18" i="12"/>
  <c r="AQ32" i="12"/>
  <c r="AO23" i="8"/>
  <c r="AO37" i="8" s="1"/>
  <c r="AO14" i="8"/>
  <c r="AK28" i="40"/>
  <c r="AK5" i="39"/>
  <c r="AK6" i="39" s="1"/>
  <c r="AK21" i="39" s="1"/>
  <c r="AK42" i="40"/>
  <c r="AK24" i="40"/>
  <c r="AK77" i="40"/>
  <c r="AK30" i="40"/>
  <c r="AK31" i="40" s="1"/>
  <c r="AO65" i="8"/>
  <c r="AO39" i="12"/>
  <c r="AO42" i="12"/>
  <c r="AO41" i="12"/>
  <c r="AO27" i="12"/>
  <c r="AO25" i="12"/>
  <c r="AO28" i="12"/>
  <c r="AP1" i="39"/>
  <c r="AP13" i="12"/>
  <c r="AP14" i="12" s="1"/>
  <c r="K46" i="54"/>
  <c r="AP1" i="40"/>
  <c r="AP1" i="53"/>
  <c r="AP17" i="8"/>
  <c r="AP7" i="36" s="1"/>
  <c r="AP6" i="37" s="1"/>
  <c r="AP16" i="8"/>
  <c r="AP13" i="8" s="1"/>
  <c r="AQ1" i="8"/>
  <c r="AN24" i="12"/>
  <c r="AN21" i="37" s="1"/>
  <c r="AO59" i="8"/>
  <c r="AJ17" i="39"/>
  <c r="AJ16" i="36" s="1"/>
  <c r="AJ23" i="39"/>
  <c r="AL55" i="12"/>
  <c r="AL67" i="12"/>
  <c r="AK52" i="12"/>
  <c r="AN22" i="8"/>
  <c r="AN36" i="8" s="1"/>
  <c r="AN20" i="8"/>
  <c r="AN34" i="8" s="1"/>
  <c r="AP15" i="8"/>
  <c r="AM10" i="39"/>
  <c r="AM76" i="40"/>
  <c r="AN11" i="40"/>
  <c r="AM6" i="12"/>
  <c r="AM41" i="8"/>
  <c r="AM33" i="8"/>
  <c r="AM40" i="8" s="1"/>
  <c r="AO7" i="40"/>
  <c r="AO19" i="40" s="1"/>
  <c r="AO5" i="40"/>
  <c r="AO9" i="39" s="1"/>
  <c r="AM43" i="8"/>
  <c r="AM8" i="12"/>
  <c r="O97" i="54"/>
  <c r="AR1" i="12"/>
  <c r="AN44" i="8"/>
  <c r="AO26" i="8"/>
  <c r="AN12" i="37"/>
  <c r="J48" i="54"/>
  <c r="AN8" i="40"/>
  <c r="AK64" i="12"/>
  <c r="AN38" i="12"/>
  <c r="AN74" i="40" s="1"/>
  <c r="AM80" i="8"/>
  <c r="AM73" i="8"/>
  <c r="AL79" i="8"/>
  <c r="AL16" i="40" s="1"/>
  <c r="AL67" i="8"/>
  <c r="AL65" i="12"/>
  <c r="AL46" i="12"/>
  <c r="AL5" i="12"/>
  <c r="AL58" i="12" s="1"/>
  <c r="AL53" i="12"/>
  <c r="AQ53" i="39"/>
  <c r="AP70" i="39"/>
  <c r="AP71" i="39" s="1"/>
  <c r="AP9" i="40"/>
  <c r="P1" i="15"/>
  <c r="O13" i="15"/>
  <c r="AH39" i="36"/>
  <c r="AH11" i="36" s="1"/>
  <c r="AH40" i="36"/>
  <c r="AH12" i="36" s="1"/>
  <c r="AH48" i="40" s="1"/>
  <c r="AG44" i="39"/>
  <c r="AG39" i="39" s="1"/>
  <c r="AG49" i="39"/>
  <c r="AG48" i="39" s="1"/>
  <c r="AG69" i="39"/>
  <c r="AG75" i="40" s="1"/>
  <c r="AL22" i="39"/>
  <c r="AM37" i="40"/>
  <c r="AS51" i="39"/>
  <c r="AS43" i="39"/>
  <c r="AJ7" i="39"/>
  <c r="AJ8" i="39" s="1"/>
  <c r="AJ41" i="39" s="1"/>
  <c r="AK18" i="40"/>
  <c r="AM64" i="37"/>
  <c r="AM61" i="37" s="1"/>
  <c r="AM60" i="37" s="1"/>
  <c r="AM20" i="37"/>
  <c r="AQ1" i="37"/>
  <c r="K85" i="54"/>
  <c r="AR62" i="12"/>
  <c r="AQ52" i="8"/>
  <c r="AO71" i="8"/>
  <c r="AR21" i="12"/>
  <c r="AR50" i="12"/>
  <c r="AR59" i="12"/>
  <c r="AR22" i="12"/>
  <c r="AQ11" i="8"/>
  <c r="AR19" i="12"/>
  <c r="AR47" i="12"/>
  <c r="AR33" i="12"/>
  <c r="AR49" i="12"/>
  <c r="AR35" i="12"/>
  <c r="AQ10" i="8"/>
  <c r="AQ50" i="8"/>
  <c r="AQ53" i="8"/>
  <c r="AR36" i="12"/>
  <c r="AO68" i="8"/>
  <c r="AR61" i="12"/>
  <c r="AQ8" i="8"/>
  <c r="AO70" i="8"/>
  <c r="AQ24" i="8"/>
  <c r="AQ5" i="36" l="1"/>
  <c r="AQ6" i="40" s="1"/>
  <c r="AQ7" i="37"/>
  <c r="P3" i="15"/>
  <c r="K24" i="44"/>
  <c r="AO8" i="40"/>
  <c r="AR6" i="36"/>
  <c r="AS1" i="36"/>
  <c r="AQ44" i="36"/>
  <c r="AQ42" i="36" s="1"/>
  <c r="AQ18" i="36"/>
  <c r="AJ23" i="40"/>
  <c r="AJ22" i="40" s="1"/>
  <c r="AN9" i="12"/>
  <c r="AN68" i="12" s="1"/>
  <c r="AL52" i="12"/>
  <c r="AM56" i="12"/>
  <c r="AO11" i="40"/>
  <c r="AO10" i="39" s="1"/>
  <c r="AO24" i="12"/>
  <c r="AO21" i="37" s="1"/>
  <c r="AK27" i="40"/>
  <c r="AQ62" i="8"/>
  <c r="AQ30" i="8"/>
  <c r="AQ63" i="8"/>
  <c r="AQ7" i="8"/>
  <c r="AQ27" i="8"/>
  <c r="AQ29" i="8"/>
  <c r="AQ49" i="8"/>
  <c r="L53" i="54" s="1"/>
  <c r="AQ60" i="8"/>
  <c r="AR18" i="12"/>
  <c r="AR32" i="12"/>
  <c r="AO74" i="8"/>
  <c r="AO77" i="8"/>
  <c r="AO83" i="8" s="1"/>
  <c r="AO76" i="8"/>
  <c r="AO82" i="8" s="1"/>
  <c r="AP42" i="12"/>
  <c r="AP25" i="12"/>
  <c r="AP27" i="12"/>
  <c r="AP39" i="12"/>
  <c r="AP28" i="12"/>
  <c r="AP41" i="12"/>
  <c r="AP23" i="8"/>
  <c r="AP37" i="8" s="1"/>
  <c r="AP14" i="8"/>
  <c r="AN10" i="39"/>
  <c r="AN76" i="40"/>
  <c r="AP7" i="40"/>
  <c r="AP8" i="40" s="1"/>
  <c r="AP5" i="40"/>
  <c r="AP9" i="39" s="1"/>
  <c r="AK17" i="39"/>
  <c r="AK16" i="36" s="1"/>
  <c r="AK23" i="39"/>
  <c r="AM79" i="8"/>
  <c r="AM16" i="40" s="1"/>
  <c r="AM67" i="8"/>
  <c r="AO44" i="8"/>
  <c r="AM67" i="12"/>
  <c r="AM55" i="12"/>
  <c r="AO22" i="8"/>
  <c r="AO36" i="8" s="1"/>
  <c r="AO20" i="8"/>
  <c r="AO34" i="8" s="1"/>
  <c r="AJ16" i="39"/>
  <c r="L46" i="54"/>
  <c r="AQ1" i="53"/>
  <c r="AQ1" i="39"/>
  <c r="AQ13" i="12"/>
  <c r="AQ14" i="12" s="1"/>
  <c r="AQ17" i="8"/>
  <c r="AQ7" i="36" s="1"/>
  <c r="AQ6" i="37" s="1"/>
  <c r="AQ1" i="40"/>
  <c r="AQ16" i="8"/>
  <c r="AQ13" i="8" s="1"/>
  <c r="AR1" i="8"/>
  <c r="AL30" i="40"/>
  <c r="AP59" i="8"/>
  <c r="AL64" i="12"/>
  <c r="AQ15" i="8"/>
  <c r="AJ26" i="36"/>
  <c r="AK19" i="36"/>
  <c r="AK10" i="36" s="1"/>
  <c r="AK46" i="40" s="1"/>
  <c r="AJ21" i="36"/>
  <c r="AK22" i="36" s="1"/>
  <c r="AO38" i="12"/>
  <c r="AO74" i="40" s="1"/>
  <c r="AL28" i="40"/>
  <c r="AL24" i="40"/>
  <c r="AL5" i="39"/>
  <c r="AL6" i="39" s="1"/>
  <c r="AL21" i="39" s="1"/>
  <c r="AL42" i="40"/>
  <c r="AL77" i="40"/>
  <c r="AK70" i="12"/>
  <c r="AK71" i="12" s="1"/>
  <c r="AN41" i="8"/>
  <c r="AN6" i="12"/>
  <c r="AN33" i="8"/>
  <c r="AN40" i="8" s="1"/>
  <c r="P97" i="54"/>
  <c r="AS1" i="12"/>
  <c r="AM5" i="12"/>
  <c r="AM58" i="12" s="1"/>
  <c r="AM46" i="12"/>
  <c r="AM65" i="12"/>
  <c r="AM53" i="12"/>
  <c r="AN43" i="8"/>
  <c r="AN8" i="12"/>
  <c r="AP65" i="8"/>
  <c r="AP26" i="8"/>
  <c r="AO12" i="37"/>
  <c r="AN80" i="8"/>
  <c r="AN73" i="8"/>
  <c r="AR53" i="39"/>
  <c r="AQ70" i="39"/>
  <c r="AQ71" i="39" s="1"/>
  <c r="AQ9" i="40"/>
  <c r="P13" i="15"/>
  <c r="Q1" i="15"/>
  <c r="AH47" i="40"/>
  <c r="AH45" i="40" s="1"/>
  <c r="AH9" i="36"/>
  <c r="AH69" i="39"/>
  <c r="AH75" i="40" s="1"/>
  <c r="AM22" i="39"/>
  <c r="AN37" i="40"/>
  <c r="AT43" i="39"/>
  <c r="AT51" i="39"/>
  <c r="AL18" i="40"/>
  <c r="AJ68" i="39"/>
  <c r="AJ69" i="39" s="1"/>
  <c r="AJ75" i="40" s="1"/>
  <c r="AI69" i="39"/>
  <c r="AI75" i="40" s="1"/>
  <c r="AK7" i="39"/>
  <c r="AK8" i="39" s="1"/>
  <c r="AK41" i="39" s="1"/>
  <c r="AM58" i="37"/>
  <c r="AM18" i="37"/>
  <c r="AN25" i="37" s="1"/>
  <c r="AN22" i="37" s="1"/>
  <c r="L85" i="54"/>
  <c r="AR1" i="37"/>
  <c r="AS62" i="12"/>
  <c r="AR10" i="8"/>
  <c r="AR50" i="8"/>
  <c r="AR8" i="8"/>
  <c r="AS47" i="12"/>
  <c r="AS36" i="12"/>
  <c r="AR53" i="8"/>
  <c r="AP71" i="8"/>
  <c r="AP68" i="8"/>
  <c r="AP70" i="8"/>
  <c r="AS50" i="12"/>
  <c r="AR24" i="8"/>
  <c r="AS22" i="12"/>
  <c r="AS21" i="12"/>
  <c r="AS33" i="12"/>
  <c r="AS61" i="12"/>
  <c r="AR11" i="8"/>
  <c r="AS19" i="12"/>
  <c r="AS59" i="12"/>
  <c r="AS35" i="12"/>
  <c r="AR52" i="8"/>
  <c r="AS49" i="12"/>
  <c r="AR5" i="36" l="1"/>
  <c r="AR6" i="40" s="1"/>
  <c r="AR7" i="37"/>
  <c r="Q3" i="15"/>
  <c r="K25" i="44"/>
  <c r="K26" i="44" s="1"/>
  <c r="AS6" i="36"/>
  <c r="AT1" i="36"/>
  <c r="AR44" i="36"/>
  <c r="AR42" i="36" s="1"/>
  <c r="AR18" i="36"/>
  <c r="AM64" i="12"/>
  <c r="AN56" i="12"/>
  <c r="AL70" i="12"/>
  <c r="AL71" i="12" s="1"/>
  <c r="AL23" i="40" s="1"/>
  <c r="AL22" i="40" s="1"/>
  <c r="AM52" i="12"/>
  <c r="AK16" i="39"/>
  <c r="AO76" i="40"/>
  <c r="AO9" i="12"/>
  <c r="AO68" i="12" s="1"/>
  <c r="AP38" i="12"/>
  <c r="AP74" i="40" s="1"/>
  <c r="AQ59" i="8"/>
  <c r="AR62" i="8"/>
  <c r="AR63" i="8"/>
  <c r="AR29" i="8"/>
  <c r="AR7" i="8"/>
  <c r="M48" i="54" s="1"/>
  <c r="AR27" i="8"/>
  <c r="AR60" i="8"/>
  <c r="AR49" i="8"/>
  <c r="M53" i="54" s="1"/>
  <c r="AR30" i="8"/>
  <c r="AS32" i="12"/>
  <c r="AS18" i="12"/>
  <c r="AP76" i="8"/>
  <c r="AP82" i="8" s="1"/>
  <c r="AP74" i="8"/>
  <c r="AP77" i="8"/>
  <c r="AP83" i="8" s="1"/>
  <c r="AQ42" i="12"/>
  <c r="AQ39" i="12"/>
  <c r="AQ25" i="12"/>
  <c r="AQ27" i="12"/>
  <c r="AQ41" i="12"/>
  <c r="AQ28" i="12"/>
  <c r="AQ23" i="8"/>
  <c r="AQ37" i="8" s="1"/>
  <c r="AQ14" i="8"/>
  <c r="AL27" i="40"/>
  <c r="M46" i="54"/>
  <c r="AR1" i="53"/>
  <c r="AR1" i="39"/>
  <c r="AR13" i="12"/>
  <c r="AR14" i="12" s="1"/>
  <c r="AR17" i="8"/>
  <c r="AR7" i="36" s="1"/>
  <c r="AR6" i="37" s="1"/>
  <c r="AR1" i="40"/>
  <c r="AR16" i="8"/>
  <c r="AR15" i="8" s="1"/>
  <c r="AS1" i="8"/>
  <c r="AP20" i="8"/>
  <c r="AP34" i="8" s="1"/>
  <c r="AP22" i="8"/>
  <c r="AP36" i="8" s="1"/>
  <c r="AP24" i="12"/>
  <c r="AP21" i="37" s="1"/>
  <c r="AL31" i="40"/>
  <c r="AM30" i="40"/>
  <c r="AM28" i="40"/>
  <c r="AM24" i="40"/>
  <c r="AM5" i="39"/>
  <c r="AM6" i="39" s="1"/>
  <c r="AM21" i="39" s="1"/>
  <c r="AM42" i="40"/>
  <c r="AO8" i="12"/>
  <c r="AO43" i="8"/>
  <c r="AQ26" i="8"/>
  <c r="AP12" i="37"/>
  <c r="L48" i="54"/>
  <c r="AN79" i="8"/>
  <c r="AN16" i="40" s="1"/>
  <c r="AN67" i="8"/>
  <c r="AN46" i="12"/>
  <c r="AN53" i="12"/>
  <c r="AN5" i="12"/>
  <c r="AN58" i="12" s="1"/>
  <c r="AN65" i="12"/>
  <c r="AO33" i="8"/>
  <c r="AO40" i="8" s="1"/>
  <c r="AO6" i="12"/>
  <c r="AO41" i="8"/>
  <c r="AP44" i="8"/>
  <c r="AP19" i="40"/>
  <c r="AL17" i="39"/>
  <c r="AL16" i="36" s="1"/>
  <c r="AL23" i="39"/>
  <c r="Q97" i="54"/>
  <c r="AT1" i="12"/>
  <c r="AQ65" i="8"/>
  <c r="AN67" i="12"/>
  <c r="AN55" i="12"/>
  <c r="AP11" i="40"/>
  <c r="AQ7" i="40"/>
  <c r="AQ8" i="40" s="1"/>
  <c r="AQ5" i="40"/>
  <c r="AQ9" i="39" s="1"/>
  <c r="F99" i="54"/>
  <c r="AK23" i="40"/>
  <c r="AK22" i="40" s="1"/>
  <c r="AM77" i="40"/>
  <c r="AK26" i="36"/>
  <c r="AL19" i="36"/>
  <c r="AL10" i="36" s="1"/>
  <c r="AL46" i="40" s="1"/>
  <c r="AK21" i="36"/>
  <c r="AL22" i="36" s="1"/>
  <c r="AO80" i="8"/>
  <c r="AO73" i="8"/>
  <c r="AS53" i="39"/>
  <c r="AR70" i="39"/>
  <c r="AR71" i="39" s="1"/>
  <c r="R1" i="15"/>
  <c r="Q13" i="15"/>
  <c r="AR9" i="40"/>
  <c r="AN22" i="39"/>
  <c r="AO37" i="40"/>
  <c r="AU51" i="39"/>
  <c r="AU43" i="39"/>
  <c r="AL7" i="39"/>
  <c r="AL8" i="39" s="1"/>
  <c r="AL41" i="39" s="1"/>
  <c r="AK68" i="39"/>
  <c r="AK69" i="39" s="1"/>
  <c r="AK75" i="40" s="1"/>
  <c r="AM18" i="40"/>
  <c r="AN64" i="37"/>
  <c r="AN61" i="37" s="1"/>
  <c r="AN60" i="37" s="1"/>
  <c r="AN58" i="37"/>
  <c r="AN20" i="37"/>
  <c r="M85" i="54"/>
  <c r="AS1" i="37"/>
  <c r="AT47" i="12"/>
  <c r="AT21" i="12"/>
  <c r="AT62" i="12"/>
  <c r="AS8" i="8"/>
  <c r="AS24" i="8"/>
  <c r="AQ71" i="8"/>
  <c r="AS11" i="8"/>
  <c r="AT59" i="12"/>
  <c r="AT19" i="12"/>
  <c r="AS10" i="8"/>
  <c r="AS52" i="8"/>
  <c r="AS53" i="8"/>
  <c r="AT35" i="12"/>
  <c r="AS50" i="8"/>
  <c r="AQ68" i="8"/>
  <c r="AQ70" i="8"/>
  <c r="AT33" i="12"/>
  <c r="AS7" i="37" l="1"/>
  <c r="AS5" i="36"/>
  <c r="AS6" i="40" s="1"/>
  <c r="R3" i="15"/>
  <c r="AT6" i="36"/>
  <c r="AU1" i="36"/>
  <c r="AS18" i="36"/>
  <c r="AS44" i="36"/>
  <c r="AS42" i="36" s="1"/>
  <c r="G99" i="54"/>
  <c r="AM70" i="12"/>
  <c r="AM71" i="12" s="1"/>
  <c r="AM23" i="40" s="1"/>
  <c r="AM22" i="40" s="1"/>
  <c r="AQ11" i="40"/>
  <c r="AQ76" i="40" s="1"/>
  <c r="AN64" i="12"/>
  <c r="AO56" i="12"/>
  <c r="AP9" i="12"/>
  <c r="AP68" i="12" s="1"/>
  <c r="AN52" i="12"/>
  <c r="AL16" i="39"/>
  <c r="AQ38" i="12"/>
  <c r="AQ74" i="40" s="1"/>
  <c r="AQ77" i="8"/>
  <c r="AQ83" i="8" s="1"/>
  <c r="AQ74" i="8"/>
  <c r="AQ76" i="8"/>
  <c r="AQ82" i="8" s="1"/>
  <c r="AS63" i="8"/>
  <c r="AS7" i="8"/>
  <c r="AS27" i="8"/>
  <c r="AS30" i="8"/>
  <c r="AS62" i="8"/>
  <c r="AS49" i="8"/>
  <c r="N53" i="54" s="1"/>
  <c r="AS60" i="8"/>
  <c r="AS29" i="8"/>
  <c r="AR39" i="12"/>
  <c r="AR25" i="12"/>
  <c r="AR42" i="12"/>
  <c r="AR41" i="12"/>
  <c r="AR27" i="12"/>
  <c r="AR28" i="12"/>
  <c r="AR8" i="40"/>
  <c r="R97" i="54"/>
  <c r="AU1" i="12"/>
  <c r="AQ44" i="8"/>
  <c r="AR59" i="8"/>
  <c r="AQ19" i="40"/>
  <c r="AR5" i="40"/>
  <c r="AR9" i="39" s="1"/>
  <c r="AR7" i="40"/>
  <c r="AO67" i="12"/>
  <c r="AO55" i="12"/>
  <c r="AR13" i="8"/>
  <c r="AQ24" i="12"/>
  <c r="AQ21" i="37" s="1"/>
  <c r="AN24" i="40"/>
  <c r="AN28" i="40"/>
  <c r="AN5" i="39"/>
  <c r="AN6" i="39" s="1"/>
  <c r="AN21" i="39" s="1"/>
  <c r="AN42" i="40"/>
  <c r="AP10" i="39"/>
  <c r="AP76" i="40"/>
  <c r="AM17" i="39"/>
  <c r="AM16" i="36" s="1"/>
  <c r="AM23" i="39"/>
  <c r="AR26" i="8"/>
  <c r="AQ12" i="37"/>
  <c r="AR65" i="8"/>
  <c r="AN30" i="40"/>
  <c r="AM31" i="40"/>
  <c r="AP8" i="12"/>
  <c r="AP43" i="8"/>
  <c r="AQ22" i="8"/>
  <c r="AQ36" i="8" s="1"/>
  <c r="AQ20" i="8"/>
  <c r="AQ34" i="8" s="1"/>
  <c r="AN77" i="40"/>
  <c r="AO65" i="12"/>
  <c r="AO53" i="12"/>
  <c r="AO46" i="12"/>
  <c r="AO5" i="12"/>
  <c r="AO58" i="12" s="1"/>
  <c r="AM27" i="40"/>
  <c r="AP33" i="8"/>
  <c r="AP40" i="8" s="1"/>
  <c r="AP6" i="12"/>
  <c r="AP41" i="8"/>
  <c r="AP80" i="8"/>
  <c r="AP73" i="8"/>
  <c r="AO67" i="8"/>
  <c r="AO79" i="8"/>
  <c r="AO16" i="40" s="1"/>
  <c r="AL26" i="36"/>
  <c r="AM19" i="36"/>
  <c r="AM10" i="36" s="1"/>
  <c r="AM46" i="40" s="1"/>
  <c r="AL21" i="36"/>
  <c r="AM22" i="36" s="1"/>
  <c r="N46" i="54"/>
  <c r="AS1" i="53"/>
  <c r="AS1" i="39"/>
  <c r="AS13" i="12"/>
  <c r="AS14" i="12" s="1"/>
  <c r="AS1" i="40"/>
  <c r="AS16" i="8"/>
  <c r="AS15" i="8" s="1"/>
  <c r="AT1" i="8"/>
  <c r="AS17" i="8"/>
  <c r="AS7" i="36" s="1"/>
  <c r="AS6" i="37" s="1"/>
  <c r="AT53" i="39"/>
  <c r="AS70" i="39"/>
  <c r="AS71" i="39" s="1"/>
  <c r="AS9" i="40"/>
  <c r="S1" i="15"/>
  <c r="R13" i="15"/>
  <c r="AO22" i="39"/>
  <c r="AP37" i="40"/>
  <c r="AV43" i="39"/>
  <c r="AV51" i="39"/>
  <c r="AL68" i="39"/>
  <c r="AL69" i="39" s="1"/>
  <c r="AL75" i="40" s="1"/>
  <c r="AM7" i="39"/>
  <c r="AM8" i="39" s="1"/>
  <c r="AM41" i="39" s="1"/>
  <c r="AN18" i="40"/>
  <c r="AO64" i="37"/>
  <c r="AO61" i="37" s="1"/>
  <c r="AO60" i="37" s="1"/>
  <c r="AO58" i="37"/>
  <c r="AN18" i="37"/>
  <c r="AO25" i="37" s="1"/>
  <c r="AO22" i="37" s="1"/>
  <c r="N85" i="54"/>
  <c r="AT1" i="37"/>
  <c r="AU36" i="12"/>
  <c r="AT50" i="12"/>
  <c r="AU19" i="12"/>
  <c r="AT22" i="12"/>
  <c r="AT61" i="12"/>
  <c r="AT49" i="12"/>
  <c r="AT36" i="12"/>
  <c r="AU59" i="12"/>
  <c r="S3" i="15" l="1"/>
  <c r="AT7" i="37"/>
  <c r="AT5" i="36"/>
  <c r="AT6" i="40" s="1"/>
  <c r="K27" i="44"/>
  <c r="K28" i="44" s="1"/>
  <c r="AR19" i="40"/>
  <c r="AT18" i="12"/>
  <c r="AT32" i="12"/>
  <c r="AU22" i="12"/>
  <c r="AU62" i="12"/>
  <c r="AU21" i="12"/>
  <c r="AT52" i="8"/>
  <c r="AT10" i="8"/>
  <c r="AT11" i="8"/>
  <c r="AR68" i="8"/>
  <c r="AR70" i="8"/>
  <c r="AT8" i="8"/>
  <c r="AU49" i="12"/>
  <c r="AU33" i="12"/>
  <c r="AU47" i="12"/>
  <c r="AR71" i="8"/>
  <c r="AU35" i="12"/>
  <c r="AT24" i="8"/>
  <c r="AU61" i="12"/>
  <c r="AT53" i="8"/>
  <c r="AU50" i="12"/>
  <c r="AT50" i="8"/>
  <c r="AU5" i="36" l="1"/>
  <c r="AU6" i="40" s="1"/>
  <c r="AU7" i="37"/>
  <c r="AU6" i="36"/>
  <c r="AV1" i="36"/>
  <c r="AT44" i="36"/>
  <c r="AT42" i="36" s="1"/>
  <c r="AT18" i="36"/>
  <c r="AP56" i="12"/>
  <c r="AQ10" i="39"/>
  <c r="AQ9" i="12"/>
  <c r="AQ68" i="12" s="1"/>
  <c r="H99" i="54"/>
  <c r="AN70" i="12"/>
  <c r="AN71" i="12" s="1"/>
  <c r="AN23" i="40" s="1"/>
  <c r="AN22" i="40" s="1"/>
  <c r="AM16" i="39"/>
  <c r="AR38" i="12"/>
  <c r="AR74" i="40" s="1"/>
  <c r="AO64" i="12"/>
  <c r="AT7" i="8"/>
  <c r="AT27" i="8"/>
  <c r="AT62" i="8"/>
  <c r="AT30" i="8"/>
  <c r="AT29" i="8"/>
  <c r="AT49" i="8"/>
  <c r="O53" i="54" s="1"/>
  <c r="AT60" i="8"/>
  <c r="AT63" i="8"/>
  <c r="AR74" i="8"/>
  <c r="AR76" i="8"/>
  <c r="AR82" i="8" s="1"/>
  <c r="AR77" i="8"/>
  <c r="AR83" i="8" s="1"/>
  <c r="AU32" i="12"/>
  <c r="AU18" i="12"/>
  <c r="AP67" i="12"/>
  <c r="AP55" i="12"/>
  <c r="AT1" i="40"/>
  <c r="AT1" i="53"/>
  <c r="AT1" i="39"/>
  <c r="AT13" i="12"/>
  <c r="AT14" i="12" s="1"/>
  <c r="O46" i="54"/>
  <c r="AU1" i="8"/>
  <c r="AT16" i="8"/>
  <c r="AT15" i="8" s="1"/>
  <c r="AT17" i="8"/>
  <c r="AT7" i="36" s="1"/>
  <c r="AT6" i="37" s="1"/>
  <c r="AP79" i="8"/>
  <c r="AP16" i="40" s="1"/>
  <c r="AP67" i="8"/>
  <c r="AO52" i="12"/>
  <c r="AR11" i="40"/>
  <c r="AO42" i="40"/>
  <c r="AO24" i="40"/>
  <c r="AO28" i="40"/>
  <c r="AO5" i="39"/>
  <c r="AO6" i="39" s="1"/>
  <c r="AO21" i="39" s="1"/>
  <c r="AM26" i="36"/>
  <c r="AN19" i="36"/>
  <c r="AN10" i="36" s="1"/>
  <c r="AN46" i="40" s="1"/>
  <c r="AM21" i="36"/>
  <c r="AN22" i="36" s="1"/>
  <c r="AN17" i="39"/>
  <c r="AN16" i="36" s="1"/>
  <c r="AN23" i="39"/>
  <c r="AS26" i="8"/>
  <c r="AR12" i="37"/>
  <c r="AS5" i="40"/>
  <c r="AS9" i="39" s="1"/>
  <c r="AS7" i="40"/>
  <c r="AS8" i="40" s="1"/>
  <c r="AO30" i="40"/>
  <c r="AN31" i="40"/>
  <c r="AN27" i="40"/>
  <c r="AS13" i="8"/>
  <c r="AR23" i="8"/>
  <c r="AR37" i="8" s="1"/>
  <c r="AR14" i="8"/>
  <c r="AP46" i="12"/>
  <c r="AP65" i="12"/>
  <c r="AP53" i="12"/>
  <c r="AP5" i="12"/>
  <c r="AP58" i="12" s="1"/>
  <c r="AQ6" i="12"/>
  <c r="AQ33" i="8"/>
  <c r="AQ40" i="8" s="1"/>
  <c r="AQ41" i="8"/>
  <c r="AS65" i="8"/>
  <c r="AS41" i="12"/>
  <c r="AS39" i="12"/>
  <c r="AS42" i="12"/>
  <c r="AS28" i="12"/>
  <c r="AS25" i="12"/>
  <c r="AS27" i="12"/>
  <c r="AQ8" i="12"/>
  <c r="AQ43" i="8"/>
  <c r="S97" i="54"/>
  <c r="AV1" i="12"/>
  <c r="AR24" i="12"/>
  <c r="AR21" i="37" s="1"/>
  <c r="AS59" i="8"/>
  <c r="AQ80" i="8"/>
  <c r="AQ73" i="8"/>
  <c r="AU53" i="39"/>
  <c r="AT70" i="39"/>
  <c r="AT71" i="39" s="1"/>
  <c r="AT9" i="40"/>
  <c r="T1" i="15"/>
  <c r="S13" i="15"/>
  <c r="AP22" i="39"/>
  <c r="AQ37" i="40"/>
  <c r="AW51" i="39"/>
  <c r="AW43" i="39"/>
  <c r="AN7" i="39"/>
  <c r="AN8" i="39" s="1"/>
  <c r="AN41" i="39" s="1"/>
  <c r="AM68" i="39"/>
  <c r="AM69" i="39" s="1"/>
  <c r="AM75" i="40" s="1"/>
  <c r="AO18" i="40"/>
  <c r="AP64" i="37"/>
  <c r="AP61" i="37" s="1"/>
  <c r="AP60" i="37" s="1"/>
  <c r="AO20" i="37"/>
  <c r="AO77" i="40" s="1"/>
  <c r="O85" i="54"/>
  <c r="AU1" i="37"/>
  <c r="AV35" i="12"/>
  <c r="AU52" i="8"/>
  <c r="AU53" i="8"/>
  <c r="AS68" i="8"/>
  <c r="AV36" i="12"/>
  <c r="AV19" i="12"/>
  <c r="AU11" i="8"/>
  <c r="AV50" i="12"/>
  <c r="AU8" i="8"/>
  <c r="AV49" i="12"/>
  <c r="AV33" i="12"/>
  <c r="AS71" i="8"/>
  <c r="AV21" i="12"/>
  <c r="AS70" i="8"/>
  <c r="AV61" i="12"/>
  <c r="AV47" i="12"/>
  <c r="AU50" i="8"/>
  <c r="AV22" i="12"/>
  <c r="AV62" i="12"/>
  <c r="AU24" i="8"/>
  <c r="AV59" i="12"/>
  <c r="AU10" i="8"/>
  <c r="T3" i="15" l="1"/>
  <c r="K29" i="44"/>
  <c r="AP58" i="37"/>
  <c r="AW1" i="36"/>
  <c r="AV6" i="36"/>
  <c r="AU44" i="36"/>
  <c r="AU42" i="36" s="1"/>
  <c r="AU18" i="36"/>
  <c r="AQ56" i="12"/>
  <c r="I99" i="54"/>
  <c r="AS11" i="40"/>
  <c r="AS10" i="39" s="1"/>
  <c r="AO70" i="12"/>
  <c r="AO71" i="12" s="1"/>
  <c r="J99" i="54" s="1"/>
  <c r="AS24" i="12"/>
  <c r="AS21" i="37" s="1"/>
  <c r="AU63" i="8"/>
  <c r="AU60" i="8"/>
  <c r="AU49" i="8"/>
  <c r="P53" i="54" s="1"/>
  <c r="AU29" i="8"/>
  <c r="AU30" i="8"/>
  <c r="AU62" i="8"/>
  <c r="AU7" i="8"/>
  <c r="AU27" i="8"/>
  <c r="AV18" i="12"/>
  <c r="AV32" i="12"/>
  <c r="AS74" i="8"/>
  <c r="AS77" i="8"/>
  <c r="AS83" i="8" s="1"/>
  <c r="AS76" i="8"/>
  <c r="AS82" i="8" s="1"/>
  <c r="AU14" i="12"/>
  <c r="AT28" i="12"/>
  <c r="AT42" i="12"/>
  <c r="AT25" i="12"/>
  <c r="AT39" i="12"/>
  <c r="AT27" i="12"/>
  <c r="AT41" i="12"/>
  <c r="AR10" i="39"/>
  <c r="AR76" i="40"/>
  <c r="AR20" i="8"/>
  <c r="AR34" i="8" s="1"/>
  <c r="AR22" i="8"/>
  <c r="AR36" i="8" s="1"/>
  <c r="AN21" i="36"/>
  <c r="AO22" i="36" s="1"/>
  <c r="AO19" i="36"/>
  <c r="AO10" i="36" s="1"/>
  <c r="AO46" i="40" s="1"/>
  <c r="AN26" i="36"/>
  <c r="AU1" i="53"/>
  <c r="P46" i="54"/>
  <c r="AU1" i="40"/>
  <c r="AV1" i="8"/>
  <c r="AU16" i="8"/>
  <c r="AU15" i="8" s="1"/>
  <c r="AU1" i="39"/>
  <c r="AU13" i="12"/>
  <c r="AU17" i="8"/>
  <c r="AU7" i="36" s="1"/>
  <c r="AU6" i="37" s="1"/>
  <c r="AS19" i="40"/>
  <c r="T97" i="54"/>
  <c r="AW1" i="12"/>
  <c r="AS38" i="12"/>
  <c r="AS74" i="40" s="1"/>
  <c r="AP52" i="12"/>
  <c r="AP30" i="40"/>
  <c r="AO31" i="40"/>
  <c r="AQ65" i="12"/>
  <c r="AQ46" i="12"/>
  <c r="AQ5" i="12"/>
  <c r="AQ58" i="12" s="1"/>
  <c r="AQ53" i="12"/>
  <c r="AP64" i="12"/>
  <c r="AO23" i="39"/>
  <c r="AO17" i="39"/>
  <c r="AO16" i="36" s="1"/>
  <c r="AT7" i="40"/>
  <c r="AT8" i="40" s="1"/>
  <c r="AT5" i="40"/>
  <c r="AT9" i="39" s="1"/>
  <c r="AR44" i="8"/>
  <c r="AR9" i="12"/>
  <c r="AT59" i="8"/>
  <c r="AT13" i="8"/>
  <c r="AS23" i="8"/>
  <c r="AS37" i="8" s="1"/>
  <c r="AS14" i="8"/>
  <c r="AQ79" i="8"/>
  <c r="AQ16" i="40" s="1"/>
  <c r="AQ67" i="8"/>
  <c r="AQ67" i="12"/>
  <c r="AQ55" i="12"/>
  <c r="AO27" i="40"/>
  <c r="AP28" i="40"/>
  <c r="AP24" i="40"/>
  <c r="AP5" i="39"/>
  <c r="AP6" i="39" s="1"/>
  <c r="AP21" i="39" s="1"/>
  <c r="AP42" i="40"/>
  <c r="AT65" i="8"/>
  <c r="AN16" i="39"/>
  <c r="AR80" i="8"/>
  <c r="AR73" i="8"/>
  <c r="AS12" i="37"/>
  <c r="AT26" i="8"/>
  <c r="AV53" i="39"/>
  <c r="AU70" i="39"/>
  <c r="AU71" i="39" s="1"/>
  <c r="U1" i="15"/>
  <c r="T13" i="15"/>
  <c r="AU9" i="40"/>
  <c r="AQ22" i="39"/>
  <c r="AR37" i="40"/>
  <c r="AX43" i="39"/>
  <c r="AX51" i="39"/>
  <c r="AO7" i="39"/>
  <c r="AO8" i="39" s="1"/>
  <c r="AO41" i="39" s="1"/>
  <c r="AP18" i="40"/>
  <c r="AN68" i="39"/>
  <c r="AN69" i="39" s="1"/>
  <c r="AN75" i="40" s="1"/>
  <c r="AQ64" i="37"/>
  <c r="AQ61" i="37" s="1"/>
  <c r="AQ60" i="37" s="1"/>
  <c r="AO18" i="37"/>
  <c r="AP25" i="37" s="1"/>
  <c r="AP22" i="37" s="1"/>
  <c r="P85" i="54"/>
  <c r="AV1" i="37"/>
  <c r="AW50" i="12"/>
  <c r="AW33" i="12"/>
  <c r="AV24" i="8"/>
  <c r="AV8" i="8"/>
  <c r="AV50" i="8"/>
  <c r="AW21" i="12"/>
  <c r="AW49" i="12"/>
  <c r="AT71" i="8"/>
  <c r="AV52" i="8"/>
  <c r="AW59" i="12"/>
  <c r="AW47" i="12"/>
  <c r="AW36" i="12"/>
  <c r="AV10" i="8"/>
  <c r="AV11" i="8"/>
  <c r="AW22" i="12"/>
  <c r="AW61" i="12"/>
  <c r="AW35" i="12"/>
  <c r="AT70" i="8"/>
  <c r="AT68" i="8"/>
  <c r="AW62" i="12"/>
  <c r="AV53" i="8"/>
  <c r="AW19" i="12"/>
  <c r="AV7" i="37" l="1"/>
  <c r="AV5" i="36"/>
  <c r="AV6" i="40" s="1"/>
  <c r="U3" i="15"/>
  <c r="K30" i="44"/>
  <c r="AT19" i="40"/>
  <c r="AV44" i="36"/>
  <c r="AV42" i="36" s="1"/>
  <c r="AV18" i="36"/>
  <c r="AX1" i="36"/>
  <c r="AW6" i="36"/>
  <c r="AT11" i="40"/>
  <c r="AT10" i="39" s="1"/>
  <c r="AO23" i="40"/>
  <c r="AO22" i="40" s="1"/>
  <c r="AS76" i="40"/>
  <c r="AP70" i="12"/>
  <c r="AP71" i="12" s="1"/>
  <c r="K99" i="54" s="1"/>
  <c r="AP27" i="40"/>
  <c r="AO16" i="39"/>
  <c r="AT76" i="8"/>
  <c r="AT82" i="8" s="1"/>
  <c r="AT77" i="8"/>
  <c r="AT83" i="8" s="1"/>
  <c r="AT74" i="8"/>
  <c r="AW32" i="12"/>
  <c r="AW18" i="12"/>
  <c r="AV29" i="8"/>
  <c r="AV62" i="8"/>
  <c r="AV60" i="8"/>
  <c r="AV49" i="8"/>
  <c r="Q53" i="54" s="1"/>
  <c r="AV63" i="8"/>
  <c r="AV30" i="8"/>
  <c r="AV27" i="8"/>
  <c r="AV7" i="8"/>
  <c r="AQ5" i="39"/>
  <c r="AQ6" i="39" s="1"/>
  <c r="AQ21" i="39" s="1"/>
  <c r="AQ24" i="40"/>
  <c r="AQ42" i="40"/>
  <c r="AQ28" i="40"/>
  <c r="AU25" i="12"/>
  <c r="AU42" i="12"/>
  <c r="AU28" i="12"/>
  <c r="AU41" i="12"/>
  <c r="AU39" i="12"/>
  <c r="AU27" i="12"/>
  <c r="AQ30" i="40"/>
  <c r="AP31" i="40"/>
  <c r="AQ52" i="12"/>
  <c r="AS22" i="8"/>
  <c r="AS36" i="8" s="1"/>
  <c r="AS20" i="8"/>
  <c r="AS34" i="8" s="1"/>
  <c r="AR79" i="8"/>
  <c r="AR67" i="8"/>
  <c r="AS9" i="12"/>
  <c r="AS44" i="8"/>
  <c r="AR8" i="12"/>
  <c r="AR43" i="8"/>
  <c r="AU13" i="8"/>
  <c r="AT23" i="8"/>
  <c r="AT37" i="8" s="1"/>
  <c r="AT14" i="8"/>
  <c r="AU65" i="8"/>
  <c r="AR56" i="12"/>
  <c r="AR68" i="12"/>
  <c r="AO26" i="36"/>
  <c r="AP19" i="36"/>
  <c r="AP10" i="36" s="1"/>
  <c r="AP46" i="40" s="1"/>
  <c r="AO21" i="36"/>
  <c r="AP22" i="36" s="1"/>
  <c r="U97" i="54"/>
  <c r="AX1" i="12"/>
  <c r="Q46" i="54"/>
  <c r="AV1" i="40"/>
  <c r="AV1" i="53"/>
  <c r="AW1" i="8"/>
  <c r="AV1" i="39"/>
  <c r="AV13" i="12"/>
  <c r="AV14" i="12" s="1"/>
  <c r="AV17" i="8"/>
  <c r="AV7" i="36" s="1"/>
  <c r="AV6" i="37" s="1"/>
  <c r="AV16" i="8"/>
  <c r="AV15" i="8" s="1"/>
  <c r="AR33" i="8"/>
  <c r="AR40" i="8" s="1"/>
  <c r="AR6" i="12"/>
  <c r="AR41" i="8"/>
  <c r="AT38" i="12"/>
  <c r="AT74" i="40" s="1"/>
  <c r="AU59" i="8"/>
  <c r="P48" i="54"/>
  <c r="AU26" i="8"/>
  <c r="AT12" i="37"/>
  <c r="AP23" i="39"/>
  <c r="AP17" i="39"/>
  <c r="AP16" i="36" s="1"/>
  <c r="AQ64" i="12"/>
  <c r="AU7" i="40"/>
  <c r="AU8" i="40" s="1"/>
  <c r="AU5" i="40"/>
  <c r="AU9" i="39" s="1"/>
  <c r="AT24" i="12"/>
  <c r="AT21" i="37" s="1"/>
  <c r="AS80" i="8"/>
  <c r="AS73" i="8"/>
  <c r="AW53" i="39"/>
  <c r="AV70" i="39"/>
  <c r="AV71" i="39" s="1"/>
  <c r="AV9" i="40"/>
  <c r="V1" i="15"/>
  <c r="U13" i="15"/>
  <c r="AR22" i="39"/>
  <c r="AS37" i="40"/>
  <c r="AY51" i="39"/>
  <c r="AY43" i="39"/>
  <c r="AP7" i="39"/>
  <c r="AP8" i="39" s="1"/>
  <c r="AP41" i="39" s="1"/>
  <c r="AQ18" i="40"/>
  <c r="AO68" i="39"/>
  <c r="AO69" i="39" s="1"/>
  <c r="AO75" i="40" s="1"/>
  <c r="AQ58" i="37"/>
  <c r="AP20" i="37"/>
  <c r="AP77" i="40" s="1"/>
  <c r="Q85" i="54"/>
  <c r="AW1" i="37"/>
  <c r="AW11" i="8"/>
  <c r="AX33" i="12"/>
  <c r="AX36" i="12"/>
  <c r="AX19" i="12"/>
  <c r="AU68" i="8"/>
  <c r="AX62" i="12"/>
  <c r="AW52" i="8"/>
  <c r="AX59" i="12"/>
  <c r="AX50" i="12"/>
  <c r="AU70" i="8"/>
  <c r="AX35" i="12"/>
  <c r="AW24" i="8"/>
  <c r="AW8" i="8"/>
  <c r="AU71" i="8"/>
  <c r="AX49" i="12"/>
  <c r="AX22" i="12"/>
  <c r="AX21" i="12"/>
  <c r="AX47" i="12"/>
  <c r="AW53" i="8"/>
  <c r="AX61" i="12"/>
  <c r="AW50" i="8"/>
  <c r="AW10" i="8"/>
  <c r="AW5" i="36" l="1"/>
  <c r="AW6" i="40" s="1"/>
  <c r="AW7" i="37"/>
  <c r="V3" i="15"/>
  <c r="K31" i="44"/>
  <c r="AW44" i="36"/>
  <c r="AW42" i="36" s="1"/>
  <c r="AW18" i="36"/>
  <c r="AX6" i="36"/>
  <c r="AY1" i="36"/>
  <c r="AQ70" i="12"/>
  <c r="AQ71" i="12" s="1"/>
  <c r="L99" i="54" s="1"/>
  <c r="AP23" i="40"/>
  <c r="AP22" i="40" s="1"/>
  <c r="AT76" i="40"/>
  <c r="AU24" i="12"/>
  <c r="AU21" i="37" s="1"/>
  <c r="AW29" i="8"/>
  <c r="AW7" i="8"/>
  <c r="AW27" i="8"/>
  <c r="AW63" i="8"/>
  <c r="AW30" i="8"/>
  <c r="AW62" i="8"/>
  <c r="AW49" i="8"/>
  <c r="R53" i="54" s="1"/>
  <c r="AW60" i="8"/>
  <c r="AU76" i="8"/>
  <c r="AU82" i="8" s="1"/>
  <c r="AU74" i="8"/>
  <c r="AU77" i="8"/>
  <c r="AU83" i="8" s="1"/>
  <c r="AX32" i="12"/>
  <c r="AX18" i="12"/>
  <c r="AV28" i="12"/>
  <c r="AV25" i="12"/>
  <c r="AV42" i="12"/>
  <c r="AV39" i="12"/>
  <c r="AV41" i="12"/>
  <c r="AV27" i="12"/>
  <c r="AT22" i="8"/>
  <c r="AT36" i="8" s="1"/>
  <c r="AT20" i="8"/>
  <c r="AT34" i="8" s="1"/>
  <c r="AS56" i="12"/>
  <c r="AS68" i="12"/>
  <c r="AP21" i="36"/>
  <c r="AQ22" i="36" s="1"/>
  <c r="AP26" i="36"/>
  <c r="AQ19" i="36"/>
  <c r="AQ10" i="36" s="1"/>
  <c r="AQ46" i="40" s="1"/>
  <c r="AU19" i="40"/>
  <c r="AQ31" i="40"/>
  <c r="AQ17" i="39"/>
  <c r="AQ16" i="36" s="1"/>
  <c r="AQ23" i="39"/>
  <c r="AS79" i="8"/>
  <c r="AS67" i="8"/>
  <c r="AR65" i="12"/>
  <c r="AR53" i="12"/>
  <c r="AR46" i="12"/>
  <c r="AR5" i="12"/>
  <c r="AR58" i="12" s="1"/>
  <c r="AV7" i="40"/>
  <c r="AV8" i="40" s="1"/>
  <c r="AV5" i="40"/>
  <c r="AV9" i="39" s="1"/>
  <c r="AP16" i="39"/>
  <c r="R46" i="54"/>
  <c r="AW1" i="40"/>
  <c r="AW1" i="53"/>
  <c r="AW1" i="39"/>
  <c r="AW13" i="12"/>
  <c r="AW14" i="12" s="1"/>
  <c r="AW17" i="8"/>
  <c r="AW7" i="36" s="1"/>
  <c r="AW6" i="37" s="1"/>
  <c r="AX1" i="8"/>
  <c r="AW16" i="8"/>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AV13" i="8"/>
  <c r="AU23" i="8"/>
  <c r="AU37" i="8" s="1"/>
  <c r="AU14" i="8"/>
  <c r="AV59" i="8"/>
  <c r="AR16" i="40"/>
  <c r="AV65" i="8"/>
  <c r="Q48" i="54"/>
  <c r="AU12" i="37"/>
  <c r="AV26" i="8"/>
  <c r="AT80" i="8"/>
  <c r="AT73" i="8"/>
  <c r="AU11" i="40"/>
  <c r="AY1" i="12"/>
  <c r="V97" i="54"/>
  <c r="AR55" i="12"/>
  <c r="AR67" i="12"/>
  <c r="AS6" i="12"/>
  <c r="AS33" i="8"/>
  <c r="AS40" i="8" s="1"/>
  <c r="AS41" i="8"/>
  <c r="AU38" i="12"/>
  <c r="AU74" i="40" s="1"/>
  <c r="AT44" i="8"/>
  <c r="AT9" i="12"/>
  <c r="AS8" i="12"/>
  <c r="AS43" i="8"/>
  <c r="AQ27" i="40"/>
  <c r="AX53" i="39"/>
  <c r="AW70" i="39"/>
  <c r="AW71" i="39" s="1"/>
  <c r="AW9" i="40"/>
  <c r="V13" i="15"/>
  <c r="W1" i="15"/>
  <c r="AS22" i="39"/>
  <c r="AT37" i="40"/>
  <c r="AZ43" i="39"/>
  <c r="AZ51" i="39"/>
  <c r="AR18" i="40"/>
  <c r="AP68" i="39"/>
  <c r="AP69" i="39" s="1"/>
  <c r="AP75" i="40" s="1"/>
  <c r="AQ7" i="39"/>
  <c r="AQ8" i="39" s="1"/>
  <c r="AQ41" i="39" s="1"/>
  <c r="AR64" i="37"/>
  <c r="AR61" i="37" s="1"/>
  <c r="AR60" i="37" s="1"/>
  <c r="AP18" i="37"/>
  <c r="AQ25" i="37" s="1"/>
  <c r="AQ22" i="37" s="1"/>
  <c r="R85" i="54"/>
  <c r="AX1" i="37"/>
  <c r="AX52" i="8"/>
  <c r="AY36" i="12"/>
  <c r="AY22" i="12"/>
  <c r="AX50" i="8"/>
  <c r="AY35" i="12"/>
  <c r="AX24" i="8"/>
  <c r="AY33" i="12"/>
  <c r="AY47" i="12"/>
  <c r="AY49" i="12"/>
  <c r="AV70" i="8"/>
  <c r="AY61" i="12"/>
  <c r="AY50" i="12"/>
  <c r="AV68" i="8"/>
  <c r="AY62" i="12"/>
  <c r="AX11" i="8"/>
  <c r="AX8" i="8"/>
  <c r="AY19" i="12"/>
  <c r="AX10" i="8"/>
  <c r="AX53" i="8"/>
  <c r="AY59" i="12"/>
  <c r="AV71" i="8"/>
  <c r="AY21" i="12"/>
  <c r="W3" i="15" l="1"/>
  <c r="AX5" i="36"/>
  <c r="AX6" i="40" s="1"/>
  <c r="AX7" i="37"/>
  <c r="K32" i="44"/>
  <c r="AV19" i="40"/>
  <c r="AY6" i="36"/>
  <c r="AZ1" i="36"/>
  <c r="AX44" i="36"/>
  <c r="AX42" i="36" s="1"/>
  <c r="AX18" i="36"/>
  <c r="AQ23" i="40"/>
  <c r="AQ22" i="40" s="1"/>
  <c r="AQ16" i="39"/>
  <c r="AV11" i="40"/>
  <c r="AV10" i="39" s="1"/>
  <c r="AX63" i="8"/>
  <c r="AX29" i="8"/>
  <c r="AX27" i="8"/>
  <c r="AX7" i="8"/>
  <c r="AX30" i="8"/>
  <c r="AX60" i="8"/>
  <c r="AX49" i="8"/>
  <c r="S53" i="54" s="1"/>
  <c r="AX62" i="8"/>
  <c r="AY32" i="12"/>
  <c r="AY18" i="12"/>
  <c r="AV74" i="8"/>
  <c r="AV76" i="8"/>
  <c r="AV82" i="8" s="1"/>
  <c r="AV77" i="8"/>
  <c r="AV83" i="8" s="1"/>
  <c r="AW41" i="12"/>
  <c r="AW28" i="12"/>
  <c r="AW27" i="12"/>
  <c r="AW25" i="12"/>
  <c r="AW39" i="12"/>
  <c r="AW42" i="12"/>
  <c r="AS5" i="12"/>
  <c r="AS58" i="12" s="1"/>
  <c r="AS53" i="12"/>
  <c r="AS65" i="12"/>
  <c r="AS46" i="12"/>
  <c r="AT79" i="8"/>
  <c r="AT67" i="8"/>
  <c r="AV24" i="12"/>
  <c r="AV21" i="37" s="1"/>
  <c r="AW59" i="8"/>
  <c r="AT43" i="8"/>
  <c r="AT8" i="12"/>
  <c r="AS67" i="12"/>
  <c r="AS55" i="12"/>
  <c r="AX1" i="39"/>
  <c r="AX13" i="12"/>
  <c r="AX14" i="12" s="1"/>
  <c r="S46" i="54"/>
  <c r="AX1" i="40"/>
  <c r="AX1" i="53"/>
  <c r="AX17" i="8"/>
  <c r="AX7" i="36" s="1"/>
  <c r="AX6" i="37" s="1"/>
  <c r="AX16" i="8"/>
  <c r="AY1" i="8"/>
  <c r="W97" i="54"/>
  <c r="AZ1" i="12"/>
  <c r="AQ21" i="36"/>
  <c r="AR22" i="36" s="1"/>
  <c r="AQ26" i="36"/>
  <c r="AR19" i="36"/>
  <c r="AR10" i="36" s="1"/>
  <c r="AR46" i="40" s="1"/>
  <c r="AT56" i="12"/>
  <c r="AT68" i="12"/>
  <c r="AU10" i="39"/>
  <c r="AU76" i="40"/>
  <c r="AU22" i="8"/>
  <c r="AU36" i="8" s="1"/>
  <c r="AU20" i="8"/>
  <c r="AU34" i="8" s="1"/>
  <c r="AT41" i="8"/>
  <c r="AT33" i="8"/>
  <c r="AT40" i="8" s="1"/>
  <c r="AT6" i="12"/>
  <c r="AW65" i="8"/>
  <c r="AU44" i="8"/>
  <c r="AU9" i="12"/>
  <c r="AW5" i="40"/>
  <c r="AW9" i="39" s="1"/>
  <c r="AW7" i="40"/>
  <c r="AW19" i="40" s="1"/>
  <c r="AR52" i="12"/>
  <c r="AV38" i="12"/>
  <c r="AV74" i="40" s="1"/>
  <c r="AU73" i="8"/>
  <c r="AU80" i="8"/>
  <c r="AW26" i="8"/>
  <c r="AV12" i="37"/>
  <c r="AS16" i="40"/>
  <c r="AR5" i="39"/>
  <c r="AR6" i="39" s="1"/>
  <c r="AR42" i="40"/>
  <c r="AR24" i="40"/>
  <c r="AR28" i="40"/>
  <c r="AW13" i="8"/>
  <c r="AV23" i="8"/>
  <c r="AV37" i="8" s="1"/>
  <c r="AV14" i="8"/>
  <c r="AR64" i="12"/>
  <c r="AR30" i="40"/>
  <c r="AY53" i="39"/>
  <c r="AX70" i="39"/>
  <c r="AX71" i="39" s="1"/>
  <c r="AX9" i="40"/>
  <c r="X1" i="15"/>
  <c r="W13" i="15"/>
  <c r="AT22" i="39"/>
  <c r="AU37" i="40"/>
  <c r="BA51" i="39"/>
  <c r="BA43" i="39"/>
  <c r="AQ68" i="39"/>
  <c r="AQ69" i="39" s="1"/>
  <c r="AQ75" i="40" s="1"/>
  <c r="AR7" i="39"/>
  <c r="AR8" i="39" s="1"/>
  <c r="AR41" i="39" s="1"/>
  <c r="AS18" i="40"/>
  <c r="AR58" i="37"/>
  <c r="AQ20" i="37"/>
  <c r="AQ77" i="40" s="1"/>
  <c r="AY1" i="37"/>
  <c r="S85" i="54"/>
  <c r="AZ22" i="12"/>
  <c r="AY50" i="8"/>
  <c r="AZ62" i="12"/>
  <c r="AZ35" i="12"/>
  <c r="AY24" i="8"/>
  <c r="AW68" i="8"/>
  <c r="AW70" i="8"/>
  <c r="AZ21" i="12"/>
  <c r="AZ33" i="12"/>
  <c r="AZ61" i="12"/>
  <c r="AY53" i="8"/>
  <c r="AY8" i="8"/>
  <c r="AY52" i="8"/>
  <c r="AY10" i="8"/>
  <c r="AZ36" i="12"/>
  <c r="AY11" i="8"/>
  <c r="AZ49" i="12"/>
  <c r="AZ19" i="12"/>
  <c r="AZ47" i="12"/>
  <c r="AZ59" i="12"/>
  <c r="AW71" i="8"/>
  <c r="AZ50" i="12"/>
  <c r="AY5" i="36" l="1"/>
  <c r="AY6" i="40" s="1"/>
  <c r="AY7" i="37"/>
  <c r="X3" i="15"/>
  <c r="K33" i="44"/>
  <c r="K34" i="44" s="1"/>
  <c r="AZ6" i="36"/>
  <c r="BA1" i="36"/>
  <c r="AY44" i="36"/>
  <c r="AY42" i="36" s="1"/>
  <c r="AY18" i="36"/>
  <c r="AV76" i="40"/>
  <c r="AT16" i="40"/>
  <c r="AT24" i="40" s="1"/>
  <c r="AW11" i="40"/>
  <c r="AW10" i="39" s="1"/>
  <c r="AS64" i="12"/>
  <c r="AS52" i="12"/>
  <c r="AR70" i="12"/>
  <c r="AR71" i="12" s="1"/>
  <c r="M99" i="54" s="1"/>
  <c r="AY62" i="8"/>
  <c r="AY27" i="8"/>
  <c r="AY7" i="8"/>
  <c r="AY60" i="8"/>
  <c r="AY49" i="8"/>
  <c r="T53" i="54" s="1"/>
  <c r="AY29" i="8"/>
  <c r="AY30" i="8"/>
  <c r="AY63" i="8"/>
  <c r="AW77" i="8"/>
  <c r="AW83" i="8" s="1"/>
  <c r="AW74" i="8"/>
  <c r="AW76" i="8"/>
  <c r="AW82" i="8" s="1"/>
  <c r="AZ18" i="12"/>
  <c r="AZ32" i="12"/>
  <c r="AX25" i="12"/>
  <c r="AX28" i="12"/>
  <c r="AX42" i="12"/>
  <c r="AX41" i="12"/>
  <c r="AX39" i="12"/>
  <c r="AX27" i="12"/>
  <c r="AR17" i="39"/>
  <c r="AR16" i="36" s="1"/>
  <c r="AR23" i="39"/>
  <c r="AR21" i="39"/>
  <c r="AT55" i="12"/>
  <c r="AT67" i="12"/>
  <c r="AV22" i="8"/>
  <c r="AV36" i="8" s="1"/>
  <c r="AV20" i="8"/>
  <c r="AV34" i="8" s="1"/>
  <c r="AU68" i="12"/>
  <c r="AU56" i="12"/>
  <c r="AU43" i="8"/>
  <c r="AU8" i="12"/>
  <c r="T46" i="54"/>
  <c r="AY1" i="53"/>
  <c r="AY1" i="39"/>
  <c r="AY13" i="12"/>
  <c r="AY14" i="12" s="1"/>
  <c r="AY17" i="8"/>
  <c r="AY7" i="36" s="1"/>
  <c r="AY6" i="37" s="1"/>
  <c r="AY16" i="8"/>
  <c r="AZ1" i="8"/>
  <c r="AY1" i="40"/>
  <c r="AS30" i="40"/>
  <c r="AR31" i="40"/>
  <c r="AV44" i="8"/>
  <c r="AV9" i="12"/>
  <c r="AW8" i="40"/>
  <c r="AX26" i="8"/>
  <c r="AW12" i="37"/>
  <c r="AS5" i="39"/>
  <c r="AS6" i="39" s="1"/>
  <c r="AS42" i="40"/>
  <c r="AS28" i="40"/>
  <c r="AS24" i="40"/>
  <c r="AU33" i="8"/>
  <c r="AU40" i="8" s="1"/>
  <c r="AU6" i="12"/>
  <c r="AU41" i="8"/>
  <c r="AR27" i="40"/>
  <c r="AU67" i="8"/>
  <c r="AU79" i="8"/>
  <c r="AW38" i="12"/>
  <c r="AW74" i="40" s="1"/>
  <c r="AX59" i="8"/>
  <c r="AX13" i="8"/>
  <c r="AW23" i="8"/>
  <c r="AW37" i="8" s="1"/>
  <c r="AW14" i="8"/>
  <c r="AX65" i="8"/>
  <c r="AT53" i="12"/>
  <c r="AT65" i="12"/>
  <c r="AT5" i="12"/>
  <c r="AT58" i="12" s="1"/>
  <c r="AT46" i="12"/>
  <c r="X97" i="54"/>
  <c r="BA1" i="12"/>
  <c r="AX5" i="40"/>
  <c r="AX9" i="39" s="1"/>
  <c r="AX7" i="40"/>
  <c r="AX19" i="40" s="1"/>
  <c r="AW24" i="12"/>
  <c r="AW21" i="37" s="1"/>
  <c r="AV80" i="8"/>
  <c r="AV73" i="8"/>
  <c r="AZ53" i="39"/>
  <c r="AY70" i="39"/>
  <c r="AY71" i="39" s="1"/>
  <c r="X13" i="15"/>
  <c r="Y1" i="15"/>
  <c r="AY9" i="40"/>
  <c r="AU22" i="39"/>
  <c r="AV37" i="40"/>
  <c r="BB43" i="39"/>
  <c r="BB51" i="39"/>
  <c r="AS7" i="39"/>
  <c r="AS8" i="39" s="1"/>
  <c r="AS41" i="39" s="1"/>
  <c r="AT18" i="40"/>
  <c r="AS64" i="37"/>
  <c r="AS61" i="37" s="1"/>
  <c r="AS60" i="37" s="1"/>
  <c r="AQ18" i="37"/>
  <c r="AR25" i="37" s="1"/>
  <c r="AR22" i="37" s="1"/>
  <c r="T85" i="54"/>
  <c r="AZ1" i="37"/>
  <c r="AZ11" i="8"/>
  <c r="AZ24" i="8"/>
  <c r="AZ10" i="8"/>
  <c r="BA61" i="12"/>
  <c r="AX71" i="8"/>
  <c r="BA36" i="12"/>
  <c r="AZ53" i="8"/>
  <c r="AZ52" i="8"/>
  <c r="BA19" i="12"/>
  <c r="AZ8" i="8"/>
  <c r="AX70" i="8"/>
  <c r="BA21" i="12"/>
  <c r="BA33" i="12"/>
  <c r="BA59" i="12"/>
  <c r="AX68" i="8"/>
  <c r="AZ50" i="8"/>
  <c r="BA49" i="12"/>
  <c r="BA47" i="12"/>
  <c r="BA50" i="12"/>
  <c r="AZ7" i="37" l="1"/>
  <c r="AZ5" i="36"/>
  <c r="AZ6" i="40" s="1"/>
  <c r="Y3" i="15"/>
  <c r="AX8" i="40"/>
  <c r="AW76" i="40"/>
  <c r="BA6" i="36"/>
  <c r="BB1" i="36"/>
  <c r="AZ44" i="36"/>
  <c r="AZ42" i="36" s="1"/>
  <c r="AZ18" i="36"/>
  <c r="AT28" i="40"/>
  <c r="AT42" i="40"/>
  <c r="AT5" i="39"/>
  <c r="AT6" i="39" s="1"/>
  <c r="AT21" i="39" s="1"/>
  <c r="AR23" i="40"/>
  <c r="AR22" i="40" s="1"/>
  <c r="AT52" i="12"/>
  <c r="AR68" i="39"/>
  <c r="AR69" i="39" s="1"/>
  <c r="AR75" i="40" s="1"/>
  <c r="AX38" i="12"/>
  <c r="AX74" i="40" s="1"/>
  <c r="AS70" i="12"/>
  <c r="AS71" i="12" s="1"/>
  <c r="AS23" i="40" s="1"/>
  <c r="AS22" i="40" s="1"/>
  <c r="AX11" i="40"/>
  <c r="AT64" i="12"/>
  <c r="AR16" i="39"/>
  <c r="AX24" i="12"/>
  <c r="AX21" i="37" s="1"/>
  <c r="AX76" i="8"/>
  <c r="AX82" i="8" s="1"/>
  <c r="AX77" i="8"/>
  <c r="AX83" i="8" s="1"/>
  <c r="AX74" i="8"/>
  <c r="AZ30" i="8"/>
  <c r="AZ29" i="8"/>
  <c r="AZ63" i="8"/>
  <c r="AZ7" i="8"/>
  <c r="AZ27" i="8"/>
  <c r="AZ62" i="8"/>
  <c r="AZ60" i="8"/>
  <c r="AZ49" i="8"/>
  <c r="U53" i="54" s="1"/>
  <c r="AY41" i="12"/>
  <c r="AY28" i="12"/>
  <c r="AY39" i="12"/>
  <c r="AY27" i="12"/>
  <c r="AY42" i="12"/>
  <c r="AY25" i="12"/>
  <c r="AW22" i="8"/>
  <c r="AW36" i="8" s="1"/>
  <c r="AW20" i="8"/>
  <c r="AW34" i="8" s="1"/>
  <c r="AY13" i="8"/>
  <c r="AX23" i="8"/>
  <c r="AX37" i="8" s="1"/>
  <c r="AX14" i="8"/>
  <c r="AV56" i="12"/>
  <c r="AV68" i="12"/>
  <c r="AV79" i="8"/>
  <c r="AV67" i="8"/>
  <c r="AS27" i="40"/>
  <c r="AR21" i="36"/>
  <c r="AS22" i="36" s="1"/>
  <c r="AS19" i="36"/>
  <c r="AS10" i="36" s="1"/>
  <c r="AS46" i="40" s="1"/>
  <c r="AR26" i="36"/>
  <c r="AW44" i="8"/>
  <c r="AW9" i="12"/>
  <c r="AY59" i="8"/>
  <c r="Y97" i="54"/>
  <c r="BB1" i="12"/>
  <c r="AU46" i="12"/>
  <c r="AU53" i="12"/>
  <c r="AU65" i="12"/>
  <c r="AU5" i="12"/>
  <c r="AU58" i="12" s="1"/>
  <c r="AS23" i="39"/>
  <c r="AS17" i="39"/>
  <c r="AS16" i="36" s="1"/>
  <c r="AS21" i="39"/>
  <c r="AT30" i="40"/>
  <c r="AS31" i="40"/>
  <c r="AV6" i="12"/>
  <c r="AV41" i="8"/>
  <c r="AV33" i="8"/>
  <c r="AV40" i="8" s="1"/>
  <c r="T48" i="54"/>
  <c r="AX12" i="37"/>
  <c r="AY26" i="8"/>
  <c r="AU16" i="40"/>
  <c r="AY7" i="40"/>
  <c r="AY19" i="40" s="1"/>
  <c r="AY5" i="40"/>
  <c r="AY9" i="39" s="1"/>
  <c r="AU67" i="12"/>
  <c r="AU55" i="12"/>
  <c r="AV8" i="12"/>
  <c r="AV43" i="8"/>
  <c r="AW80" i="8"/>
  <c r="AW73" i="8"/>
  <c r="AY65" i="8"/>
  <c r="U46" i="54"/>
  <c r="AZ1" i="53"/>
  <c r="AZ1" i="39"/>
  <c r="AZ13" i="12"/>
  <c r="AZ14" i="12" s="1"/>
  <c r="AZ17" i="8"/>
  <c r="AZ7" i="36" s="1"/>
  <c r="AZ6" i="37" s="1"/>
  <c r="AZ16" i="8"/>
  <c r="BA1" i="8"/>
  <c r="AZ1" i="40"/>
  <c r="BA53" i="39"/>
  <c r="AZ70" i="39"/>
  <c r="AZ71" i="39" s="1"/>
  <c r="AZ9" i="40"/>
  <c r="Z1" i="15"/>
  <c r="Y13" i="15"/>
  <c r="AV22" i="39"/>
  <c r="AW37" i="40"/>
  <c r="BC51" i="39"/>
  <c r="BC43" i="39"/>
  <c r="AU18" i="40"/>
  <c r="AT7" i="39"/>
  <c r="AT8" i="39" s="1"/>
  <c r="AT41" i="39" s="1"/>
  <c r="AS58" i="37"/>
  <c r="AR20" i="37"/>
  <c r="AR77" i="40" s="1"/>
  <c r="U85" i="54"/>
  <c r="BA1" i="37"/>
  <c r="BB35" i="12"/>
  <c r="BB59" i="12"/>
  <c r="BB47" i="12"/>
  <c r="BA22" i="12"/>
  <c r="BA62" i="12"/>
  <c r="BA35" i="12"/>
  <c r="BA5" i="36" l="1"/>
  <c r="BA6" i="40" s="1"/>
  <c r="BA7" i="37"/>
  <c r="Z3" i="15"/>
  <c r="K35" i="44"/>
  <c r="K36" i="44" s="1"/>
  <c r="BA18" i="12"/>
  <c r="BA32" i="12"/>
  <c r="BA8" i="8"/>
  <c r="BB61" i="12"/>
  <c r="BA11" i="8"/>
  <c r="BB62" i="12"/>
  <c r="BB22" i="12"/>
  <c r="BB19" i="12"/>
  <c r="BA52" i="8"/>
  <c r="BA53" i="8"/>
  <c r="BB50" i="12"/>
  <c r="AY68" i="8"/>
  <c r="BA50" i="8"/>
  <c r="BA10" i="8"/>
  <c r="BB21" i="12"/>
  <c r="BB49" i="12"/>
  <c r="BB36" i="12"/>
  <c r="BA24" i="8"/>
  <c r="BB33" i="12"/>
  <c r="AY70" i="8"/>
  <c r="AY71" i="8"/>
  <c r="BB7" i="37" l="1"/>
  <c r="BB5" i="36"/>
  <c r="BB6" i="40" s="1"/>
  <c r="AT27" i="40"/>
  <c r="BB6" i="36"/>
  <c r="BC1" i="36"/>
  <c r="BA18" i="36"/>
  <c r="BA44" i="36"/>
  <c r="BA42" i="36" s="1"/>
  <c r="AT70" i="12"/>
  <c r="AT71" i="12" s="1"/>
  <c r="O99" i="54" s="1"/>
  <c r="AY11" i="40"/>
  <c r="AY10" i="39" s="1"/>
  <c r="AT23" i="39"/>
  <c r="AT17" i="39"/>
  <c r="AT16" i="36" s="1"/>
  <c r="AT21" i="36" s="1"/>
  <c r="AU22" i="36" s="1"/>
  <c r="N99" i="54"/>
  <c r="AU64" i="12"/>
  <c r="AU52" i="12"/>
  <c r="AY38" i="12"/>
  <c r="AY74" i="40" s="1"/>
  <c r="AX10" i="39"/>
  <c r="AX76" i="40"/>
  <c r="AS68" i="39"/>
  <c r="AS69" i="39" s="1"/>
  <c r="AS75" i="40" s="1"/>
  <c r="BA7" i="8"/>
  <c r="BA27" i="8"/>
  <c r="BA30" i="8"/>
  <c r="BA63" i="8"/>
  <c r="BA29" i="8"/>
  <c r="BA60" i="8"/>
  <c r="BA49" i="8"/>
  <c r="V53" i="54" s="1"/>
  <c r="BA62" i="8"/>
  <c r="AY77" i="8"/>
  <c r="AY83" i="8" s="1"/>
  <c r="AY74" i="8"/>
  <c r="AY76" i="8"/>
  <c r="AY82" i="8" s="1"/>
  <c r="BB18" i="12"/>
  <c r="BB32" i="12"/>
  <c r="AZ27" i="12"/>
  <c r="AZ28" i="12"/>
  <c r="AZ42" i="12"/>
  <c r="AZ25" i="12"/>
  <c r="AZ41" i="12"/>
  <c r="AZ39" i="12"/>
  <c r="AU5" i="39"/>
  <c r="AU6" i="39" s="1"/>
  <c r="AU42" i="40"/>
  <c r="AU28" i="40"/>
  <c r="AU24" i="40"/>
  <c r="AV16" i="40"/>
  <c r="AY8" i="40"/>
  <c r="AV65" i="12"/>
  <c r="AV5" i="12"/>
  <c r="AV58" i="12" s="1"/>
  <c r="AV53" i="12"/>
  <c r="AV46" i="12"/>
  <c r="AW8" i="12"/>
  <c r="AW43" i="8"/>
  <c r="V46" i="54"/>
  <c r="BA1" i="53"/>
  <c r="BA1" i="39"/>
  <c r="BA13" i="12"/>
  <c r="BA14" i="12" s="1"/>
  <c r="BA16" i="8"/>
  <c r="BB1" i="8"/>
  <c r="BA17" i="8"/>
  <c r="BA7" i="36" s="1"/>
  <c r="BA6" i="37" s="1"/>
  <c r="BA1" i="40"/>
  <c r="AZ65" i="8"/>
  <c r="AW6" i="12"/>
  <c r="AW41" i="8"/>
  <c r="AW33" i="8"/>
  <c r="AW40" i="8" s="1"/>
  <c r="U48" i="54"/>
  <c r="AZ26" i="8"/>
  <c r="AY12" i="37"/>
  <c r="AZ5" i="40"/>
  <c r="AZ9" i="39" s="1"/>
  <c r="AZ7" i="40"/>
  <c r="AZ19" i="40" s="1"/>
  <c r="AV67" i="12"/>
  <c r="AV55" i="12"/>
  <c r="AW56" i="12"/>
  <c r="AW68" i="12"/>
  <c r="AT31" i="40"/>
  <c r="AU30" i="40"/>
  <c r="AX20" i="8"/>
  <c r="AX34" i="8" s="1"/>
  <c r="AX22" i="8"/>
  <c r="AX36" i="8" s="1"/>
  <c r="AS16" i="39"/>
  <c r="AX44" i="8"/>
  <c r="AX9" i="12"/>
  <c r="AX80" i="8"/>
  <c r="AX73" i="8"/>
  <c r="AW67" i="8"/>
  <c r="AW79" i="8"/>
  <c r="AS21" i="36"/>
  <c r="AT22" i="36" s="1"/>
  <c r="AT19" i="36"/>
  <c r="AT10" i="36" s="1"/>
  <c r="AT46" i="40" s="1"/>
  <c r="AS26" i="36"/>
  <c r="Z97" i="54"/>
  <c r="BC1" i="12"/>
  <c r="AZ13" i="8"/>
  <c r="AY23" i="8"/>
  <c r="AY37" i="8" s="1"/>
  <c r="AY14" i="8"/>
  <c r="AY24" i="12"/>
  <c r="AY21" i="37" s="1"/>
  <c r="AZ59" i="8"/>
  <c r="BB53" i="39"/>
  <c r="BA70" i="39"/>
  <c r="BA71" i="39" s="1"/>
  <c r="BA9" i="40"/>
  <c r="AA1" i="15"/>
  <c r="Z13" i="15"/>
  <c r="AW22" i="39"/>
  <c r="AX37" i="40"/>
  <c r="BD43" i="39"/>
  <c r="BD51" i="39"/>
  <c r="AU7" i="39"/>
  <c r="AU8" i="39" s="1"/>
  <c r="AU41" i="39" s="1"/>
  <c r="AV18" i="40"/>
  <c r="AT64" i="37"/>
  <c r="AT61" i="37" s="1"/>
  <c r="AT60" i="37" s="1"/>
  <c r="AR18" i="37"/>
  <c r="AS25" i="37" s="1"/>
  <c r="AS22" i="37" s="1"/>
  <c r="V85" i="54"/>
  <c r="BB1" i="37"/>
  <c r="BB8" i="8"/>
  <c r="AZ71" i="8"/>
  <c r="BC21" i="12"/>
  <c r="BB52" i="8"/>
  <c r="BC62" i="12"/>
  <c r="BC47" i="12"/>
  <c r="BB53" i="8"/>
  <c r="BC22" i="12"/>
  <c r="BC50" i="12"/>
  <c r="BB50" i="8"/>
  <c r="BC35" i="12"/>
  <c r="BC49" i="12"/>
  <c r="BB24" i="8"/>
  <c r="AZ68" i="8"/>
  <c r="AZ70" i="8"/>
  <c r="BC61" i="12"/>
  <c r="BB11" i="8"/>
  <c r="BC19" i="12"/>
  <c r="BC59" i="12"/>
  <c r="BC36" i="12"/>
  <c r="BB10" i="8"/>
  <c r="BC33" i="12"/>
  <c r="AA3" i="15" l="1"/>
  <c r="K37" i="44"/>
  <c r="K38" i="44" s="1"/>
  <c r="BC6" i="36"/>
  <c r="BD1" i="36"/>
  <c r="BB44" i="36"/>
  <c r="BB42" i="36" s="1"/>
  <c r="BB18" i="36"/>
  <c r="AT26" i="36"/>
  <c r="AY76" i="40"/>
  <c r="AT23" i="40"/>
  <c r="AT22" i="40" s="1"/>
  <c r="AT16" i="39"/>
  <c r="AT68" i="39"/>
  <c r="AT69" i="39" s="1"/>
  <c r="AT75" i="40" s="1"/>
  <c r="AU19" i="36"/>
  <c r="AU10" i="36" s="1"/>
  <c r="AU46" i="40" s="1"/>
  <c r="AU70" i="12"/>
  <c r="AU71" i="12" s="1"/>
  <c r="P99" i="54" s="1"/>
  <c r="AW16" i="40"/>
  <c r="AW24" i="40" s="1"/>
  <c r="AU27" i="40"/>
  <c r="AZ76" i="8"/>
  <c r="AZ82" i="8" s="1"/>
  <c r="AZ77" i="8"/>
  <c r="AZ83" i="8" s="1"/>
  <c r="AZ74" i="8"/>
  <c r="BC32" i="12"/>
  <c r="BC18" i="12"/>
  <c r="BB30" i="8"/>
  <c r="BB29" i="8"/>
  <c r="BB60" i="8"/>
  <c r="BB49" i="8"/>
  <c r="W53" i="54" s="1"/>
  <c r="BB63" i="8"/>
  <c r="BB27" i="8"/>
  <c r="BB7" i="8"/>
  <c r="BB62" i="8"/>
  <c r="BA28" i="12"/>
  <c r="BA41" i="12"/>
  <c r="BA42" i="12"/>
  <c r="BA27" i="12"/>
  <c r="BA39" i="12"/>
  <c r="BA25" i="12"/>
  <c r="AW53" i="12"/>
  <c r="AW46" i="12"/>
  <c r="AW65" i="12"/>
  <c r="AW5" i="12"/>
  <c r="AW58" i="12" s="1"/>
  <c r="AV52" i="12"/>
  <c r="AZ24" i="12"/>
  <c r="AZ21" i="37" s="1"/>
  <c r="AX8" i="12"/>
  <c r="AX43" i="8"/>
  <c r="AV64" i="12"/>
  <c r="BA59" i="8"/>
  <c r="AX33" i="8"/>
  <c r="AX40" i="8" s="1"/>
  <c r="AX6" i="12"/>
  <c r="AX41" i="8"/>
  <c r="BA13" i="8"/>
  <c r="AZ23" i="8"/>
  <c r="AZ37" i="8" s="1"/>
  <c r="AZ14" i="8"/>
  <c r="AX67" i="8"/>
  <c r="AX79" i="8"/>
  <c r="BA65" i="8"/>
  <c r="AZ8" i="40"/>
  <c r="AU17" i="39"/>
  <c r="AU16" i="36" s="1"/>
  <c r="AU23" i="39"/>
  <c r="AU21" i="39"/>
  <c r="AY44" i="8"/>
  <c r="AY9" i="12"/>
  <c r="AA97" i="54"/>
  <c r="BD1" i="12"/>
  <c r="AZ11" i="40"/>
  <c r="BA7" i="40"/>
  <c r="BA19" i="40" s="1"/>
  <c r="BA5" i="40"/>
  <c r="BA9" i="39" s="1"/>
  <c r="AV28" i="40"/>
  <c r="AV42" i="40"/>
  <c r="AV5" i="39"/>
  <c r="AV6" i="39" s="1"/>
  <c r="AV24" i="40"/>
  <c r="AY20" i="8"/>
  <c r="AY34" i="8" s="1"/>
  <c r="AY22" i="8"/>
  <c r="AY36" i="8" s="1"/>
  <c r="AX68" i="12"/>
  <c r="AX56" i="12"/>
  <c r="AV30" i="40"/>
  <c r="AU31" i="40"/>
  <c r="BB1" i="40"/>
  <c r="BB1" i="53"/>
  <c r="BB1" i="39"/>
  <c r="BB13" i="12"/>
  <c r="BB14" i="12" s="1"/>
  <c r="W46" i="54"/>
  <c r="BC1" i="8"/>
  <c r="BB16" i="8"/>
  <c r="BB17" i="8"/>
  <c r="BB7" i="36" s="1"/>
  <c r="BB6" i="37" s="1"/>
  <c r="AW55" i="12"/>
  <c r="AW67" i="12"/>
  <c r="AZ38" i="12"/>
  <c r="AZ74" i="40" s="1"/>
  <c r="AY73" i="8"/>
  <c r="AY80" i="8"/>
  <c r="V48" i="54"/>
  <c r="AZ12" i="37"/>
  <c r="BA26" i="8"/>
  <c r="BC53" i="39"/>
  <c r="BB70" i="39"/>
  <c r="BB71" i="39" s="1"/>
  <c r="AB1" i="15"/>
  <c r="AA13" i="15"/>
  <c r="BB9" i="40"/>
  <c r="AX22" i="39"/>
  <c r="AY37" i="40"/>
  <c r="BE51" i="39"/>
  <c r="BE43" i="39"/>
  <c r="AW18" i="40"/>
  <c r="AV7" i="39"/>
  <c r="AV8" i="39" s="1"/>
  <c r="AV41" i="39" s="1"/>
  <c r="AT58" i="37"/>
  <c r="AS20" i="37"/>
  <c r="AS77" i="40" s="1"/>
  <c r="W85" i="54"/>
  <c r="BC1" i="37"/>
  <c r="BC24" i="8"/>
  <c r="BD19" i="12"/>
  <c r="BC8" i="8"/>
  <c r="BD21" i="12"/>
  <c r="BD62" i="12"/>
  <c r="BD49" i="12"/>
  <c r="BD36" i="12"/>
  <c r="BC53" i="8"/>
  <c r="BA71" i="8"/>
  <c r="BC52" i="8"/>
  <c r="BD50" i="12"/>
  <c r="BD47" i="12"/>
  <c r="BD35" i="12"/>
  <c r="BD22" i="12"/>
  <c r="BC11" i="8"/>
  <c r="BC10" i="8"/>
  <c r="BA70" i="8"/>
  <c r="BD59" i="12"/>
  <c r="BC50" i="8"/>
  <c r="BA68" i="8"/>
  <c r="BD61" i="12"/>
  <c r="BD33" i="12"/>
  <c r="BC7" i="37" l="1"/>
  <c r="BC5" i="36"/>
  <c r="BC6" i="40" s="1"/>
  <c r="AB3" i="15"/>
  <c r="BA8" i="40"/>
  <c r="BE1" i="36"/>
  <c r="BD6" i="36"/>
  <c r="BC44" i="36"/>
  <c r="BC42" i="36" s="1"/>
  <c r="BC18" i="36"/>
  <c r="AW28" i="40"/>
  <c r="AU23" i="40"/>
  <c r="AU22" i="40" s="1"/>
  <c r="AW42" i="40"/>
  <c r="AW5" i="39"/>
  <c r="AW6" i="39" s="1"/>
  <c r="AW21" i="39" s="1"/>
  <c r="AV70" i="12"/>
  <c r="AV71" i="12" s="1"/>
  <c r="Q99" i="54" s="1"/>
  <c r="AW64" i="12"/>
  <c r="BA24" i="12"/>
  <c r="BA21" i="37" s="1"/>
  <c r="AU16" i="39"/>
  <c r="BC60" i="8"/>
  <c r="BC49" i="8"/>
  <c r="X53" i="54" s="1"/>
  <c r="BC7" i="8"/>
  <c r="BC27" i="8"/>
  <c r="BC62" i="8"/>
  <c r="BC29" i="8"/>
  <c r="BC30" i="8"/>
  <c r="BC63" i="8"/>
  <c r="BA77" i="8"/>
  <c r="BA83" i="8" s="1"/>
  <c r="BA76" i="8"/>
  <c r="BA82" i="8" s="1"/>
  <c r="BA74" i="8"/>
  <c r="BD32" i="12"/>
  <c r="BD18" i="12"/>
  <c r="BB28" i="12"/>
  <c r="BB42" i="12"/>
  <c r="BB41" i="12"/>
  <c r="BB25" i="12"/>
  <c r="BB27" i="12"/>
  <c r="BB39" i="12"/>
  <c r="BC1" i="53"/>
  <c r="X46" i="54"/>
  <c r="BC1" i="40"/>
  <c r="BD1" i="8"/>
  <c r="BC1" i="39"/>
  <c r="BC13" i="12"/>
  <c r="BC14" i="12" s="1"/>
  <c r="BC16" i="8"/>
  <c r="BC17" i="8"/>
  <c r="BC7" i="36" s="1"/>
  <c r="BC6" i="37" s="1"/>
  <c r="AZ10" i="39"/>
  <c r="AZ76" i="40"/>
  <c r="BB65" i="8"/>
  <c r="AY67" i="8"/>
  <c r="AY79" i="8"/>
  <c r="AV17" i="39"/>
  <c r="AV16" i="36" s="1"/>
  <c r="AV23" i="39"/>
  <c r="AV21" i="39"/>
  <c r="AZ44" i="8"/>
  <c r="AZ9" i="12"/>
  <c r="AW52" i="12"/>
  <c r="BB59" i="8"/>
  <c r="AB97" i="54"/>
  <c r="BE1" i="12"/>
  <c r="AZ20" i="8"/>
  <c r="AZ34" i="8" s="1"/>
  <c r="AZ22" i="8"/>
  <c r="AZ36" i="8" s="1"/>
  <c r="BB13" i="8"/>
  <c r="BA23" i="8"/>
  <c r="BA37" i="8" s="1"/>
  <c r="BA14" i="8"/>
  <c r="AX67" i="12"/>
  <c r="AX55" i="12"/>
  <c r="AW30" i="40"/>
  <c r="AV31" i="40"/>
  <c r="AY56" i="12"/>
  <c r="AY68" i="12"/>
  <c r="AU68" i="39"/>
  <c r="AU69" i="39" s="1"/>
  <c r="AU75" i="40" s="1"/>
  <c r="AV27" i="40"/>
  <c r="BB7" i="40"/>
  <c r="BB8" i="40" s="1"/>
  <c r="BB5" i="40"/>
  <c r="BB9" i="39" s="1"/>
  <c r="AX5" i="12"/>
  <c r="AX58" i="12" s="1"/>
  <c r="AX53" i="12"/>
  <c r="AX46" i="12"/>
  <c r="AX65" i="12"/>
  <c r="AZ80" i="8"/>
  <c r="AZ73" i="8"/>
  <c r="AY43" i="8"/>
  <c r="AY8" i="12"/>
  <c r="AX16" i="40"/>
  <c r="BA38" i="12"/>
  <c r="BA74" i="40" s="1"/>
  <c r="BB26" i="8"/>
  <c r="BA12" i="37"/>
  <c r="AY41" i="8"/>
  <c r="AY33" i="8"/>
  <c r="AY40" i="8" s="1"/>
  <c r="AY6" i="12"/>
  <c r="AV19" i="36"/>
  <c r="AV10" i="36" s="1"/>
  <c r="AV46" i="40" s="1"/>
  <c r="AU21" i="36"/>
  <c r="AV22" i="36" s="1"/>
  <c r="AU26" i="36"/>
  <c r="BA11" i="40"/>
  <c r="BD53" i="39"/>
  <c r="BC70" i="39"/>
  <c r="BC71" i="39" s="1"/>
  <c r="AC1" i="15"/>
  <c r="AB13" i="15"/>
  <c r="BC9" i="40"/>
  <c r="AY22" i="39"/>
  <c r="AZ37" i="40"/>
  <c r="BF43" i="39"/>
  <c r="BF51" i="39"/>
  <c r="AW7" i="39"/>
  <c r="AW8" i="39" s="1"/>
  <c r="AW41" i="39" s="1"/>
  <c r="AX18" i="40"/>
  <c r="AU64" i="37"/>
  <c r="AU61" i="37" s="1"/>
  <c r="AU60" i="37" s="1"/>
  <c r="AS18" i="37"/>
  <c r="AT25" i="37" s="1"/>
  <c r="AT22" i="37" s="1"/>
  <c r="X85" i="54"/>
  <c r="BD1" i="37"/>
  <c r="BB70" i="8"/>
  <c r="BD52" i="8"/>
  <c r="BE62" i="12"/>
  <c r="BE47" i="12"/>
  <c r="BB71" i="8"/>
  <c r="BB68" i="8"/>
  <c r="BD11" i="8"/>
  <c r="BE33" i="12"/>
  <c r="BD10" i="8"/>
  <c r="BD24" i="8"/>
  <c r="BD53" i="8"/>
  <c r="BE61" i="12"/>
  <c r="BE22" i="12"/>
  <c r="BD50" i="8"/>
  <c r="BE21" i="12"/>
  <c r="BE19" i="12"/>
  <c r="BD8" i="8"/>
  <c r="BE36" i="12"/>
  <c r="BE59" i="12"/>
  <c r="BE35" i="12"/>
  <c r="BD7" i="37" l="1"/>
  <c r="BD5" i="36"/>
  <c r="BD6" i="40" s="1"/>
  <c r="AC3" i="15"/>
  <c r="K39" i="44"/>
  <c r="K40" i="44" s="1"/>
  <c r="BD44" i="36"/>
  <c r="BD42" i="36" s="1"/>
  <c r="BD18" i="36"/>
  <c r="BF1" i="36"/>
  <c r="BE6" i="36"/>
  <c r="AV23" i="40"/>
  <c r="AV22" i="40" s="1"/>
  <c r="AW70" i="12"/>
  <c r="AW71" i="12" s="1"/>
  <c r="R99" i="54" s="1"/>
  <c r="AW23" i="39"/>
  <c r="AW68" i="39" s="1"/>
  <c r="AW17" i="39"/>
  <c r="AW16" i="36" s="1"/>
  <c r="AW21" i="36" s="1"/>
  <c r="AX22" i="36" s="1"/>
  <c r="AY16" i="40"/>
  <c r="AY24" i="40" s="1"/>
  <c r="AV68" i="39"/>
  <c r="AV69" i="39" s="1"/>
  <c r="AV75" i="40" s="1"/>
  <c r="AX64" i="12"/>
  <c r="AV16" i="39"/>
  <c r="BE32" i="12"/>
  <c r="BE18" i="12"/>
  <c r="BB77" i="8"/>
  <c r="BB83" i="8" s="1"/>
  <c r="BB76" i="8"/>
  <c r="BB82" i="8" s="1"/>
  <c r="BB74" i="8"/>
  <c r="BD7" i="8"/>
  <c r="BD27" i="8"/>
  <c r="BD29" i="8"/>
  <c r="BD30" i="8"/>
  <c r="BD63" i="8"/>
  <c r="BD62" i="8"/>
  <c r="BD60" i="8"/>
  <c r="BD49" i="8"/>
  <c r="Y53" i="54" s="1"/>
  <c r="AZ79" i="8"/>
  <c r="AZ67" i="8"/>
  <c r="AX30" i="40"/>
  <c r="AW31" i="40"/>
  <c r="AZ6" i="12"/>
  <c r="AZ41" i="8"/>
  <c r="AZ33" i="8"/>
  <c r="AZ40" i="8" s="1"/>
  <c r="AZ68" i="12"/>
  <c r="AZ56" i="12"/>
  <c r="AC97" i="54"/>
  <c r="BF1" i="12"/>
  <c r="AY67" i="12"/>
  <c r="AY55" i="12"/>
  <c r="BC65" i="8"/>
  <c r="BB38" i="12"/>
  <c r="BB74" i="40" s="1"/>
  <c r="BB19" i="40"/>
  <c r="AX24" i="40"/>
  <c r="AX28" i="40"/>
  <c r="AX42" i="40"/>
  <c r="AX5" i="39"/>
  <c r="AX6" i="39" s="1"/>
  <c r="BA22" i="8"/>
  <c r="BA36" i="8" s="1"/>
  <c r="BA20" i="8"/>
  <c r="BA34" i="8" s="1"/>
  <c r="BC25" i="12"/>
  <c r="BC42" i="12"/>
  <c r="BC27" i="12"/>
  <c r="BC28" i="12"/>
  <c r="BC39" i="12"/>
  <c r="BC41" i="12"/>
  <c r="AY65" i="12"/>
  <c r="AY53" i="12"/>
  <c r="AY5" i="12"/>
  <c r="AY58" i="12" s="1"/>
  <c r="AY46" i="12"/>
  <c r="AW27" i="40"/>
  <c r="AX52" i="12"/>
  <c r="BA9" i="12"/>
  <c r="BA44" i="8"/>
  <c r="BB11" i="40"/>
  <c r="AV26" i="36"/>
  <c r="AV21" i="36"/>
  <c r="AW22" i="36" s="1"/>
  <c r="AW19" i="36"/>
  <c r="AW10" i="36" s="1"/>
  <c r="AW46" i="40" s="1"/>
  <c r="BB24" i="12"/>
  <c r="BB21" i="37" s="1"/>
  <c r="BA73" i="8"/>
  <c r="BA80" i="8"/>
  <c r="BC26" i="8"/>
  <c r="BB12" i="37"/>
  <c r="BA10" i="39"/>
  <c r="BA76" i="40"/>
  <c r="BC13" i="8"/>
  <c r="BB23" i="8"/>
  <c r="BB37" i="8" s="1"/>
  <c r="BB14" i="8"/>
  <c r="Y46" i="54"/>
  <c r="BD1" i="40"/>
  <c r="BD1" i="53"/>
  <c r="BD1" i="39"/>
  <c r="BD13" i="12"/>
  <c r="BD14" i="12" s="1"/>
  <c r="BD17" i="8"/>
  <c r="BD7" i="36" s="1"/>
  <c r="BD6" i="37" s="1"/>
  <c r="BD16" i="8"/>
  <c r="BE1" i="8"/>
  <c r="AZ8" i="12"/>
  <c r="AZ43" i="8"/>
  <c r="BC7" i="40"/>
  <c r="BC8" i="40" s="1"/>
  <c r="BC5" i="40"/>
  <c r="BC9" i="39" s="1"/>
  <c r="BC59" i="8"/>
  <c r="BE53" i="39"/>
  <c r="BD70" i="39"/>
  <c r="BD71" i="39" s="1"/>
  <c r="BD9" i="40"/>
  <c r="AD1" i="15"/>
  <c r="AC13" i="15"/>
  <c r="AZ22" i="39"/>
  <c r="BA37" i="40"/>
  <c r="BG51" i="39"/>
  <c r="BG43" i="39"/>
  <c r="AX7" i="39"/>
  <c r="AX8" i="39" s="1"/>
  <c r="AX41" i="39" s="1"/>
  <c r="AY18" i="40"/>
  <c r="AU58" i="37"/>
  <c r="AT20" i="37"/>
  <c r="AT77" i="40" s="1"/>
  <c r="BE1" i="37"/>
  <c r="Y85" i="54"/>
  <c r="BF35" i="12"/>
  <c r="BC70" i="8"/>
  <c r="BC68" i="8"/>
  <c r="BF21" i="12"/>
  <c r="BF22" i="12"/>
  <c r="BE49" i="12"/>
  <c r="BC71" i="8"/>
  <c r="BE53" i="8"/>
  <c r="BF62" i="12"/>
  <c r="BF50" i="12"/>
  <c r="BF36" i="12"/>
  <c r="BE50" i="12"/>
  <c r="BE10" i="8"/>
  <c r="BF47" i="12"/>
  <c r="BF19" i="12"/>
  <c r="BE52" i="8"/>
  <c r="BF33" i="12"/>
  <c r="BF59" i="12"/>
  <c r="BE11" i="8"/>
  <c r="BF49" i="12"/>
  <c r="BE50" i="8"/>
  <c r="BE8" i="8"/>
  <c r="BE24" i="8"/>
  <c r="BF61" i="12"/>
  <c r="BE7" i="37" l="1"/>
  <c r="BE5" i="36"/>
  <c r="BE6" i="40" s="1"/>
  <c r="AD3" i="15"/>
  <c r="BE44" i="36"/>
  <c r="BE42" i="36" s="1"/>
  <c r="BE18" i="36"/>
  <c r="BF6" i="36"/>
  <c r="BG1" i="36"/>
  <c r="AW23" i="40"/>
  <c r="AW22" i="40" s="1"/>
  <c r="AY5" i="39"/>
  <c r="AY6" i="39" s="1"/>
  <c r="AY21" i="39" s="1"/>
  <c r="AY28" i="40"/>
  <c r="BC11" i="40"/>
  <c r="BC10" i="39" s="1"/>
  <c r="AW26" i="36"/>
  <c r="AX19" i="36"/>
  <c r="AX10" i="36" s="1"/>
  <c r="AX46" i="40" s="1"/>
  <c r="AW16" i="39"/>
  <c r="AY42" i="40"/>
  <c r="AW69" i="39"/>
  <c r="AW75" i="40" s="1"/>
  <c r="AX27" i="40"/>
  <c r="AX70" i="12"/>
  <c r="AX71" i="12" s="1"/>
  <c r="S99" i="54" s="1"/>
  <c r="AY52" i="12"/>
  <c r="AY64" i="12"/>
  <c r="BE29" i="8"/>
  <c r="BE62" i="8"/>
  <c r="BE63" i="8"/>
  <c r="BE27" i="8"/>
  <c r="BE7" i="8"/>
  <c r="BE30" i="8"/>
  <c r="BE49" i="8"/>
  <c r="Z53" i="54" s="1"/>
  <c r="BE60" i="8"/>
  <c r="BC76" i="8"/>
  <c r="BC82" i="8" s="1"/>
  <c r="BC77" i="8"/>
  <c r="BC83" i="8" s="1"/>
  <c r="BC74" i="8"/>
  <c r="BF32" i="12"/>
  <c r="BF18" i="12"/>
  <c r="BD25" i="12"/>
  <c r="BD39" i="12"/>
  <c r="BD27" i="12"/>
  <c r="BD42" i="12"/>
  <c r="BD41" i="12"/>
  <c r="BD28" i="12"/>
  <c r="BB10" i="39"/>
  <c r="BB76" i="40"/>
  <c r="BA56" i="12"/>
  <c r="BA68" i="12"/>
  <c r="BC38" i="12"/>
  <c r="BC74" i="40" s="1"/>
  <c r="BA67" i="8"/>
  <c r="BA79" i="8"/>
  <c r="AZ67" i="12"/>
  <c r="AZ55" i="12"/>
  <c r="BD7" i="40"/>
  <c r="BD8" i="40" s="1"/>
  <c r="BD5" i="40"/>
  <c r="BD9" i="39" s="1"/>
  <c r="BA33" i="8"/>
  <c r="BA40" i="8" s="1"/>
  <c r="BA41" i="8"/>
  <c r="BA6" i="12"/>
  <c r="BC19" i="40"/>
  <c r="AZ16" i="40"/>
  <c r="BA8" i="12"/>
  <c r="BA43" i="8"/>
  <c r="Y48" i="54"/>
  <c r="BC12" i="37"/>
  <c r="BD26" i="8"/>
  <c r="Z46" i="54"/>
  <c r="BE1" i="40"/>
  <c r="BE1" i="53"/>
  <c r="BE1" i="39"/>
  <c r="BE13" i="12"/>
  <c r="BE14" i="12" s="1"/>
  <c r="BF1" i="8"/>
  <c r="BE17" i="8"/>
  <c r="BE7" i="36" s="1"/>
  <c r="BE6" i="37" s="1"/>
  <c r="BE16" i="8"/>
  <c r="BB20" i="8"/>
  <c r="BB34" i="8" s="1"/>
  <c r="BB22" i="8"/>
  <c r="BB36" i="8" s="1"/>
  <c r="AX17" i="39"/>
  <c r="AX16" i="36" s="1"/>
  <c r="AX23" i="39"/>
  <c r="AX21" i="39"/>
  <c r="BD65" i="8"/>
  <c r="AZ65" i="12"/>
  <c r="AZ53" i="12"/>
  <c r="AZ5" i="12"/>
  <c r="AZ58" i="12" s="1"/>
  <c r="AZ46" i="12"/>
  <c r="BB80" i="8"/>
  <c r="BB73" i="8"/>
  <c r="BB9" i="12"/>
  <c r="BB44" i="8"/>
  <c r="BC24" i="12"/>
  <c r="BC21" i="37" s="1"/>
  <c r="BG1" i="12"/>
  <c r="AD97" i="54"/>
  <c r="BD59" i="8"/>
  <c r="BD13" i="8"/>
  <c r="BC23" i="8"/>
  <c r="BC37" i="8" s="1"/>
  <c r="BC14" i="8"/>
  <c r="AY30" i="40"/>
  <c r="AX31" i="40"/>
  <c r="BF53" i="39"/>
  <c r="BE70" i="39"/>
  <c r="BE71" i="39" s="1"/>
  <c r="BE9" i="40"/>
  <c r="AD13" i="15"/>
  <c r="AE1" i="15"/>
  <c r="BA22" i="39"/>
  <c r="BB37" i="40"/>
  <c r="BH43" i="39"/>
  <c r="BH51" i="39"/>
  <c r="AY7" i="39"/>
  <c r="AY8" i="39" s="1"/>
  <c r="AY41" i="39" s="1"/>
  <c r="AZ18" i="40"/>
  <c r="AV64" i="37"/>
  <c r="AV61" i="37" s="1"/>
  <c r="AV60" i="37" s="1"/>
  <c r="AT18" i="37"/>
  <c r="AU25" i="37" s="1"/>
  <c r="AU22" i="37" s="1"/>
  <c r="Z85" i="54"/>
  <c r="BF1" i="37"/>
  <c r="BF52" i="8"/>
  <c r="BF24" i="8"/>
  <c r="BG21" i="12"/>
  <c r="BG49" i="12"/>
  <c r="BD71" i="8"/>
  <c r="BF53" i="8"/>
  <c r="BG36" i="12"/>
  <c r="BD68" i="8"/>
  <c r="BG61" i="12"/>
  <c r="BG62" i="12"/>
  <c r="BG19" i="12"/>
  <c r="BG59" i="12"/>
  <c r="BG35" i="12"/>
  <c r="BG47" i="12"/>
  <c r="BF50" i="8"/>
  <c r="BF10" i="8"/>
  <c r="BD70" i="8"/>
  <c r="BF11" i="8"/>
  <c r="BG22" i="12"/>
  <c r="BF8" i="8"/>
  <c r="BG50" i="12"/>
  <c r="BG33" i="12"/>
  <c r="BF5" i="36" l="1"/>
  <c r="BF6" i="40" s="1"/>
  <c r="BF7" i="37"/>
  <c r="AE3" i="15"/>
  <c r="K41" i="44"/>
  <c r="K42" i="44" s="1"/>
  <c r="AV58" i="37"/>
  <c r="BG6" i="36"/>
  <c r="BH1" i="36"/>
  <c r="BF44" i="36"/>
  <c r="BF42" i="36" s="1"/>
  <c r="BF18" i="36"/>
  <c r="BC76" i="40"/>
  <c r="AY23" i="39"/>
  <c r="AY68" i="39" s="1"/>
  <c r="AY17" i="39"/>
  <c r="AY16" i="36" s="1"/>
  <c r="AY26" i="36" s="1"/>
  <c r="AX23" i="40"/>
  <c r="AX22" i="40" s="1"/>
  <c r="AY70" i="12"/>
  <c r="AY71" i="12" s="1"/>
  <c r="T99" i="54" s="1"/>
  <c r="AZ64" i="12"/>
  <c r="BA16" i="40"/>
  <c r="BA24" i="40" s="1"/>
  <c r="AX16" i="39"/>
  <c r="AX68" i="39"/>
  <c r="AX69" i="39" s="1"/>
  <c r="AX75" i="40" s="1"/>
  <c r="BE59" i="8"/>
  <c r="BD74" i="8"/>
  <c r="BD76" i="8"/>
  <c r="BD82" i="8" s="1"/>
  <c r="BD77" i="8"/>
  <c r="BD83" i="8" s="1"/>
  <c r="BF63" i="8"/>
  <c r="BF60" i="8"/>
  <c r="BF49" i="8"/>
  <c r="AA53" i="54" s="1"/>
  <c r="BF62" i="8"/>
  <c r="BF7" i="8"/>
  <c r="BF27" i="8"/>
  <c r="BF30" i="8"/>
  <c r="BF29" i="8"/>
  <c r="BG18" i="12"/>
  <c r="BG32" i="12"/>
  <c r="BE28" i="12"/>
  <c r="BE39" i="12"/>
  <c r="BE42" i="12"/>
  <c r="BE27" i="12"/>
  <c r="BE41" i="12"/>
  <c r="BE25" i="12"/>
  <c r="BA65" i="12"/>
  <c r="BA53" i="12"/>
  <c r="BA46" i="12"/>
  <c r="BA5" i="12"/>
  <c r="BA58" i="12" s="1"/>
  <c r="BC9" i="12"/>
  <c r="BC44" i="8"/>
  <c r="BE13" i="8"/>
  <c r="BD23" i="8"/>
  <c r="BD37" i="8" s="1"/>
  <c r="BD14" i="8"/>
  <c r="BE65" i="8"/>
  <c r="BF1" i="39"/>
  <c r="BF13" i="12"/>
  <c r="BF14" i="12" s="1"/>
  <c r="AA46" i="54"/>
  <c r="BF1" i="40"/>
  <c r="BF1" i="53"/>
  <c r="BF17" i="8"/>
  <c r="BF7" i="36" s="1"/>
  <c r="BF6" i="37" s="1"/>
  <c r="BF16" i="8"/>
  <c r="BG1" i="8"/>
  <c r="BD11" i="40"/>
  <c r="BD38" i="12"/>
  <c r="BD74" i="40" s="1"/>
  <c r="BB79" i="8"/>
  <c r="BB67" i="8"/>
  <c r="BD24" i="12"/>
  <c r="BD21" i="37" s="1"/>
  <c r="Z48" i="54"/>
  <c r="BE26" i="8"/>
  <c r="BD12" i="37"/>
  <c r="AX21" i="36"/>
  <c r="AY22" i="36" s="1"/>
  <c r="AX26" i="36"/>
  <c r="AY19" i="36"/>
  <c r="AY10" i="36" s="1"/>
  <c r="AY46" i="40" s="1"/>
  <c r="AE97" i="54"/>
  <c r="BH1" i="12"/>
  <c r="BB8" i="12"/>
  <c r="BB43" i="8"/>
  <c r="BE5" i="40"/>
  <c r="BE9" i="39" s="1"/>
  <c r="BE7" i="40"/>
  <c r="BE8" i="40" s="1"/>
  <c r="BA55" i="12"/>
  <c r="BA67" i="12"/>
  <c r="BC80" i="8"/>
  <c r="BC73" i="8"/>
  <c r="BB41" i="8"/>
  <c r="BB6" i="12"/>
  <c r="BB33" i="8"/>
  <c r="BB40" i="8" s="1"/>
  <c r="AZ24" i="40"/>
  <c r="AZ5" i="39"/>
  <c r="AZ6" i="39" s="1"/>
  <c r="AZ28" i="40"/>
  <c r="AZ42" i="40"/>
  <c r="BB68" i="12"/>
  <c r="BB56" i="12"/>
  <c r="AZ30" i="40"/>
  <c r="AY31" i="40"/>
  <c r="BC20" i="8"/>
  <c r="BC34" i="8" s="1"/>
  <c r="BC22" i="8"/>
  <c r="BC36" i="8" s="1"/>
  <c r="AZ52" i="12"/>
  <c r="AY27" i="40"/>
  <c r="BD19" i="40"/>
  <c r="BG53" i="39"/>
  <c r="BF70" i="39"/>
  <c r="BF71" i="39" s="1"/>
  <c r="AF1" i="15"/>
  <c r="AE13" i="15"/>
  <c r="BF9" i="40"/>
  <c r="BB22" i="39"/>
  <c r="BC37" i="40"/>
  <c r="BI51" i="39"/>
  <c r="BI43" i="39"/>
  <c r="BA18" i="40"/>
  <c r="AZ7" i="39"/>
  <c r="AZ8" i="39" s="1"/>
  <c r="AZ41" i="39" s="1"/>
  <c r="AW64" i="37"/>
  <c r="AW61" i="37" s="1"/>
  <c r="AW60" i="37" s="1"/>
  <c r="AU20" i="37"/>
  <c r="AU77" i="40" s="1"/>
  <c r="BG1" i="37"/>
  <c r="AA85" i="54"/>
  <c r="BH59" i="12"/>
  <c r="BH36" i="12"/>
  <c r="BG50" i="8"/>
  <c r="BH62" i="12"/>
  <c r="BG52" i="8"/>
  <c r="BE68" i="8"/>
  <c r="BH19" i="12"/>
  <c r="BH22" i="12"/>
  <c r="BE70" i="8"/>
  <c r="BG53" i="8"/>
  <c r="BH35" i="12"/>
  <c r="BG11" i="8"/>
  <c r="BH33" i="12"/>
  <c r="BG24" i="8"/>
  <c r="BG10" i="8"/>
  <c r="BG8" i="8"/>
  <c r="BE71" i="8"/>
  <c r="BH47" i="12"/>
  <c r="BG5" i="36" l="1"/>
  <c r="BG6" i="40" s="1"/>
  <c r="BG7" i="37"/>
  <c r="AF3" i="15"/>
  <c r="BE19" i="40"/>
  <c r="BH6" i="36"/>
  <c r="BI1" i="36"/>
  <c r="BG44" i="36"/>
  <c r="BG42" i="36" s="1"/>
  <c r="BG18" i="36"/>
  <c r="AZ70" i="12"/>
  <c r="AZ71" i="12" s="1"/>
  <c r="AZ23" i="40" s="1"/>
  <c r="AZ22" i="40" s="1"/>
  <c r="AY21" i="36"/>
  <c r="AZ22" i="36" s="1"/>
  <c r="AY16" i="39"/>
  <c r="AZ19" i="36"/>
  <c r="AZ10" i="36" s="1"/>
  <c r="AZ46" i="40" s="1"/>
  <c r="AY23" i="40"/>
  <c r="AY22" i="40" s="1"/>
  <c r="BE11" i="40"/>
  <c r="BE10" i="39" s="1"/>
  <c r="BA28" i="40"/>
  <c r="BA42" i="40"/>
  <c r="BA5" i="39"/>
  <c r="BA6" i="39" s="1"/>
  <c r="BA21" i="39" s="1"/>
  <c r="BB16" i="40"/>
  <c r="BB28" i="40" s="1"/>
  <c r="BE38" i="12"/>
  <c r="BE74" i="40" s="1"/>
  <c r="BH32" i="12"/>
  <c r="BG49" i="8"/>
  <c r="AB53" i="54" s="1"/>
  <c r="BG60" i="8"/>
  <c r="BG30" i="8"/>
  <c r="BG29" i="8"/>
  <c r="BG62" i="8"/>
  <c r="BG63" i="8"/>
  <c r="BG27" i="8"/>
  <c r="BG7" i="8"/>
  <c r="BE77" i="8"/>
  <c r="BE83" i="8" s="1"/>
  <c r="BE76" i="8"/>
  <c r="BE82" i="8" s="1"/>
  <c r="BE74" i="8"/>
  <c r="BF25" i="12"/>
  <c r="BF27" i="12"/>
  <c r="BF42" i="12"/>
  <c r="BF28" i="12"/>
  <c r="BF41" i="12"/>
  <c r="BF39" i="12"/>
  <c r="BD20" i="8"/>
  <c r="BD34" i="8" s="1"/>
  <c r="BD22" i="8"/>
  <c r="BD36" i="8" s="1"/>
  <c r="BA52" i="12"/>
  <c r="AA48" i="54"/>
  <c r="BF26" i="8"/>
  <c r="BE12" i="37"/>
  <c r="BD9" i="12"/>
  <c r="BD44" i="8"/>
  <c r="BA64" i="12"/>
  <c r="BC43" i="8"/>
  <c r="BC8" i="12"/>
  <c r="BB67" i="12"/>
  <c r="BB55" i="12"/>
  <c r="BF13" i="8"/>
  <c r="BE23" i="8"/>
  <c r="BE37" i="8" s="1"/>
  <c r="BE14" i="8"/>
  <c r="BC33" i="8"/>
  <c r="BC40" i="8" s="1"/>
  <c r="BC6" i="12"/>
  <c r="BC41" i="8"/>
  <c r="AZ27" i="40"/>
  <c r="BC67" i="8"/>
  <c r="BC79" i="8"/>
  <c r="AF97" i="54"/>
  <c r="BI1" i="12"/>
  <c r="BF5" i="40"/>
  <c r="BF9" i="39" s="1"/>
  <c r="BF7" i="40"/>
  <c r="BF59" i="8"/>
  <c r="AZ23" i="39"/>
  <c r="AZ17" i="39"/>
  <c r="AZ16" i="36" s="1"/>
  <c r="AZ21" i="39"/>
  <c r="BC68" i="12"/>
  <c r="BC56" i="12"/>
  <c r="BD10" i="39"/>
  <c r="BD76" i="40"/>
  <c r="BE24" i="12"/>
  <c r="BE21" i="37" s="1"/>
  <c r="AZ31" i="40"/>
  <c r="BA30" i="40"/>
  <c r="BB5" i="12"/>
  <c r="BB58" i="12" s="1"/>
  <c r="BB53" i="12"/>
  <c r="BB46" i="12"/>
  <c r="BB65" i="12"/>
  <c r="AB46" i="54"/>
  <c r="BG1" i="53"/>
  <c r="BG1" i="39"/>
  <c r="BG13" i="12"/>
  <c r="BG14" i="12" s="1"/>
  <c r="BG17" i="8"/>
  <c r="BG7" i="36" s="1"/>
  <c r="BG6" i="37" s="1"/>
  <c r="BG16" i="8"/>
  <c r="BG1" i="40"/>
  <c r="BH1" i="8"/>
  <c r="BF65" i="8"/>
  <c r="BD80" i="8"/>
  <c r="BD73" i="8"/>
  <c r="BH53" i="39"/>
  <c r="BH70" i="39" s="1"/>
  <c r="BG70" i="39"/>
  <c r="BG71" i="39" s="1"/>
  <c r="AG1" i="15"/>
  <c r="AF13" i="15"/>
  <c r="BG9" i="40"/>
  <c r="BC22" i="39"/>
  <c r="BD37" i="40"/>
  <c r="BJ43" i="39"/>
  <c r="BJ51" i="39"/>
  <c r="BB18" i="40"/>
  <c r="AY69" i="39"/>
  <c r="AY75" i="40" s="1"/>
  <c r="BA7" i="39"/>
  <c r="BA8" i="39" s="1"/>
  <c r="BA41" i="39" s="1"/>
  <c r="AW58" i="37"/>
  <c r="AU18" i="37"/>
  <c r="AV25" i="37" s="1"/>
  <c r="AV22" i="37" s="1"/>
  <c r="AB85" i="54"/>
  <c r="BH1" i="37"/>
  <c r="BH52" i="8"/>
  <c r="BH49" i="12"/>
  <c r="BH53" i="8"/>
  <c r="BH24" i="8"/>
  <c r="BH10" i="8"/>
  <c r="BH21" i="12"/>
  <c r="BH11" i="8"/>
  <c r="BH61" i="12"/>
  <c r="BH50" i="8"/>
  <c r="BH8" i="8"/>
  <c r="BH50" i="12"/>
  <c r="AG3" i="15" l="1"/>
  <c r="BH5" i="36"/>
  <c r="BH6" i="40" s="1"/>
  <c r="BH7" i="37"/>
  <c r="K43" i="44"/>
  <c r="K44" i="44" s="1"/>
  <c r="BF19" i="40"/>
  <c r="BF8" i="40"/>
  <c r="BH18" i="12"/>
  <c r="BI21" i="12"/>
  <c r="BF70" i="8"/>
  <c r="BI49" i="12"/>
  <c r="BI47" i="12"/>
  <c r="BI59" i="12"/>
  <c r="BI19" i="12"/>
  <c r="BI22" i="12"/>
  <c r="BI61" i="12"/>
  <c r="BI62" i="12"/>
  <c r="BF68" i="8"/>
  <c r="BI36" i="12"/>
  <c r="BI33" i="12"/>
  <c r="BI35" i="12"/>
  <c r="BI50" i="12"/>
  <c r="BF71" i="8"/>
  <c r="BI7" i="37" l="1"/>
  <c r="BI5" i="36"/>
  <c r="BI6" i="40" s="1"/>
  <c r="U99" i="54"/>
  <c r="BI6" i="36"/>
  <c r="BJ1" i="36"/>
  <c r="BH44" i="36"/>
  <c r="BH42" i="36" s="1"/>
  <c r="BH18" i="36"/>
  <c r="BA17" i="39"/>
  <c r="BA16" i="36" s="1"/>
  <c r="BA21" i="36" s="1"/>
  <c r="BB22" i="36" s="1"/>
  <c r="BB5" i="39"/>
  <c r="BB6" i="39" s="1"/>
  <c r="BB21" i="39" s="1"/>
  <c r="BB52" i="12"/>
  <c r="BE76" i="40"/>
  <c r="BA23" i="39"/>
  <c r="BB42" i="40"/>
  <c r="BB24" i="40"/>
  <c r="BC16" i="40"/>
  <c r="BC5" i="39" s="1"/>
  <c r="BC6" i="39" s="1"/>
  <c r="BC21" i="39" s="1"/>
  <c r="AZ68" i="39"/>
  <c r="AZ69" i="39" s="1"/>
  <c r="AZ75" i="40" s="1"/>
  <c r="BA70" i="12"/>
  <c r="BA71" i="12" s="1"/>
  <c r="BA23" i="40" s="1"/>
  <c r="BA22" i="40" s="1"/>
  <c r="AZ16" i="39"/>
  <c r="BF76" i="8"/>
  <c r="BF82" i="8" s="1"/>
  <c r="BF74" i="8"/>
  <c r="BF77" i="8"/>
  <c r="BF83" i="8" s="1"/>
  <c r="BI18" i="12"/>
  <c r="BI32" i="12"/>
  <c r="BH62" i="8"/>
  <c r="BH30" i="8"/>
  <c r="BH27" i="8"/>
  <c r="BH7" i="8"/>
  <c r="BH29" i="8"/>
  <c r="BH63" i="8"/>
  <c r="BH60" i="8"/>
  <c r="BH49" i="8"/>
  <c r="AC53" i="54" s="1"/>
  <c r="BG41" i="12"/>
  <c r="BG39" i="12"/>
  <c r="BG28" i="12"/>
  <c r="BG25" i="12"/>
  <c r="BG42" i="12"/>
  <c r="BG27" i="12"/>
  <c r="BG65" i="8"/>
  <c r="AZ26" i="36"/>
  <c r="BA19" i="36"/>
  <c r="BA10" i="36" s="1"/>
  <c r="BA46" i="40" s="1"/>
  <c r="AZ21" i="36"/>
  <c r="BA22" i="36" s="1"/>
  <c r="AG97" i="54"/>
  <c r="BJ1" i="12"/>
  <c r="BC67" i="12"/>
  <c r="BC55" i="12"/>
  <c r="BF38" i="12"/>
  <c r="BF74" i="40" s="1"/>
  <c r="BG26" i="8"/>
  <c r="BF12" i="37"/>
  <c r="BB30" i="40"/>
  <c r="BB27" i="40" s="1"/>
  <c r="BA31" i="40"/>
  <c r="BA27" i="40"/>
  <c r="BE22" i="8"/>
  <c r="BE36" i="8" s="1"/>
  <c r="BE20" i="8"/>
  <c r="BE34" i="8" s="1"/>
  <c r="BH17" i="8"/>
  <c r="BH7" i="36" s="1"/>
  <c r="BH6" i="37" s="1"/>
  <c r="AC46" i="54"/>
  <c r="BH1" i="53"/>
  <c r="BH1" i="39"/>
  <c r="BH13" i="12"/>
  <c r="BH14" i="12" s="1"/>
  <c r="BH16" i="8"/>
  <c r="BI1" i="8"/>
  <c r="BH1" i="40"/>
  <c r="BG7" i="40"/>
  <c r="BG19" i="40" s="1"/>
  <c r="BG5" i="40"/>
  <c r="BG9" i="39" s="1"/>
  <c r="BB64" i="12"/>
  <c r="BF11" i="40"/>
  <c r="BE9" i="12"/>
  <c r="BE44" i="8"/>
  <c r="BG13" i="8"/>
  <c r="BF23" i="8"/>
  <c r="BF37" i="8" s="1"/>
  <c r="BF14" i="8"/>
  <c r="BD8" i="12"/>
  <c r="BD43" i="8"/>
  <c r="BD33" i="8"/>
  <c r="BD40" i="8" s="1"/>
  <c r="BD6" i="12"/>
  <c r="BD41" i="8"/>
  <c r="BD68" i="12"/>
  <c r="BD56" i="12"/>
  <c r="BF24" i="12"/>
  <c r="BF21" i="37" s="1"/>
  <c r="BE80" i="8"/>
  <c r="BE73" i="8"/>
  <c r="BD79" i="8"/>
  <c r="BD67" i="8"/>
  <c r="BC46" i="12"/>
  <c r="BC65" i="12"/>
  <c r="BC53" i="12"/>
  <c r="BC5" i="12"/>
  <c r="BC58" i="12" s="1"/>
  <c r="BG59" i="8"/>
  <c r="BI53" i="39"/>
  <c r="BH71" i="39"/>
  <c r="AH1" i="15"/>
  <c r="AG13" i="15"/>
  <c r="BH9" i="40"/>
  <c r="BD22" i="39"/>
  <c r="BE37" i="40"/>
  <c r="BK51" i="39"/>
  <c r="BK43" i="39"/>
  <c r="BB7" i="39"/>
  <c r="BB8" i="39" s="1"/>
  <c r="BB41" i="39" s="1"/>
  <c r="BC18" i="40"/>
  <c r="AX64" i="37"/>
  <c r="AX61" i="37" s="1"/>
  <c r="AX60" i="37" s="1"/>
  <c r="AX58" i="37"/>
  <c r="AV20" i="37"/>
  <c r="AV77" i="40" s="1"/>
  <c r="AC85" i="54"/>
  <c r="BI1" i="37"/>
  <c r="BJ35" i="12"/>
  <c r="BJ47" i="12"/>
  <c r="BJ59" i="12"/>
  <c r="BI11" i="8"/>
  <c r="BJ22" i="12"/>
  <c r="BI8" i="8"/>
  <c r="BG71" i="8"/>
  <c r="BJ19" i="12"/>
  <c r="BJ36" i="12"/>
  <c r="BG70" i="8"/>
  <c r="BI24" i="8"/>
  <c r="BJ33" i="12"/>
  <c r="BJ50" i="12"/>
  <c r="BJ61" i="12"/>
  <c r="BI10" i="8"/>
  <c r="BI52" i="8"/>
  <c r="BJ49" i="12"/>
  <c r="BJ21" i="12"/>
  <c r="BG68" i="8"/>
  <c r="BJ62" i="12"/>
  <c r="BI53" i="8"/>
  <c r="BI50" i="8"/>
  <c r="AH3" i="15" l="1"/>
  <c r="K45" i="44"/>
  <c r="K46" i="44" s="1"/>
  <c r="K47" i="44" s="1"/>
  <c r="K48" i="44" s="1"/>
  <c r="K49" i="44" s="1"/>
  <c r="K50" i="44" s="1"/>
  <c r="K51" i="44" s="1"/>
  <c r="K52" i="44" s="1"/>
  <c r="K53" i="44" s="1"/>
  <c r="K54" i="44" s="1"/>
  <c r="K55" i="44" s="1"/>
  <c r="K56" i="44" s="1"/>
  <c r="K57" i="44" s="1"/>
  <c r="K58" i="44" s="1"/>
  <c r="K59" i="44" s="1"/>
  <c r="BB70" i="12"/>
  <c r="BB71" i="12" s="1"/>
  <c r="W99" i="54" s="1"/>
  <c r="BJ6" i="36"/>
  <c r="BK1" i="36"/>
  <c r="BI18" i="36"/>
  <c r="BI44" i="36"/>
  <c r="BI42" i="36" s="1"/>
  <c r="BB19" i="36"/>
  <c r="BB10" i="36" s="1"/>
  <c r="BB46" i="40" s="1"/>
  <c r="BA16" i="39"/>
  <c r="BA26" i="36"/>
  <c r="BB23" i="39"/>
  <c r="BB68" i="39" s="1"/>
  <c r="BB17" i="39"/>
  <c r="BB16" i="36" s="1"/>
  <c r="BB21" i="36" s="1"/>
  <c r="BC22" i="36" s="1"/>
  <c r="BA68" i="39"/>
  <c r="BA69" i="39" s="1"/>
  <c r="BA75" i="40" s="1"/>
  <c r="BC42" i="40"/>
  <c r="BC28" i="40"/>
  <c r="V99" i="54"/>
  <c r="BC24" i="40"/>
  <c r="BD16" i="40"/>
  <c r="BD24" i="40" s="1"/>
  <c r="BC52" i="12"/>
  <c r="BG24" i="12"/>
  <c r="BG21" i="37" s="1"/>
  <c r="BG20" i="37" s="1"/>
  <c r="BC64" i="12"/>
  <c r="BI49" i="8"/>
  <c r="AD53" i="54" s="1"/>
  <c r="BI60" i="8"/>
  <c r="BI30" i="8"/>
  <c r="BI29" i="8"/>
  <c r="BI62" i="8"/>
  <c r="BI63" i="8"/>
  <c r="BI7" i="8"/>
  <c r="BI27" i="8"/>
  <c r="BG76" i="8"/>
  <c r="BG82" i="8" s="1"/>
  <c r="BG77" i="8"/>
  <c r="BG83" i="8" s="1"/>
  <c r="BG74" i="8"/>
  <c r="BJ18" i="12"/>
  <c r="BJ32" i="12"/>
  <c r="BH25" i="12"/>
  <c r="BH28" i="12"/>
  <c r="BH41" i="12"/>
  <c r="BH39" i="12"/>
  <c r="BH27" i="12"/>
  <c r="BH42" i="12"/>
  <c r="BE8" i="12"/>
  <c r="BE43" i="8"/>
  <c r="BD67" i="12"/>
  <c r="BD55" i="12"/>
  <c r="BH5" i="40"/>
  <c r="BH9" i="39" s="1"/>
  <c r="BH7" i="40"/>
  <c r="BH19" i="40" s="1"/>
  <c r="BG11" i="40"/>
  <c r="BG38" i="12"/>
  <c r="BG74" i="40" s="1"/>
  <c r="BH26" i="8"/>
  <c r="BG12" i="37"/>
  <c r="BH59" i="8"/>
  <c r="BF80" i="8"/>
  <c r="BF73" i="8"/>
  <c r="BE79" i="8"/>
  <c r="BE67" i="8"/>
  <c r="BF10" i="39"/>
  <c r="BF76" i="40"/>
  <c r="BC17" i="39"/>
  <c r="BC16" i="36" s="1"/>
  <c r="BC23" i="39"/>
  <c r="BG8" i="40"/>
  <c r="BH13" i="8"/>
  <c r="BG23" i="8"/>
  <c r="BG37" i="8" s="1"/>
  <c r="BG14" i="8"/>
  <c r="BE41" i="8"/>
  <c r="BE33" i="8"/>
  <c r="BE40" i="8" s="1"/>
  <c r="BE6" i="12"/>
  <c r="BC30" i="40"/>
  <c r="BB31" i="40"/>
  <c r="AD46" i="54"/>
  <c r="BI1" i="53"/>
  <c r="BI1" i="39"/>
  <c r="BI13" i="12"/>
  <c r="BI14" i="12" s="1"/>
  <c r="BI17" i="8"/>
  <c r="BI7" i="36" s="1"/>
  <c r="BI6" i="37" s="1"/>
  <c r="BI16" i="8"/>
  <c r="BI1" i="40"/>
  <c r="BJ1" i="8"/>
  <c r="BH65" i="8"/>
  <c r="BE68" i="12"/>
  <c r="BE56" i="12"/>
  <c r="BF22" i="8"/>
  <c r="BF36" i="8" s="1"/>
  <c r="BF20" i="8"/>
  <c r="BF34" i="8" s="1"/>
  <c r="BD65" i="12"/>
  <c r="BD5" i="12"/>
  <c r="BD58" i="12" s="1"/>
  <c r="BD53" i="12"/>
  <c r="BD46" i="12"/>
  <c r="BF9" i="12"/>
  <c r="BF44" i="8"/>
  <c r="AH97" i="54"/>
  <c r="BK1" i="12"/>
  <c r="BJ53" i="39"/>
  <c r="BI70" i="39"/>
  <c r="BI71" i="39" s="1"/>
  <c r="AI1" i="15"/>
  <c r="AH13" i="15"/>
  <c r="BI9" i="40"/>
  <c r="BE22" i="39"/>
  <c r="BF37" i="40"/>
  <c r="BL43" i="39"/>
  <c r="BL51" i="39"/>
  <c r="BC7" i="39"/>
  <c r="BC8" i="39" s="1"/>
  <c r="BC41" i="39" s="1"/>
  <c r="BD18" i="40"/>
  <c r="AY64" i="37"/>
  <c r="AY61" i="37" s="1"/>
  <c r="AY60" i="37" s="1"/>
  <c r="AV18" i="37"/>
  <c r="AW25" i="37" s="1"/>
  <c r="AW22" i="37" s="1"/>
  <c r="AD85" i="54"/>
  <c r="BJ1" i="37"/>
  <c r="BJ10" i="8"/>
  <c r="BJ8" i="8"/>
  <c r="BJ52" i="8"/>
  <c r="BK35" i="12"/>
  <c r="BK33" i="12"/>
  <c r="BK62" i="12"/>
  <c r="BK47" i="12"/>
  <c r="BK59" i="12"/>
  <c r="BJ24" i="8"/>
  <c r="BJ50" i="8"/>
  <c r="BK22" i="12"/>
  <c r="BJ11" i="8"/>
  <c r="BK50" i="12"/>
  <c r="BH68" i="8"/>
  <c r="BK19" i="12"/>
  <c r="BK61" i="12"/>
  <c r="BH71" i="8"/>
  <c r="BH70" i="8"/>
  <c r="BK36" i="12"/>
  <c r="BK49" i="12"/>
  <c r="BJ53" i="8"/>
  <c r="AI3" i="15" l="1"/>
  <c r="BJ7" i="37"/>
  <c r="BJ5" i="36"/>
  <c r="BJ6" i="40" s="1"/>
  <c r="BH8" i="40"/>
  <c r="AY58" i="37"/>
  <c r="BB23" i="40"/>
  <c r="BB22" i="40" s="1"/>
  <c r="BC19" i="36"/>
  <c r="BC10" i="36" s="1"/>
  <c r="BC46" i="40" s="1"/>
  <c r="BD28" i="40"/>
  <c r="BK6" i="36"/>
  <c r="BL1" i="36"/>
  <c r="BJ44" i="36"/>
  <c r="BJ42" i="36" s="1"/>
  <c r="BJ18" i="36"/>
  <c r="BB69" i="39"/>
  <c r="BB75" i="40" s="1"/>
  <c r="BB16" i="39"/>
  <c r="BB26" i="36"/>
  <c r="BD5" i="39"/>
  <c r="BD6" i="39" s="1"/>
  <c r="BD21" i="39" s="1"/>
  <c r="BH11" i="40"/>
  <c r="BE16" i="40"/>
  <c r="BE42" i="40" s="1"/>
  <c r="BD52" i="12"/>
  <c r="BC27" i="40"/>
  <c r="BD42" i="40"/>
  <c r="BC70" i="12"/>
  <c r="BC71" i="12" s="1"/>
  <c r="BC23" i="40" s="1"/>
  <c r="BC22" i="40" s="1"/>
  <c r="BD64" i="12"/>
  <c r="BH38" i="12"/>
  <c r="BH74" i="40" s="1"/>
  <c r="BK32" i="12"/>
  <c r="BJ7" i="8"/>
  <c r="BJ27" i="8"/>
  <c r="BJ29" i="8"/>
  <c r="BJ63" i="8"/>
  <c r="BJ62" i="8"/>
  <c r="BJ60" i="8"/>
  <c r="BJ49" i="8"/>
  <c r="AE53" i="54" s="1"/>
  <c r="BJ30" i="8"/>
  <c r="BH76" i="8"/>
  <c r="BH82" i="8" s="1"/>
  <c r="BH77" i="8"/>
  <c r="BH83" i="8" s="1"/>
  <c r="BH74" i="8"/>
  <c r="BI28" i="12"/>
  <c r="BI27" i="12"/>
  <c r="BI41" i="12"/>
  <c r="BI39" i="12"/>
  <c r="BI25" i="12"/>
  <c r="BI42" i="12"/>
  <c r="BG22" i="8"/>
  <c r="BG36" i="8" s="1"/>
  <c r="BG20" i="8"/>
  <c r="BG34" i="8" s="1"/>
  <c r="BC26" i="36"/>
  <c r="BC21" i="36"/>
  <c r="BD22" i="36" s="1"/>
  <c r="BD19" i="36"/>
  <c r="BD10" i="36" s="1"/>
  <c r="BD46" i="40" s="1"/>
  <c r="BC16" i="39"/>
  <c r="BI13" i="8"/>
  <c r="BH23" i="8"/>
  <c r="BH37" i="8" s="1"/>
  <c r="BH14" i="8"/>
  <c r="AD48" i="54"/>
  <c r="BH12" i="37"/>
  <c r="BI26" i="8"/>
  <c r="BF56" i="12"/>
  <c r="BF68" i="12"/>
  <c r="AI97" i="54"/>
  <c r="BL1" i="12"/>
  <c r="BJ1" i="40"/>
  <c r="BJ1" i="53"/>
  <c r="BJ1" i="39"/>
  <c r="BJ13" i="12"/>
  <c r="BJ14" i="12" s="1"/>
  <c r="AE46" i="54"/>
  <c r="BK1" i="8"/>
  <c r="BJ16" i="8"/>
  <c r="BJ17" i="8"/>
  <c r="BJ7" i="36" s="1"/>
  <c r="BJ6" i="37" s="1"/>
  <c r="BE67" i="12"/>
  <c r="BE55" i="12"/>
  <c r="BH24" i="12"/>
  <c r="BH21" i="37" s="1"/>
  <c r="BG44" i="8"/>
  <c r="BG9" i="12"/>
  <c r="BI7" i="40"/>
  <c r="BI8" i="40" s="1"/>
  <c r="BI5" i="40"/>
  <c r="BI9" i="39" s="1"/>
  <c r="BD30" i="40"/>
  <c r="BC31" i="40"/>
  <c r="BE53" i="12"/>
  <c r="BE46" i="12"/>
  <c r="BE65" i="12"/>
  <c r="BE5" i="12"/>
  <c r="BE58" i="12" s="1"/>
  <c r="BF41" i="8"/>
  <c r="BF33" i="8"/>
  <c r="BF40" i="8" s="1"/>
  <c r="BF6" i="12"/>
  <c r="BF67" i="8"/>
  <c r="BF79" i="8"/>
  <c r="BG73" i="8"/>
  <c r="BG80" i="8"/>
  <c r="BF43" i="8"/>
  <c r="BF8" i="12"/>
  <c r="BI65" i="8"/>
  <c r="BG10" i="39"/>
  <c r="BG76" i="40"/>
  <c r="BI59" i="8"/>
  <c r="BK53" i="39"/>
  <c r="BJ70" i="39"/>
  <c r="BJ71" i="39" s="1"/>
  <c r="AJ1" i="15"/>
  <c r="AI13" i="15"/>
  <c r="BJ9" i="40"/>
  <c r="BF22" i="39"/>
  <c r="BG37" i="40"/>
  <c r="BM51" i="39"/>
  <c r="BM43" i="39"/>
  <c r="BD7" i="39"/>
  <c r="BD8" i="39" s="1"/>
  <c r="BD41" i="39" s="1"/>
  <c r="BE18" i="40"/>
  <c r="BC68" i="39"/>
  <c r="BC69" i="39" s="1"/>
  <c r="BC75" i="40" s="1"/>
  <c r="AZ64" i="37"/>
  <c r="AZ61" i="37" s="1"/>
  <c r="AZ60" i="37" s="1"/>
  <c r="AW20" i="37"/>
  <c r="AW77" i="40" s="1"/>
  <c r="AE85" i="54"/>
  <c r="BK1" i="37"/>
  <c r="BL47" i="12"/>
  <c r="BL49" i="12"/>
  <c r="BL59" i="12"/>
  <c r="BL61" i="12"/>
  <c r="BK21" i="12"/>
  <c r="BL33" i="12"/>
  <c r="AJ3" i="15" l="1"/>
  <c r="BK5" i="36"/>
  <c r="BK6" i="40" s="1"/>
  <c r="BK7" i="37"/>
  <c r="BH10" i="39"/>
  <c r="BI19" i="40"/>
  <c r="BK18" i="12"/>
  <c r="BK8" i="8"/>
  <c r="BK50" i="8"/>
  <c r="BK24" i="8"/>
  <c r="BL19" i="12"/>
  <c r="BI71" i="8"/>
  <c r="BK53" i="8"/>
  <c r="BL62" i="12"/>
  <c r="BK10" i="8"/>
  <c r="BI70" i="8"/>
  <c r="BL21" i="12"/>
  <c r="BK11" i="8"/>
  <c r="BL35" i="12"/>
  <c r="BL36" i="12"/>
  <c r="BL22" i="12"/>
  <c r="BI68" i="8"/>
  <c r="BK52" i="8"/>
  <c r="BL50" i="12"/>
  <c r="BL5" i="36" l="1"/>
  <c r="BL6" i="40" s="1"/>
  <c r="BL7" i="37"/>
  <c r="BD27" i="40"/>
  <c r="BM1" i="36"/>
  <c r="BL6" i="36"/>
  <c r="BK44" i="36"/>
  <c r="BK42" i="36" s="1"/>
  <c r="BK18" i="36"/>
  <c r="BD17" i="39"/>
  <c r="BD16" i="36" s="1"/>
  <c r="BD26" i="36" s="1"/>
  <c r="BD23" i="39"/>
  <c r="BD70" i="12"/>
  <c r="BD71" i="12" s="1"/>
  <c r="BD23" i="40" s="1"/>
  <c r="BD22" i="40" s="1"/>
  <c r="BE28" i="40"/>
  <c r="BH76" i="40"/>
  <c r="BE5" i="39"/>
  <c r="BE6" i="39" s="1"/>
  <c r="BE21" i="39" s="1"/>
  <c r="BE24" i="40"/>
  <c r="X99" i="54"/>
  <c r="BE64" i="12"/>
  <c r="BE52" i="12"/>
  <c r="BI24" i="12"/>
  <c r="BI21" i="37" s="1"/>
  <c r="BI38" i="12"/>
  <c r="BI74" i="40" s="1"/>
  <c r="BK7" i="8"/>
  <c r="BK27" i="8"/>
  <c r="BK63" i="8"/>
  <c r="BK29" i="8"/>
  <c r="BK30" i="8"/>
  <c r="BK49" i="8"/>
  <c r="AF53" i="54" s="1"/>
  <c r="BK60" i="8"/>
  <c r="BK62" i="8"/>
  <c r="BI77" i="8"/>
  <c r="BI83" i="8" s="1"/>
  <c r="BI74" i="8"/>
  <c r="BI76" i="8"/>
  <c r="BI82" i="8" s="1"/>
  <c r="BL18" i="12"/>
  <c r="BL32" i="12"/>
  <c r="BJ39" i="12"/>
  <c r="BJ41" i="12"/>
  <c r="BJ27" i="12"/>
  <c r="BJ42" i="12"/>
  <c r="BJ28" i="12"/>
  <c r="BJ25" i="12"/>
  <c r="BI11" i="40"/>
  <c r="BK1" i="53"/>
  <c r="AF46" i="54"/>
  <c r="BK1" i="40"/>
  <c r="BL1" i="8"/>
  <c r="BK1" i="39"/>
  <c r="BK13" i="12"/>
  <c r="BK14" i="12" s="1"/>
  <c r="BK17" i="8"/>
  <c r="BK7" i="36" s="1"/>
  <c r="BK6" i="37" s="1"/>
  <c r="BK16" i="8"/>
  <c r="BJ26" i="8"/>
  <c r="BI12" i="37"/>
  <c r="BG79" i="8"/>
  <c r="BG67" i="8"/>
  <c r="BF65" i="12"/>
  <c r="BF53" i="12"/>
  <c r="BF5" i="12"/>
  <c r="BF58" i="12" s="1"/>
  <c r="BF46" i="12"/>
  <c r="BE30" i="40"/>
  <c r="BD31" i="40"/>
  <c r="BJ59" i="8"/>
  <c r="BG56" i="12"/>
  <c r="BG68" i="12"/>
  <c r="BF16" i="40"/>
  <c r="BG41" i="8"/>
  <c r="BG6" i="12"/>
  <c r="BG33" i="8"/>
  <c r="BG40" i="8" s="1"/>
  <c r="BJ5" i="40"/>
  <c r="BJ9" i="39" s="1"/>
  <c r="BJ7" i="40"/>
  <c r="BJ19" i="40" s="1"/>
  <c r="BH22" i="8"/>
  <c r="BH36" i="8" s="1"/>
  <c r="BH20" i="8"/>
  <c r="BH34" i="8" s="1"/>
  <c r="BG43" i="8"/>
  <c r="BG8" i="12"/>
  <c r="BJ65" i="8"/>
  <c r="AJ97" i="54"/>
  <c r="BM1" i="12"/>
  <c r="BH44" i="8"/>
  <c r="BH9" i="12"/>
  <c r="BH80" i="8"/>
  <c r="BH73" i="8"/>
  <c r="BF67" i="12"/>
  <c r="BF55" i="12"/>
  <c r="BJ13" i="8"/>
  <c r="BI23" i="8"/>
  <c r="BI37" i="8" s="1"/>
  <c r="BI14" i="8"/>
  <c r="BL53" i="39"/>
  <c r="BK70" i="39"/>
  <c r="BK71" i="39" s="1"/>
  <c r="AK1" i="15"/>
  <c r="AJ13" i="15"/>
  <c r="BK9" i="40"/>
  <c r="BG22" i="39"/>
  <c r="BH37" i="40"/>
  <c r="BN43" i="39"/>
  <c r="BN51" i="39"/>
  <c r="BE7" i="39"/>
  <c r="BE8" i="39" s="1"/>
  <c r="BE41" i="39" s="1"/>
  <c r="BF18" i="40"/>
  <c r="AZ58" i="37"/>
  <c r="AW18" i="37"/>
  <c r="AX25" i="37" s="1"/>
  <c r="AX22" i="37" s="1"/>
  <c r="AF85" i="54"/>
  <c r="BL1" i="37"/>
  <c r="BM36" i="12"/>
  <c r="BM35" i="12"/>
  <c r="BL10" i="8"/>
  <c r="BM61" i="12"/>
  <c r="BM47" i="12"/>
  <c r="BM19" i="12"/>
  <c r="BM22" i="12"/>
  <c r="BJ70" i="8"/>
  <c r="BL8" i="8"/>
  <c r="BM33" i="12"/>
  <c r="BM59" i="12"/>
  <c r="BL52" i="8"/>
  <c r="BM21" i="12"/>
  <c r="BM49" i="12"/>
  <c r="BL24" i="8"/>
  <c r="BM50" i="12"/>
  <c r="BJ68" i="8"/>
  <c r="BL50" i="8"/>
  <c r="BL53" i="8"/>
  <c r="BL11" i="8"/>
  <c r="BM62" i="12"/>
  <c r="BJ71" i="8"/>
  <c r="AK3" i="15" l="1"/>
  <c r="BJ8" i="40"/>
  <c r="BD16" i="39"/>
  <c r="BD21" i="36"/>
  <c r="BE22" i="36" s="1"/>
  <c r="BG16" i="40"/>
  <c r="BL44" i="36"/>
  <c r="BL42" i="36" s="1"/>
  <c r="BL18" i="36"/>
  <c r="BN1" i="36"/>
  <c r="BM6" i="36"/>
  <c r="Y99" i="54"/>
  <c r="BD68" i="39"/>
  <c r="BD69" i="39" s="1"/>
  <c r="BD75" i="40" s="1"/>
  <c r="BE19" i="36"/>
  <c r="BE10" i="36" s="1"/>
  <c r="BE46" i="40" s="1"/>
  <c r="BE23" i="39"/>
  <c r="BE68" i="39" s="1"/>
  <c r="BE17" i="39"/>
  <c r="BE16" i="36" s="1"/>
  <c r="BF19" i="36" s="1"/>
  <c r="BF10" i="36" s="1"/>
  <c r="BF46" i="40" s="1"/>
  <c r="BE70" i="12"/>
  <c r="BE71" i="12" s="1"/>
  <c r="Z99" i="54" s="1"/>
  <c r="BF64" i="12"/>
  <c r="BL29" i="8"/>
  <c r="BL49" i="8"/>
  <c r="BL60" i="8"/>
  <c r="BL30" i="8"/>
  <c r="BL63" i="8"/>
  <c r="BL7" i="8"/>
  <c r="BL27" i="8"/>
  <c r="BL62" i="8"/>
  <c r="BM32" i="12"/>
  <c r="BM18" i="12"/>
  <c r="BJ74" i="8"/>
  <c r="BJ77" i="8"/>
  <c r="BJ83" i="8" s="1"/>
  <c r="BJ76" i="8"/>
  <c r="BJ82" i="8" s="1"/>
  <c r="BK25" i="12"/>
  <c r="BK28" i="12"/>
  <c r="BK41" i="12"/>
  <c r="BK27" i="12"/>
  <c r="BK39" i="12"/>
  <c r="BK42" i="12"/>
  <c r="BH56" i="12"/>
  <c r="BH68" i="12"/>
  <c r="BE31" i="40"/>
  <c r="BF30" i="40"/>
  <c r="AG46" i="54"/>
  <c r="AG51" i="54" s="1"/>
  <c r="BL1" i="40"/>
  <c r="BL1" i="53"/>
  <c r="BL13" i="12"/>
  <c r="BL14" i="12" s="1"/>
  <c r="BM1" i="8"/>
  <c r="BL17" i="8"/>
  <c r="BL7" i="36" s="1"/>
  <c r="BL6" i="37" s="1"/>
  <c r="BL16" i="8"/>
  <c r="BL1" i="39"/>
  <c r="BK59" i="8"/>
  <c r="BG55" i="12"/>
  <c r="BG67" i="12"/>
  <c r="BJ11" i="40"/>
  <c r="BE27" i="40"/>
  <c r="BK7" i="40"/>
  <c r="BK19" i="40" s="1"/>
  <c r="BK5" i="40"/>
  <c r="BK9" i="39" s="1"/>
  <c r="BH79" i="8"/>
  <c r="BH67" i="8"/>
  <c r="BI20" i="8"/>
  <c r="BI34" i="8" s="1"/>
  <c r="BI22" i="8"/>
  <c r="BI36" i="8" s="1"/>
  <c r="BN1" i="12"/>
  <c r="BJ38" i="12"/>
  <c r="BJ74" i="40" s="1"/>
  <c r="BI44" i="8"/>
  <c r="BI9" i="12"/>
  <c r="BH41" i="8"/>
  <c r="BH6" i="12"/>
  <c r="BH33" i="8"/>
  <c r="BH40" i="8" s="1"/>
  <c r="BK65" i="8"/>
  <c r="BF28" i="40"/>
  <c r="BF42" i="40"/>
  <c r="BF5" i="39"/>
  <c r="BF6" i="39" s="1"/>
  <c r="BF24" i="40"/>
  <c r="BK13" i="8"/>
  <c r="BJ23" i="8"/>
  <c r="BJ37" i="8" s="1"/>
  <c r="BJ14" i="8"/>
  <c r="BH43" i="8"/>
  <c r="BH8" i="12"/>
  <c r="BG53" i="12"/>
  <c r="BG5" i="12"/>
  <c r="BG58" i="12" s="1"/>
  <c r="BG65" i="12"/>
  <c r="BG46" i="12"/>
  <c r="BI10" i="39"/>
  <c r="BI76" i="40"/>
  <c r="BF52" i="12"/>
  <c r="BJ24" i="12"/>
  <c r="BJ21" i="37" s="1"/>
  <c r="BI80" i="8"/>
  <c r="BI73" i="8"/>
  <c r="AF48" i="54"/>
  <c r="BK26" i="8"/>
  <c r="BJ12" i="37"/>
  <c r="BM53" i="39"/>
  <c r="BL70" i="39"/>
  <c r="BL71" i="39" s="1"/>
  <c r="AL1" i="15"/>
  <c r="AK13" i="15"/>
  <c r="BL9" i="40"/>
  <c r="BH22" i="39"/>
  <c r="BI37" i="40"/>
  <c r="BO51" i="39"/>
  <c r="BO43" i="39"/>
  <c r="BF7" i="39"/>
  <c r="BF8" i="39" s="1"/>
  <c r="BF41" i="39" s="1"/>
  <c r="BG18" i="40"/>
  <c r="BA64" i="37"/>
  <c r="BA61" i="37" s="1"/>
  <c r="BA60" i="37" s="1"/>
  <c r="AX20" i="37"/>
  <c r="AX77" i="40" s="1"/>
  <c r="BM1" i="37"/>
  <c r="AG85" i="54"/>
  <c r="BN35" i="12"/>
  <c r="BN49" i="12"/>
  <c r="BK71" i="8"/>
  <c r="BN61" i="12"/>
  <c r="BN19" i="12"/>
  <c r="BM8" i="8"/>
  <c r="BN47" i="12"/>
  <c r="BK70" i="8"/>
  <c r="BK68" i="8"/>
  <c r="BN21" i="12"/>
  <c r="BM24" i="8"/>
  <c r="BN33" i="12"/>
  <c r="BM50" i="8"/>
  <c r="BN50" i="12"/>
  <c r="BM11" i="8"/>
  <c r="BM53" i="8"/>
  <c r="BM52" i="8"/>
  <c r="BN62" i="12"/>
  <c r="BM10" i="8"/>
  <c r="BN36" i="12"/>
  <c r="BN59" i="12"/>
  <c r="BN22" i="12"/>
  <c r="AL3" i="15" l="1"/>
  <c r="BM5" i="36"/>
  <c r="BM6" i="40" s="1"/>
  <c r="BM7" i="37"/>
  <c r="AG53" i="54"/>
  <c r="BG24" i="40"/>
  <c r="BK8" i="40"/>
  <c r="BG5" i="39"/>
  <c r="BG6" i="39" s="1"/>
  <c r="BG21" i="39" s="1"/>
  <c r="BG28" i="40"/>
  <c r="BK11" i="40"/>
  <c r="BG42" i="40"/>
  <c r="BM44" i="36"/>
  <c r="BM42" i="36" s="1"/>
  <c r="BM18" i="36"/>
  <c r="BN6" i="36"/>
  <c r="BO1" i="36"/>
  <c r="BE69" i="39"/>
  <c r="BE75" i="40" s="1"/>
  <c r="BE26" i="36"/>
  <c r="BF70" i="12"/>
  <c r="BF71" i="12" s="1"/>
  <c r="BF23" i="40" s="1"/>
  <c r="BF22" i="40" s="1"/>
  <c r="BE21" i="36"/>
  <c r="BF22" i="36" s="1"/>
  <c r="BE23" i="40"/>
  <c r="BE22" i="40" s="1"/>
  <c r="BE16" i="39"/>
  <c r="BJ37" i="40"/>
  <c r="AG48" i="54"/>
  <c r="BK38" i="12"/>
  <c r="BK74" i="40" s="1"/>
  <c r="BG64" i="12"/>
  <c r="BM29" i="8"/>
  <c r="BM30" i="8"/>
  <c r="BM63" i="8"/>
  <c r="BM62" i="8"/>
  <c r="BM7" i="8"/>
  <c r="BM27" i="8"/>
  <c r="BM60" i="8"/>
  <c r="BM49" i="8"/>
  <c r="BK76" i="8"/>
  <c r="BK82" i="8" s="1"/>
  <c r="BK74" i="8"/>
  <c r="BK77" i="8"/>
  <c r="BK83" i="8" s="1"/>
  <c r="BN32" i="12"/>
  <c r="BN18" i="12"/>
  <c r="BL41" i="12"/>
  <c r="BL39" i="12"/>
  <c r="BL27" i="12"/>
  <c r="BL28" i="12"/>
  <c r="BL25" i="12"/>
  <c r="BL42" i="12"/>
  <c r="BJ44" i="8"/>
  <c r="BJ9" i="12"/>
  <c r="BL13" i="8"/>
  <c r="BK23" i="8"/>
  <c r="BK37" i="8" s="1"/>
  <c r="BK14" i="8"/>
  <c r="BG52" i="12"/>
  <c r="AH46" i="54"/>
  <c r="AH51" i="54" s="1"/>
  <c r="BM1" i="40"/>
  <c r="BN1" i="8"/>
  <c r="BM17" i="8"/>
  <c r="BM7" i="36" s="1"/>
  <c r="BM6" i="37" s="1"/>
  <c r="BM16" i="8"/>
  <c r="BM1" i="39"/>
  <c r="BM13" i="12"/>
  <c r="BM14" i="12" s="1"/>
  <c r="BH67" i="12"/>
  <c r="BH55" i="12"/>
  <c r="BH16" i="40"/>
  <c r="BK24" i="12"/>
  <c r="BK21" i="37" s="1"/>
  <c r="BK12" i="37"/>
  <c r="BL26" i="8"/>
  <c r="BG30" i="40"/>
  <c r="BF31" i="40"/>
  <c r="BF27" i="40"/>
  <c r="BJ80" i="8"/>
  <c r="BJ73" i="8"/>
  <c r="BL65" i="8"/>
  <c r="BH53" i="12"/>
  <c r="BH5" i="12"/>
  <c r="BH58" i="12" s="1"/>
  <c r="BH65" i="12"/>
  <c r="BH46" i="12"/>
  <c r="BO1" i="12"/>
  <c r="BJ76" i="40"/>
  <c r="BJ47" i="40"/>
  <c r="BJ10" i="39"/>
  <c r="BI8" i="12"/>
  <c r="BI43" i="8"/>
  <c r="BL7" i="40"/>
  <c r="BL19" i="40" s="1"/>
  <c r="BL5" i="40"/>
  <c r="BL9" i="39" s="1"/>
  <c r="BI79" i="8"/>
  <c r="BI67" i="8"/>
  <c r="BJ22" i="8"/>
  <c r="BJ36" i="8" s="1"/>
  <c r="BJ20" i="8"/>
  <c r="BJ34" i="8" s="1"/>
  <c r="BF17" i="39"/>
  <c r="BF16" i="36" s="1"/>
  <c r="BF23" i="39"/>
  <c r="BF21" i="39"/>
  <c r="BI68" i="12"/>
  <c r="BI56" i="12"/>
  <c r="BI33" i="8"/>
  <c r="BI40" i="8" s="1"/>
  <c r="BI6" i="12"/>
  <c r="BI41" i="8"/>
  <c r="BL59" i="8"/>
  <c r="BN53" i="39"/>
  <c r="BM70" i="39"/>
  <c r="BM71" i="39" s="1"/>
  <c r="BM9" i="40"/>
  <c r="AL13" i="15"/>
  <c r="AM1" i="15"/>
  <c r="BI22" i="39"/>
  <c r="BP43" i="39"/>
  <c r="BP51" i="39"/>
  <c r="BG7" i="39"/>
  <c r="BG8" i="39" s="1"/>
  <c r="BG41" i="39" s="1"/>
  <c r="BH18" i="40"/>
  <c r="BA58" i="37"/>
  <c r="AX18" i="37"/>
  <c r="AY25" i="37" s="1"/>
  <c r="AY22" i="37" s="1"/>
  <c r="AH85" i="54"/>
  <c r="BN1" i="37"/>
  <c r="BO61" i="12"/>
  <c r="BN24" i="8"/>
  <c r="BN10" i="8"/>
  <c r="BN50" i="8"/>
  <c r="BO62" i="12"/>
  <c r="BO19" i="12"/>
  <c r="BL70" i="8"/>
  <c r="BN8" i="8"/>
  <c r="BO21" i="12"/>
  <c r="BO33" i="12"/>
  <c r="BN52" i="8"/>
  <c r="BN11" i="8"/>
  <c r="BO47" i="12"/>
  <c r="BO50" i="12"/>
  <c r="BN53" i="8"/>
  <c r="BL68" i="8"/>
  <c r="BO59" i="12"/>
  <c r="BL71" i="8"/>
  <c r="BO22" i="12"/>
  <c r="BO49" i="12"/>
  <c r="BO36" i="12"/>
  <c r="AM3" i="15" l="1"/>
  <c r="BN7" i="37"/>
  <c r="BN5" i="36"/>
  <c r="BN6" i="40" s="1"/>
  <c r="AH53" i="54"/>
  <c r="BG27" i="40"/>
  <c r="BG17" i="39"/>
  <c r="BG16" i="36" s="1"/>
  <c r="BH19" i="36" s="1"/>
  <c r="BH10" i="36" s="1"/>
  <c r="BH46" i="40" s="1"/>
  <c r="BK10" i="39"/>
  <c r="BK47" i="40"/>
  <c r="BK76" i="40"/>
  <c r="BK37" i="40"/>
  <c r="BG23" i="39"/>
  <c r="BG68" i="39" s="1"/>
  <c r="BO6" i="36"/>
  <c r="BP1" i="36"/>
  <c r="BN44" i="36"/>
  <c r="BN42" i="36" s="1"/>
  <c r="BN18" i="36"/>
  <c r="AA99" i="54"/>
  <c r="BH52" i="12"/>
  <c r="BH64" i="12"/>
  <c r="BG70" i="12"/>
  <c r="BG71" i="12" s="1"/>
  <c r="AB99" i="54" s="1"/>
  <c r="BF16" i="39"/>
  <c r="BL24" i="12"/>
  <c r="BL21" i="37" s="1"/>
  <c r="BL38" i="12"/>
  <c r="BL74" i="40" s="1"/>
  <c r="BO18" i="12"/>
  <c r="BL77" i="8"/>
  <c r="BL83" i="8" s="1"/>
  <c r="BL74" i="8"/>
  <c r="BL76" i="8"/>
  <c r="BL82" i="8" s="1"/>
  <c r="BN29" i="8"/>
  <c r="BN62" i="8"/>
  <c r="BN63" i="8"/>
  <c r="BN7" i="8"/>
  <c r="BN27" i="8"/>
  <c r="BN60" i="8"/>
  <c r="BN49" i="8"/>
  <c r="BN30" i="8"/>
  <c r="BM28" i="12"/>
  <c r="BM39" i="12"/>
  <c r="BM42" i="12"/>
  <c r="BM41" i="12"/>
  <c r="BM27" i="12"/>
  <c r="BM25" i="12"/>
  <c r="BL8" i="40"/>
  <c r="BM59" i="8"/>
  <c r="BF26" i="36"/>
  <c r="BF21" i="36"/>
  <c r="BG22" i="36" s="1"/>
  <c r="BG19" i="36"/>
  <c r="BG10" i="36" s="1"/>
  <c r="BG46" i="40" s="1"/>
  <c r="AH48" i="54"/>
  <c r="BL12" i="37"/>
  <c r="BM26" i="8"/>
  <c r="BH5" i="39"/>
  <c r="BH6" i="39" s="1"/>
  <c r="BH28" i="40"/>
  <c r="BH24" i="40"/>
  <c r="BH42" i="40"/>
  <c r="BH30" i="40"/>
  <c r="BG31" i="40"/>
  <c r="BF68" i="39"/>
  <c r="BF69" i="39" s="1"/>
  <c r="BF75" i="40" s="1"/>
  <c r="BL11" i="40"/>
  <c r="BK22" i="8"/>
  <c r="BK36" i="8" s="1"/>
  <c r="BK20" i="8"/>
  <c r="BK34" i="8" s="1"/>
  <c r="BJ6" i="12"/>
  <c r="BJ41" i="8"/>
  <c r="BJ33" i="8"/>
  <c r="BJ40" i="8" s="1"/>
  <c r="BI5" i="12"/>
  <c r="BI58" i="12" s="1"/>
  <c r="BI53" i="12"/>
  <c r="BI46" i="12"/>
  <c r="BI65" i="12"/>
  <c r="BJ8" i="12"/>
  <c r="BJ43" i="8"/>
  <c r="BP1" i="12"/>
  <c r="BI16" i="40"/>
  <c r="BI67" i="12"/>
  <c r="BI55" i="12"/>
  <c r="BM65" i="8"/>
  <c r="BN1" i="39"/>
  <c r="BN13" i="12"/>
  <c r="BN14" i="12" s="1"/>
  <c r="AI46" i="54"/>
  <c r="AI51" i="54" s="1"/>
  <c r="BN1" i="40"/>
  <c r="BN16" i="8"/>
  <c r="BN17" i="8"/>
  <c r="BN7" i="36" s="1"/>
  <c r="BN6" i="37" s="1"/>
  <c r="BO1" i="8"/>
  <c r="BK9" i="12"/>
  <c r="BK44" i="8"/>
  <c r="BJ79" i="8"/>
  <c r="BJ67" i="8"/>
  <c r="BM5" i="40"/>
  <c r="BM9" i="39" s="1"/>
  <c r="BM7" i="40"/>
  <c r="BM19" i="40" s="1"/>
  <c r="BM13" i="8"/>
  <c r="BL23" i="8"/>
  <c r="BL37" i="8" s="1"/>
  <c r="BL14" i="8"/>
  <c r="BK80" i="8"/>
  <c r="BK73" i="8"/>
  <c r="BJ56" i="12"/>
  <c r="BJ68" i="12"/>
  <c r="BO53" i="39"/>
  <c r="BN70" i="39"/>
  <c r="BN71" i="39" s="1"/>
  <c r="BN9" i="40"/>
  <c r="AN1" i="15"/>
  <c r="AM13" i="15"/>
  <c r="BJ22" i="39"/>
  <c r="BQ43" i="39"/>
  <c r="BQ51" i="39"/>
  <c r="BH7" i="39"/>
  <c r="BH8" i="39" s="1"/>
  <c r="BH41" i="39" s="1"/>
  <c r="BI18" i="40"/>
  <c r="BB64" i="37"/>
  <c r="BB61" i="37" s="1"/>
  <c r="BB60" i="37" s="1"/>
  <c r="BB58" i="37"/>
  <c r="AY20" i="37"/>
  <c r="AY77" i="40" s="1"/>
  <c r="BO1" i="37"/>
  <c r="AI85" i="54"/>
  <c r="BM71" i="8"/>
  <c r="BO35" i="12"/>
  <c r="BO10" i="8"/>
  <c r="BM70" i="8"/>
  <c r="BO8" i="8"/>
  <c r="BM68" i="8"/>
  <c r="BO11" i="8"/>
  <c r="BO52" i="8"/>
  <c r="BO24" i="8"/>
  <c r="BO50" i="8"/>
  <c r="BO53" i="8"/>
  <c r="AN3" i="15" l="1"/>
  <c r="BO7" i="37"/>
  <c r="BO5" i="36"/>
  <c r="BO6" i="40" s="1"/>
  <c r="BO32" i="12"/>
  <c r="BP49" i="12"/>
  <c r="BP33" i="12"/>
  <c r="BP19" i="12"/>
  <c r="BP22" i="12"/>
  <c r="BP59" i="12"/>
  <c r="BP62" i="12"/>
  <c r="BP36" i="12"/>
  <c r="BP35" i="12"/>
  <c r="BP47" i="12"/>
  <c r="BP61" i="12"/>
  <c r="BP50" i="12"/>
  <c r="BP5" i="36" l="1"/>
  <c r="BP6" i="40" s="1"/>
  <c r="BP7" i="37"/>
  <c r="BG21" i="36"/>
  <c r="BH22" i="36" s="1"/>
  <c r="BG26" i="36"/>
  <c r="BG23" i="40"/>
  <c r="BG22" i="40" s="1"/>
  <c r="BG16" i="39"/>
  <c r="BP6" i="36"/>
  <c r="BQ1" i="36"/>
  <c r="BO44" i="36"/>
  <c r="BO42" i="36" s="1"/>
  <c r="BO18" i="36"/>
  <c r="BH70" i="12"/>
  <c r="BH71" i="12" s="1"/>
  <c r="BH23" i="40" s="1"/>
  <c r="BH22" i="40" s="1"/>
  <c r="AI48" i="54"/>
  <c r="BH27" i="40"/>
  <c r="BP32" i="12"/>
  <c r="BO62" i="8"/>
  <c r="BO27" i="8"/>
  <c r="BO7" i="8"/>
  <c r="BO63" i="8"/>
  <c r="BO30" i="8"/>
  <c r="BO49" i="8"/>
  <c r="BO60" i="8"/>
  <c r="BO29" i="8"/>
  <c r="BM74" i="8"/>
  <c r="BM77" i="8"/>
  <c r="BM83" i="8" s="1"/>
  <c r="BM76" i="8"/>
  <c r="BM82" i="8" s="1"/>
  <c r="BN41" i="12"/>
  <c r="BN27" i="12"/>
  <c r="BN42" i="12"/>
  <c r="BN39" i="12"/>
  <c r="BN28" i="12"/>
  <c r="BN25" i="12"/>
  <c r="BN13" i="8"/>
  <c r="BM23" i="8"/>
  <c r="BM37" i="8" s="1"/>
  <c r="BM14" i="8"/>
  <c r="BK68" i="12"/>
  <c r="BK56" i="12"/>
  <c r="BI30" i="40"/>
  <c r="BH31" i="40"/>
  <c r="BN26" i="8"/>
  <c r="BM12" i="37"/>
  <c r="BN59" i="8"/>
  <c r="BQ1" i="12"/>
  <c r="BJ16" i="40"/>
  <c r="AJ46" i="54"/>
  <c r="AJ51" i="54" s="1"/>
  <c r="BO1" i="39"/>
  <c r="BO13" i="12"/>
  <c r="BO14" i="12" s="1"/>
  <c r="BO1" i="40"/>
  <c r="BO17" i="8"/>
  <c r="BO7" i="36" s="1"/>
  <c r="BO6" i="37" s="1"/>
  <c r="BO16" i="8"/>
  <c r="BP1" i="8"/>
  <c r="BJ67" i="12"/>
  <c r="BJ55" i="12"/>
  <c r="BJ65" i="12"/>
  <c r="BJ5" i="12"/>
  <c r="BJ58" i="12" s="1"/>
  <c r="BJ53" i="12"/>
  <c r="BJ46" i="12"/>
  <c r="BM38" i="12"/>
  <c r="BM74" i="40" s="1"/>
  <c r="BL9" i="12"/>
  <c r="BL44" i="8"/>
  <c r="BG69" i="39"/>
  <c r="BG75" i="40" s="1"/>
  <c r="BI64" i="12"/>
  <c r="BM8" i="40"/>
  <c r="BI42" i="40"/>
  <c r="BI24" i="40"/>
  <c r="BI28" i="40"/>
  <c r="BI5" i="39"/>
  <c r="BI6" i="39" s="1"/>
  <c r="BK79" i="8"/>
  <c r="BK67" i="8"/>
  <c r="BN65" i="8"/>
  <c r="BK6" i="12"/>
  <c r="BK33" i="8"/>
  <c r="BK40" i="8" s="1"/>
  <c r="BK41" i="8"/>
  <c r="BN5" i="40"/>
  <c r="BN9" i="39" s="1"/>
  <c r="BN7" i="40"/>
  <c r="BN19" i="40" s="1"/>
  <c r="BI52" i="12"/>
  <c r="BK8" i="12"/>
  <c r="BK43" i="8"/>
  <c r="BH17" i="39"/>
  <c r="BH16" i="36" s="1"/>
  <c r="BH23" i="39"/>
  <c r="BH21" i="39"/>
  <c r="BL22" i="8"/>
  <c r="BL36" i="8" s="1"/>
  <c r="BL20" i="8"/>
  <c r="BL34" i="8" s="1"/>
  <c r="BL76" i="40"/>
  <c r="BL47" i="40"/>
  <c r="BL48" i="40"/>
  <c r="BL75" i="40"/>
  <c r="BL78" i="40"/>
  <c r="BL46" i="40"/>
  <c r="BL59" i="40"/>
  <c r="BL10" i="39"/>
  <c r="BL30" i="40"/>
  <c r="BL37" i="40"/>
  <c r="BM11" i="40"/>
  <c r="BM24" i="12"/>
  <c r="BM21" i="37" s="1"/>
  <c r="AI53" i="54"/>
  <c r="BL80" i="8"/>
  <c r="BL73" i="8"/>
  <c r="BP53" i="39"/>
  <c r="BO70" i="39"/>
  <c r="BO71" i="39" s="1"/>
  <c r="BO9" i="40"/>
  <c r="AN13" i="15"/>
  <c r="AO1" i="15"/>
  <c r="BK22" i="39"/>
  <c r="BR51" i="39"/>
  <c r="BR43" i="39"/>
  <c r="BI7" i="39"/>
  <c r="BI8" i="39" s="1"/>
  <c r="BI41" i="39" s="1"/>
  <c r="BJ18" i="40"/>
  <c r="BC64" i="37"/>
  <c r="BC61" i="37" s="1"/>
  <c r="BC60" i="37" s="1"/>
  <c r="BC58" i="37"/>
  <c r="AY18" i="37"/>
  <c r="AZ25" i="37" s="1"/>
  <c r="AZ22" i="37" s="1"/>
  <c r="AJ85" i="54"/>
  <c r="BP1" i="37"/>
  <c r="BP21" i="12"/>
  <c r="BQ19" i="12"/>
  <c r="BQ59" i="12"/>
  <c r="AO3" i="15" l="1"/>
  <c r="BI31" i="40"/>
  <c r="BJ30" i="40"/>
  <c r="BH68" i="39"/>
  <c r="BN8" i="40"/>
  <c r="BP18" i="12"/>
  <c r="BN68" i="8"/>
  <c r="BP8" i="8"/>
  <c r="BP53" i="8"/>
  <c r="BQ47" i="12"/>
  <c r="BP10" i="8"/>
  <c r="BQ21" i="12"/>
  <c r="BP11" i="8"/>
  <c r="BQ49" i="12"/>
  <c r="BQ35" i="12"/>
  <c r="BQ33" i="12"/>
  <c r="BP52" i="8"/>
  <c r="BP24" i="8"/>
  <c r="BQ36" i="12"/>
  <c r="BN70" i="8"/>
  <c r="BQ61" i="12"/>
  <c r="BQ50" i="12"/>
  <c r="BQ22" i="12"/>
  <c r="BN71" i="8"/>
  <c r="BP50" i="8"/>
  <c r="BQ62" i="12"/>
  <c r="BQ5" i="36" l="1"/>
  <c r="BQ6" i="40" s="1"/>
  <c r="BQ7" i="37"/>
  <c r="BK30" i="40"/>
  <c r="AC99" i="54"/>
  <c r="BQ6" i="36"/>
  <c r="BR1" i="36"/>
  <c r="BP44" i="36"/>
  <c r="BP42" i="36" s="1"/>
  <c r="BP18" i="36"/>
  <c r="BI27" i="40"/>
  <c r="BH16" i="39"/>
  <c r="BP29" i="8"/>
  <c r="BP30" i="8"/>
  <c r="BP7" i="8"/>
  <c r="BP27" i="8"/>
  <c r="BP63" i="8"/>
  <c r="BP60" i="8"/>
  <c r="BP49" i="8"/>
  <c r="BP62" i="8"/>
  <c r="BN74" i="8"/>
  <c r="BN77" i="8"/>
  <c r="BN83" i="8" s="1"/>
  <c r="BN76" i="8"/>
  <c r="BN82" i="8" s="1"/>
  <c r="BQ32" i="12"/>
  <c r="BQ18" i="12"/>
  <c r="BO39" i="12"/>
  <c r="BO28" i="12"/>
  <c r="BO42" i="12"/>
  <c r="BO41" i="12"/>
  <c r="BO25" i="12"/>
  <c r="BO27" i="12"/>
  <c r="BL6" i="12"/>
  <c r="BL33" i="8"/>
  <c r="BL40" i="8" s="1"/>
  <c r="BL41" i="8"/>
  <c r="BL79" i="8"/>
  <c r="BL67" i="8"/>
  <c r="BK16" i="40"/>
  <c r="BO59" i="8"/>
  <c r="BL56" i="12"/>
  <c r="BL68" i="12"/>
  <c r="BO13" i="8"/>
  <c r="BN23" i="8"/>
  <c r="BN37" i="8" s="1"/>
  <c r="BN14" i="8"/>
  <c r="BL60" i="40"/>
  <c r="BL72" i="40"/>
  <c r="BL43" i="8"/>
  <c r="BL8" i="12"/>
  <c r="BK65" i="12"/>
  <c r="BK53" i="12"/>
  <c r="BK5" i="12"/>
  <c r="BK58" i="12" s="1"/>
  <c r="BK46" i="12"/>
  <c r="BP17" i="8"/>
  <c r="BP7" i="36" s="1"/>
  <c r="BP6" i="37" s="1"/>
  <c r="AK46" i="54"/>
  <c r="AK51" i="54" s="1"/>
  <c r="BP1" i="39"/>
  <c r="BP13" i="12"/>
  <c r="BP14" i="12" s="1"/>
  <c r="BP1" i="40"/>
  <c r="BP16" i="8"/>
  <c r="BQ1" i="8"/>
  <c r="BJ24" i="40"/>
  <c r="BJ5" i="39"/>
  <c r="BJ6" i="39" s="1"/>
  <c r="BJ21" i="39" s="1"/>
  <c r="BJ28" i="40"/>
  <c r="BJ27" i="40" s="1"/>
  <c r="BJ42" i="40"/>
  <c r="BJ31" i="40"/>
  <c r="AJ53" i="54"/>
  <c r="BO65" i="8"/>
  <c r="BI70" i="12"/>
  <c r="BI71" i="12" s="1"/>
  <c r="BJ52" i="12"/>
  <c r="BN11" i="40"/>
  <c r="BN24" i="12"/>
  <c r="BN21" i="37" s="1"/>
  <c r="BR1" i="12"/>
  <c r="BH21" i="36"/>
  <c r="BI22" i="36" s="1"/>
  <c r="BI19" i="36"/>
  <c r="BI10" i="36" s="1"/>
  <c r="BI46" i="40" s="1"/>
  <c r="BH26" i="36"/>
  <c r="BO7" i="40"/>
  <c r="BO19" i="40" s="1"/>
  <c r="BO5" i="40"/>
  <c r="BO9" i="39" s="1"/>
  <c r="AJ48" i="54"/>
  <c r="BO26" i="8"/>
  <c r="BN12" i="37"/>
  <c r="BH69" i="39"/>
  <c r="BH75" i="40" s="1"/>
  <c r="BM76" i="40"/>
  <c r="BM30" i="40"/>
  <c r="BM75" i="40"/>
  <c r="BM47" i="40"/>
  <c r="BM78" i="40"/>
  <c r="BM37" i="40"/>
  <c r="BM48" i="40"/>
  <c r="BM59" i="40"/>
  <c r="BM46" i="40"/>
  <c r="BM10" i="39"/>
  <c r="BL45" i="40"/>
  <c r="BI17" i="39"/>
  <c r="BI16" i="36" s="1"/>
  <c r="BI23" i="39"/>
  <c r="BI21" i="39"/>
  <c r="BJ64" i="12"/>
  <c r="BM20" i="8"/>
  <c r="BM34" i="8" s="1"/>
  <c r="BM22" i="8"/>
  <c r="BM36" i="8" s="1"/>
  <c r="BN38" i="12"/>
  <c r="BN74" i="40" s="1"/>
  <c r="BK67" i="12"/>
  <c r="BK55" i="12"/>
  <c r="BM9" i="12"/>
  <c r="BM44" i="8"/>
  <c r="BM80" i="8"/>
  <c r="BM73" i="8"/>
  <c r="BQ53" i="39"/>
  <c r="BP70" i="39"/>
  <c r="BP71" i="39" s="1"/>
  <c r="BP9" i="40"/>
  <c r="AP1" i="15"/>
  <c r="AO13" i="15"/>
  <c r="BL22" i="39"/>
  <c r="BS43" i="39"/>
  <c r="BS51" i="39"/>
  <c r="BJ7" i="39"/>
  <c r="BJ8" i="39" s="1"/>
  <c r="BJ41" i="39" s="1"/>
  <c r="BK18" i="40"/>
  <c r="BD64" i="37"/>
  <c r="BD61" i="37" s="1"/>
  <c r="BD60" i="37" s="1"/>
  <c r="BD58" i="37"/>
  <c r="AZ20" i="37"/>
  <c r="AZ77" i="40" s="1"/>
  <c r="AK85" i="54"/>
  <c r="BQ1" i="37"/>
  <c r="BQ8" i="8"/>
  <c r="BQ52" i="8"/>
  <c r="BQ53" i="8"/>
  <c r="BR50" i="12"/>
  <c r="BO71" i="8"/>
  <c r="BR62" i="12"/>
  <c r="BR33" i="12"/>
  <c r="BR22" i="12"/>
  <c r="BO68" i="8"/>
  <c r="BR49" i="12"/>
  <c r="BR36" i="12"/>
  <c r="BR47" i="12"/>
  <c r="BR61" i="12"/>
  <c r="BQ24" i="8"/>
  <c r="BO70" i="8"/>
  <c r="BR19" i="12"/>
  <c r="BQ11" i="8"/>
  <c r="BQ50" i="8"/>
  <c r="BR21" i="12"/>
  <c r="BR35" i="12"/>
  <c r="BR59" i="12"/>
  <c r="BQ10" i="8"/>
  <c r="AP3" i="15" l="1"/>
  <c r="BR6" i="36"/>
  <c r="BS1" i="36"/>
  <c r="BQ44" i="36"/>
  <c r="BQ42" i="36" s="1"/>
  <c r="BQ18" i="36"/>
  <c r="BO11" i="40"/>
  <c r="BO30" i="40" s="1"/>
  <c r="BI68" i="39"/>
  <c r="BI69" i="39" s="1"/>
  <c r="BI75" i="40" s="1"/>
  <c r="BM45" i="40"/>
  <c r="BQ60" i="8"/>
  <c r="BQ49" i="8"/>
  <c r="BQ30" i="8"/>
  <c r="BQ62" i="8"/>
  <c r="BQ63" i="8"/>
  <c r="BQ27" i="8"/>
  <c r="BQ7" i="8"/>
  <c r="BQ29" i="8"/>
  <c r="BO74" i="8"/>
  <c r="BO77" i="8"/>
  <c r="BO83" i="8" s="1"/>
  <c r="BO76" i="8"/>
  <c r="BO82" i="8" s="1"/>
  <c r="BR32" i="12"/>
  <c r="BR18" i="12"/>
  <c r="BP27" i="12"/>
  <c r="BP25" i="12"/>
  <c r="BP42" i="12"/>
  <c r="BP39" i="12"/>
  <c r="BP28" i="12"/>
  <c r="BP41" i="12"/>
  <c r="BK24" i="40"/>
  <c r="BK5" i="39"/>
  <c r="BK6" i="39" s="1"/>
  <c r="BK42" i="40"/>
  <c r="BK28" i="40"/>
  <c r="BK27" i="40" s="1"/>
  <c r="BK31" i="40"/>
  <c r="AK48" i="54"/>
  <c r="BO12" i="37"/>
  <c r="BP26" i="8"/>
  <c r="BM33" i="8"/>
  <c r="BM40" i="8" s="1"/>
  <c r="BM6" i="12"/>
  <c r="BM41" i="8"/>
  <c r="BN22" i="8"/>
  <c r="BN36" i="8" s="1"/>
  <c r="BN20" i="8"/>
  <c r="BN34" i="8" s="1"/>
  <c r="BN73" i="8"/>
  <c r="BN80" i="8"/>
  <c r="AD99" i="54"/>
  <c r="BI23" i="40"/>
  <c r="BI22" i="40" s="1"/>
  <c r="AL46" i="54"/>
  <c r="AL51" i="54" s="1"/>
  <c r="BQ1" i="39"/>
  <c r="BQ13" i="12"/>
  <c r="BQ14" i="12" s="1"/>
  <c r="BQ17" i="8"/>
  <c r="BQ7" i="36" s="1"/>
  <c r="BQ6" i="37" s="1"/>
  <c r="BQ16" i="8"/>
  <c r="BQ1" i="40"/>
  <c r="BR1" i="8"/>
  <c r="BO38" i="12"/>
  <c r="BO74" i="40" s="1"/>
  <c r="BP65" i="8"/>
  <c r="BK52" i="12"/>
  <c r="BP13" i="8"/>
  <c r="BO23" i="8"/>
  <c r="BO37" i="8" s="1"/>
  <c r="BO14" i="8"/>
  <c r="BL16" i="40"/>
  <c r="AK53" i="54"/>
  <c r="BN44" i="8"/>
  <c r="BN9" i="12"/>
  <c r="BM68" i="12"/>
  <c r="BM56" i="12"/>
  <c r="BJ70" i="12"/>
  <c r="BJ71" i="12" s="1"/>
  <c r="BM60" i="40"/>
  <c r="BM72" i="40"/>
  <c r="BI16" i="39"/>
  <c r="BO8" i="40"/>
  <c r="BP5" i="40"/>
  <c r="BP9" i="39" s="1"/>
  <c r="BP7" i="40"/>
  <c r="BP19" i="40" s="1"/>
  <c r="BK64" i="12"/>
  <c r="BL65" i="12"/>
  <c r="BL53" i="12"/>
  <c r="BL46" i="12"/>
  <c r="BL5" i="12"/>
  <c r="BL58" i="12" s="1"/>
  <c r="BP59" i="8"/>
  <c r="BS1" i="12"/>
  <c r="BL67" i="12"/>
  <c r="BL55" i="12"/>
  <c r="BJ19" i="36"/>
  <c r="BJ10" i="36" s="1"/>
  <c r="BJ46" i="40" s="1"/>
  <c r="BI21" i="36"/>
  <c r="BJ22" i="36" s="1"/>
  <c r="BI26" i="36"/>
  <c r="BO24" i="12"/>
  <c r="BO21" i="37" s="1"/>
  <c r="BM79" i="8"/>
  <c r="BM67" i="8"/>
  <c r="BM8" i="12"/>
  <c r="BM43" i="8"/>
  <c r="BN76" i="40"/>
  <c r="BN30" i="40"/>
  <c r="BN78" i="40"/>
  <c r="BN10" i="39"/>
  <c r="BN37" i="40"/>
  <c r="BN48" i="40"/>
  <c r="BN46" i="40"/>
  <c r="BN47" i="40"/>
  <c r="BN75" i="40"/>
  <c r="BN59" i="40"/>
  <c r="BJ17" i="39"/>
  <c r="BJ16" i="36" s="1"/>
  <c r="BJ23" i="39"/>
  <c r="BR53" i="39"/>
  <c r="BQ70" i="39"/>
  <c r="BQ71" i="39" s="1"/>
  <c r="BQ9" i="40"/>
  <c r="AQ1" i="15"/>
  <c r="AP13" i="15"/>
  <c r="BM22" i="39"/>
  <c r="BT51" i="39"/>
  <c r="BT43" i="39"/>
  <c r="BK7" i="39"/>
  <c r="BK8" i="39" s="1"/>
  <c r="BK41" i="39" s="1"/>
  <c r="BL18" i="40"/>
  <c r="BE64" i="37"/>
  <c r="BE61" i="37" s="1"/>
  <c r="BE60" i="37" s="1"/>
  <c r="AZ18" i="37"/>
  <c r="BA25" i="37" s="1"/>
  <c r="BA22" i="37" s="1"/>
  <c r="AL85" i="54"/>
  <c r="BR1" i="37"/>
  <c r="BS59" i="12"/>
  <c r="BP68" i="8"/>
  <c r="BS21" i="12"/>
  <c r="BS61" i="12"/>
  <c r="BR11" i="8"/>
  <c r="BS50" i="12"/>
  <c r="BR53" i="8"/>
  <c r="BS47" i="12"/>
  <c r="BR50" i="8"/>
  <c r="BR24" i="8"/>
  <c r="BS62" i="12"/>
  <c r="BS49" i="12"/>
  <c r="BP70" i="8"/>
  <c r="BS22" i="12"/>
  <c r="BS35" i="12"/>
  <c r="BP71" i="8"/>
  <c r="BS19" i="12"/>
  <c r="BS36" i="12"/>
  <c r="BS33" i="12"/>
  <c r="BR10" i="8"/>
  <c r="BR52" i="8"/>
  <c r="BR8" i="8"/>
  <c r="AQ3" i="15" l="1"/>
  <c r="BR5" i="36"/>
  <c r="BR6" i="40" s="1"/>
  <c r="BR7" i="37"/>
  <c r="BO76" i="40"/>
  <c r="BO75" i="40"/>
  <c r="BS6" i="36"/>
  <c r="BT1" i="36"/>
  <c r="BR44" i="36"/>
  <c r="BR42" i="36" s="1"/>
  <c r="BR18" i="36"/>
  <c r="BO47" i="40"/>
  <c r="BJ68" i="39"/>
  <c r="BJ69" i="39" s="1"/>
  <c r="BJ75" i="40" s="1"/>
  <c r="BO78" i="40"/>
  <c r="BO10" i="39"/>
  <c r="BO37" i="40"/>
  <c r="BO59" i="40"/>
  <c r="BO72" i="40" s="1"/>
  <c r="BO48" i="40"/>
  <c r="BO46" i="40"/>
  <c r="AL48" i="54"/>
  <c r="BP74" i="8"/>
  <c r="BP76" i="8"/>
  <c r="BP82" i="8" s="1"/>
  <c r="BP77" i="8"/>
  <c r="BP83" i="8" s="1"/>
  <c r="BS32" i="12"/>
  <c r="BS18" i="12"/>
  <c r="BR27" i="8"/>
  <c r="BR7" i="8"/>
  <c r="BR63" i="8"/>
  <c r="BR29" i="8"/>
  <c r="BR30" i="8"/>
  <c r="BR49" i="8"/>
  <c r="BR60" i="8"/>
  <c r="BR62" i="8"/>
  <c r="BQ39" i="12"/>
  <c r="BQ42" i="12"/>
  <c r="BQ27" i="12"/>
  <c r="BQ28" i="12"/>
  <c r="BQ41" i="12"/>
  <c r="BQ25" i="12"/>
  <c r="BN45" i="40"/>
  <c r="BP8" i="40"/>
  <c r="BN68" i="12"/>
  <c r="BN56" i="12"/>
  <c r="BQ65" i="8"/>
  <c r="BP24" i="12"/>
  <c r="BP21" i="37" s="1"/>
  <c r="BQ26" i="8"/>
  <c r="BP12" i="37"/>
  <c r="BM67" i="12"/>
  <c r="BM55" i="12"/>
  <c r="BM65" i="12"/>
  <c r="BM5" i="12"/>
  <c r="BM58" i="12" s="1"/>
  <c r="BM46" i="12"/>
  <c r="BM53" i="12"/>
  <c r="BK23" i="39"/>
  <c r="BK17" i="39"/>
  <c r="BK16" i="36" s="1"/>
  <c r="BK21" i="39"/>
  <c r="BT1" i="12"/>
  <c r="BL52" i="12"/>
  <c r="BR1" i="40"/>
  <c r="BR1" i="39"/>
  <c r="BR13" i="12"/>
  <c r="BR14" i="12" s="1"/>
  <c r="BR17" i="8"/>
  <c r="BR7" i="36" s="1"/>
  <c r="BR6" i="37" s="1"/>
  <c r="AM46" i="54"/>
  <c r="AM51" i="54" s="1"/>
  <c r="BS1" i="8"/>
  <c r="BR16" i="8"/>
  <c r="BM16" i="40"/>
  <c r="BJ16" i="39"/>
  <c r="BL64" i="12"/>
  <c r="BL42" i="40"/>
  <c r="BL24" i="40"/>
  <c r="BL77" i="40"/>
  <c r="BL28" i="40"/>
  <c r="BL27" i="40" s="1"/>
  <c r="BL20" i="40"/>
  <c r="AG92" i="54" s="1"/>
  <c r="BL5" i="39"/>
  <c r="BL6" i="39" s="1"/>
  <c r="BL31" i="40"/>
  <c r="BQ7" i="40"/>
  <c r="BQ19" i="40" s="1"/>
  <c r="BQ5" i="40"/>
  <c r="BQ9" i="39" s="1"/>
  <c r="BP11" i="40"/>
  <c r="BK70" i="12"/>
  <c r="BK71" i="12" s="1"/>
  <c r="AE99" i="54"/>
  <c r="BJ23" i="40"/>
  <c r="BJ22" i="40" s="1"/>
  <c r="BO20" i="8"/>
  <c r="BO34" i="8" s="1"/>
  <c r="BO22" i="8"/>
  <c r="BO36" i="8" s="1"/>
  <c r="BN67" i="8"/>
  <c r="BN79" i="8"/>
  <c r="BJ26" i="36"/>
  <c r="BJ21" i="36"/>
  <c r="BK22" i="36" s="1"/>
  <c r="BK19" i="36"/>
  <c r="BK10" i="36" s="1"/>
  <c r="BK46" i="40" s="1"/>
  <c r="BO9" i="12"/>
  <c r="BO44" i="8"/>
  <c r="BN6" i="12"/>
  <c r="BN33" i="8"/>
  <c r="BN40" i="8" s="1"/>
  <c r="BN41" i="8"/>
  <c r="AL53" i="54"/>
  <c r="BN60" i="40"/>
  <c r="BN72" i="40"/>
  <c r="BQ13" i="8"/>
  <c r="BP23" i="8"/>
  <c r="BP37" i="8" s="1"/>
  <c r="BP14" i="8"/>
  <c r="BN8" i="12"/>
  <c r="BN43" i="8"/>
  <c r="BP38" i="12"/>
  <c r="BP74" i="40" s="1"/>
  <c r="BO80" i="8"/>
  <c r="BO73" i="8"/>
  <c r="BQ59" i="8"/>
  <c r="BS53" i="39"/>
  <c r="BR70" i="39"/>
  <c r="BR71" i="39" s="1"/>
  <c r="AR1" i="15"/>
  <c r="AQ13" i="15"/>
  <c r="BR9" i="40"/>
  <c r="BN22" i="39"/>
  <c r="BU43" i="39"/>
  <c r="BU51" i="39"/>
  <c r="BM18" i="40"/>
  <c r="BL7" i="39"/>
  <c r="BL8" i="39" s="1"/>
  <c r="BL41" i="39" s="1"/>
  <c r="BE58" i="37"/>
  <c r="BA20" i="37"/>
  <c r="BA77" i="40" s="1"/>
  <c r="AM85" i="54"/>
  <c r="BS1" i="37"/>
  <c r="BS11" i="8"/>
  <c r="BT19" i="12"/>
  <c r="BS24" i="8"/>
  <c r="BS53" i="8"/>
  <c r="BT21" i="12"/>
  <c r="BS10" i="8"/>
  <c r="BS8" i="8"/>
  <c r="BQ71" i="8"/>
  <c r="BS50" i="8"/>
  <c r="BT50" i="12"/>
  <c r="BT61" i="12"/>
  <c r="BS52" i="8"/>
  <c r="BT35" i="12"/>
  <c r="BT59" i="12"/>
  <c r="BQ68" i="8"/>
  <c r="BT62" i="12"/>
  <c r="BT49" i="12"/>
  <c r="BT33" i="12"/>
  <c r="BT47" i="12"/>
  <c r="BQ70" i="8"/>
  <c r="BT22" i="12"/>
  <c r="BT36" i="12"/>
  <c r="AR3" i="15" l="1"/>
  <c r="BS7" i="37"/>
  <c r="BS5" i="36"/>
  <c r="BS6" i="40" s="1"/>
  <c r="BQ8" i="40"/>
  <c r="BO60" i="40"/>
  <c r="BU1" i="36"/>
  <c r="BT6" i="36"/>
  <c r="BS44" i="36"/>
  <c r="BS42" i="36" s="1"/>
  <c r="BS18" i="36"/>
  <c r="BO45" i="40"/>
  <c r="AM48" i="54"/>
  <c r="BK68" i="39"/>
  <c r="BK69" i="39" s="1"/>
  <c r="BK75" i="40" s="1"/>
  <c r="BQ11" i="40"/>
  <c r="BQ37" i="40" s="1"/>
  <c r="BN16" i="40"/>
  <c r="BN31" i="40" s="1"/>
  <c r="BQ24" i="12"/>
  <c r="BQ21" i="37" s="1"/>
  <c r="BQ77" i="8"/>
  <c r="BQ83" i="8" s="1"/>
  <c r="BQ76" i="8"/>
  <c r="BQ82" i="8" s="1"/>
  <c r="BQ74" i="8"/>
  <c r="BS63" i="8"/>
  <c r="BS7" i="8"/>
  <c r="BS27" i="8"/>
  <c r="BS60" i="8"/>
  <c r="BS49" i="8"/>
  <c r="BS29" i="8"/>
  <c r="BS30" i="8"/>
  <c r="BS62" i="8"/>
  <c r="BT18" i="12"/>
  <c r="BT32" i="12"/>
  <c r="BR27" i="12"/>
  <c r="BR25" i="12"/>
  <c r="BR41" i="12"/>
  <c r="BR42" i="12"/>
  <c r="BR39" i="12"/>
  <c r="BR28" i="12"/>
  <c r="BP44" i="8"/>
  <c r="BP9" i="12"/>
  <c r="BN5" i="12"/>
  <c r="BN58" i="12" s="1"/>
  <c r="BN46" i="12"/>
  <c r="BN53" i="12"/>
  <c r="BN65" i="12"/>
  <c r="BR5" i="40"/>
  <c r="BR9" i="39" s="1"/>
  <c r="BR7" i="40"/>
  <c r="BR8" i="40" s="1"/>
  <c r="BM52" i="12"/>
  <c r="AM53" i="54"/>
  <c r="BP80" i="8"/>
  <c r="BP73" i="8"/>
  <c r="BR13" i="8"/>
  <c r="BQ23" i="8"/>
  <c r="BQ37" i="8" s="1"/>
  <c r="BQ14" i="8"/>
  <c r="BM77" i="40"/>
  <c r="BM24" i="40"/>
  <c r="BM42" i="40"/>
  <c r="BM28" i="40"/>
  <c r="BM27" i="40" s="1"/>
  <c r="BM20" i="40"/>
  <c r="AH92" i="54" s="1"/>
  <c r="BM5" i="39"/>
  <c r="BM6" i="39" s="1"/>
  <c r="BM31" i="40"/>
  <c r="BR65" i="8"/>
  <c r="BO79" i="8"/>
  <c r="BO67" i="8"/>
  <c r="BO56" i="12"/>
  <c r="BO68" i="12"/>
  <c r="BP76" i="40"/>
  <c r="BP46" i="40"/>
  <c r="BP47" i="40"/>
  <c r="BP48" i="40"/>
  <c r="BP78" i="40"/>
  <c r="BP30" i="40"/>
  <c r="BP37" i="40"/>
  <c r="BP59" i="40"/>
  <c r="BP75" i="40"/>
  <c r="BP10" i="39"/>
  <c r="BO41" i="8"/>
  <c r="BO6" i="12"/>
  <c r="BO33" i="8"/>
  <c r="BO40" i="8" s="1"/>
  <c r="BN67" i="12"/>
  <c r="BN55" i="12"/>
  <c r="BK26" i="36"/>
  <c r="BL19" i="36"/>
  <c r="BL10" i="36" s="1"/>
  <c r="BK21" i="36"/>
  <c r="BL22" i="36" s="1"/>
  <c r="BO43" i="8"/>
  <c r="BO8" i="12"/>
  <c r="BS17" i="8"/>
  <c r="BS7" i="36" s="1"/>
  <c r="BS6" i="37" s="1"/>
  <c r="AN46" i="54"/>
  <c r="AN51" i="54" s="1"/>
  <c r="BS1" i="40"/>
  <c r="BT1" i="8"/>
  <c r="BS16" i="8"/>
  <c r="BS1" i="39"/>
  <c r="BS13" i="12"/>
  <c r="BS14" i="12" s="1"/>
  <c r="BM64" i="12"/>
  <c r="BQ38" i="12"/>
  <c r="BQ74" i="40" s="1"/>
  <c r="BU1" i="12"/>
  <c r="BR26" i="8"/>
  <c r="BQ12" i="37"/>
  <c r="BL70" i="12"/>
  <c r="BL71" i="12" s="1"/>
  <c r="BK16" i="39"/>
  <c r="BP20" i="8"/>
  <c r="BP34" i="8" s="1"/>
  <c r="BP22" i="8"/>
  <c r="BP36" i="8" s="1"/>
  <c r="AF99" i="54"/>
  <c r="BK23" i="40"/>
  <c r="BK22" i="40" s="1"/>
  <c r="BL17" i="39"/>
  <c r="BL16" i="36" s="1"/>
  <c r="BL23" i="39"/>
  <c r="BL21" i="39"/>
  <c r="BR59" i="8"/>
  <c r="BT53" i="39"/>
  <c r="BS70" i="39"/>
  <c r="BS71" i="39" s="1"/>
  <c r="AS1" i="15"/>
  <c r="AR13" i="15"/>
  <c r="BS9" i="40"/>
  <c r="BO22" i="39"/>
  <c r="BV43" i="39"/>
  <c r="BV51" i="39"/>
  <c r="BN18" i="40"/>
  <c r="BM7" i="39"/>
  <c r="BM8" i="39" s="1"/>
  <c r="BM41" i="39" s="1"/>
  <c r="BF64" i="37"/>
  <c r="BF61" i="37" s="1"/>
  <c r="BF60" i="37" s="1"/>
  <c r="BA18" i="37"/>
  <c r="BB25" i="37" s="1"/>
  <c r="BB22" i="37" s="1"/>
  <c r="AN85" i="54"/>
  <c r="BT1" i="37"/>
  <c r="BU61" i="12"/>
  <c r="BU35" i="12"/>
  <c r="BT11" i="8"/>
  <c r="BT50" i="8"/>
  <c r="BT53" i="8"/>
  <c r="BU19" i="12"/>
  <c r="BR70" i="8"/>
  <c r="BU22" i="12"/>
  <c r="BU59" i="12"/>
  <c r="BU62" i="12"/>
  <c r="BU33" i="12"/>
  <c r="BT8" i="8"/>
  <c r="BU36" i="12"/>
  <c r="BR68" i="8"/>
  <c r="BR71" i="8"/>
  <c r="BT52" i="8"/>
  <c r="BT24" i="8"/>
  <c r="BT10" i="8"/>
  <c r="BU49" i="12"/>
  <c r="BU50" i="12"/>
  <c r="BU47" i="12"/>
  <c r="BU21" i="12"/>
  <c r="AS3" i="15" l="1"/>
  <c r="BT7" i="37"/>
  <c r="BT5" i="36"/>
  <c r="BT6" i="40" s="1"/>
  <c r="BO16" i="40"/>
  <c r="BO28" i="40" s="1"/>
  <c r="BO27" i="40" s="1"/>
  <c r="BT44" i="36"/>
  <c r="BT42" i="36" s="1"/>
  <c r="BT18" i="36"/>
  <c r="BV1" i="36"/>
  <c r="BU6" i="36"/>
  <c r="BN5" i="39"/>
  <c r="BN6" i="39" s="1"/>
  <c r="BN21" i="39" s="1"/>
  <c r="BN77" i="40"/>
  <c r="BN42" i="40"/>
  <c r="BN24" i="40"/>
  <c r="BN20" i="40"/>
  <c r="AI92" i="54" s="1"/>
  <c r="BN28" i="40"/>
  <c r="BN27" i="40" s="1"/>
  <c r="BQ10" i="39"/>
  <c r="BQ59" i="40"/>
  <c r="BQ60" i="40" s="1"/>
  <c r="BQ46" i="40"/>
  <c r="BQ76" i="40"/>
  <c r="BQ48" i="40"/>
  <c r="BQ30" i="40"/>
  <c r="BQ47" i="40"/>
  <c r="BQ75" i="40"/>
  <c r="BQ78" i="40"/>
  <c r="BL68" i="39"/>
  <c r="BL69" i="39" s="1"/>
  <c r="BM70" i="12"/>
  <c r="BM71" i="12" s="1"/>
  <c r="AH99" i="54" s="1"/>
  <c r="BN64" i="12"/>
  <c r="BR11" i="40"/>
  <c r="BR30" i="40" s="1"/>
  <c r="BL16" i="39"/>
  <c r="BR76" i="8"/>
  <c r="BR82" i="8" s="1"/>
  <c r="BR74" i="8"/>
  <c r="BR77" i="8"/>
  <c r="BR83" i="8" s="1"/>
  <c r="BT30" i="8"/>
  <c r="BT29" i="8"/>
  <c r="BT63" i="8"/>
  <c r="BT27" i="8"/>
  <c r="BT7" i="8"/>
  <c r="BT62" i="8"/>
  <c r="BT49" i="8"/>
  <c r="BT60" i="8"/>
  <c r="BU18" i="12"/>
  <c r="BU32" i="12"/>
  <c r="BS42" i="12"/>
  <c r="BS39" i="12"/>
  <c r="BS41" i="12"/>
  <c r="BS27" i="12"/>
  <c r="BS25" i="12"/>
  <c r="BS28" i="12"/>
  <c r="BR24" i="12"/>
  <c r="BR21" i="37" s="1"/>
  <c r="BS59" i="8"/>
  <c r="BN52" i="12"/>
  <c r="AN53" i="54"/>
  <c r="BO67" i="12"/>
  <c r="BO55" i="12"/>
  <c r="BO5" i="12"/>
  <c r="BO58" i="12" s="1"/>
  <c r="BO65" i="12"/>
  <c r="BO46" i="12"/>
  <c r="BO53" i="12"/>
  <c r="BS65" i="8"/>
  <c r="BQ22" i="8"/>
  <c r="BQ36" i="8" s="1"/>
  <c r="BQ20" i="8"/>
  <c r="BQ34" i="8" s="1"/>
  <c r="BP68" i="12"/>
  <c r="BP56" i="12"/>
  <c r="AN48" i="54"/>
  <c r="BR12" i="37"/>
  <c r="BS26" i="8"/>
  <c r="BP45" i="40"/>
  <c r="BQ44" i="8"/>
  <c r="BQ9" i="12"/>
  <c r="BR19" i="40"/>
  <c r="BL26" i="36"/>
  <c r="BM19" i="36"/>
  <c r="BM10" i="36" s="1"/>
  <c r="BL21" i="36"/>
  <c r="BM22" i="36" s="1"/>
  <c r="BM17" i="39"/>
  <c r="BM16" i="36" s="1"/>
  <c r="BM23" i="39"/>
  <c r="BM21" i="39"/>
  <c r="BS13" i="8"/>
  <c r="BR23" i="8"/>
  <c r="BR37" i="8" s="1"/>
  <c r="BR14" i="8"/>
  <c r="BQ80" i="8"/>
  <c r="BQ73" i="8"/>
  <c r="AG99" i="54"/>
  <c r="BL23" i="40"/>
  <c r="BL22" i="40" s="1"/>
  <c r="BP43" i="8"/>
  <c r="BP8" i="12"/>
  <c r="BT17" i="8"/>
  <c r="BT7" i="36" s="1"/>
  <c r="BT6" i="37" s="1"/>
  <c r="AO46" i="54"/>
  <c r="AO51" i="54" s="1"/>
  <c r="BT1" i="40"/>
  <c r="BT1" i="39"/>
  <c r="BT13" i="12"/>
  <c r="BT14" i="12" s="1"/>
  <c r="BU1" i="8"/>
  <c r="BT16" i="8"/>
  <c r="BP67" i="8"/>
  <c r="BP79" i="8"/>
  <c r="BR38" i="12"/>
  <c r="BR74" i="40" s="1"/>
  <c r="BP41" i="8"/>
  <c r="BP33" i="8"/>
  <c r="BP40" i="8" s="1"/>
  <c r="BP6" i="12"/>
  <c r="BV1" i="12"/>
  <c r="BS7" i="40"/>
  <c r="BS8" i="40" s="1"/>
  <c r="BS5" i="40"/>
  <c r="BS9" i="39" s="1"/>
  <c r="BP60" i="40"/>
  <c r="BP72" i="40"/>
  <c r="BU53" i="39"/>
  <c r="BT70" i="39"/>
  <c r="BT71" i="39" s="1"/>
  <c r="BT9" i="40"/>
  <c r="AT1" i="15"/>
  <c r="AS13" i="15"/>
  <c r="BP22" i="39"/>
  <c r="BW51" i="39"/>
  <c r="BW43" i="39"/>
  <c r="BN7" i="39"/>
  <c r="BN8" i="39" s="1"/>
  <c r="BN41" i="39" s="1"/>
  <c r="BO18" i="40"/>
  <c r="BF58" i="37"/>
  <c r="BB20" i="37"/>
  <c r="BB77" i="40" s="1"/>
  <c r="AO85" i="54"/>
  <c r="BU1" i="37"/>
  <c r="BV22" i="12"/>
  <c r="BV35" i="12"/>
  <c r="BU10" i="8"/>
  <c r="BV49" i="12"/>
  <c r="BV62" i="12"/>
  <c r="BU8" i="8"/>
  <c r="BS68" i="8"/>
  <c r="BU53" i="8"/>
  <c r="BV36" i="12"/>
  <c r="BS70" i="8"/>
  <c r="BU24" i="8"/>
  <c r="BV50" i="12"/>
  <c r="BV19" i="12"/>
  <c r="BV21" i="12"/>
  <c r="BV61" i="12"/>
  <c r="BU11" i="8"/>
  <c r="BS71" i="8"/>
  <c r="BV47" i="12"/>
  <c r="BV59" i="12"/>
  <c r="BV33" i="12"/>
  <c r="BU50" i="8"/>
  <c r="BU52" i="8"/>
  <c r="AT3" i="15" l="1"/>
  <c r="BU5" i="36"/>
  <c r="BU6" i="40" s="1"/>
  <c r="BU7" i="37"/>
  <c r="BS19" i="40"/>
  <c r="BO24" i="40"/>
  <c r="BO77" i="40"/>
  <c r="BO31" i="40"/>
  <c r="BO5" i="39"/>
  <c r="BO6" i="39" s="1"/>
  <c r="BO21" i="39" s="1"/>
  <c r="BO20" i="40"/>
  <c r="AJ92" i="54" s="1"/>
  <c r="BO42" i="40"/>
  <c r="BN23" i="39"/>
  <c r="BN68" i="39" s="1"/>
  <c r="BU44" i="36"/>
  <c r="BU42" i="36" s="1"/>
  <c r="BU18" i="36"/>
  <c r="BV6" i="36"/>
  <c r="BW1" i="36"/>
  <c r="BW6" i="36" s="1"/>
  <c r="BN17" i="39"/>
  <c r="BN16" i="36" s="1"/>
  <c r="BN26" i="36" s="1"/>
  <c r="BR10" i="39"/>
  <c r="BN70" i="12"/>
  <c r="BN71" i="12" s="1"/>
  <c r="AI99" i="54" s="1"/>
  <c r="BS11" i="40"/>
  <c r="BS46" i="40" s="1"/>
  <c r="BR78" i="40"/>
  <c r="BM23" i="40"/>
  <c r="BM22" i="40" s="1"/>
  <c r="BR47" i="40"/>
  <c r="BR59" i="40"/>
  <c r="BR60" i="40" s="1"/>
  <c r="BR48" i="40"/>
  <c r="BR75" i="40"/>
  <c r="BR76" i="40"/>
  <c r="BR37" i="40"/>
  <c r="BM68" i="39"/>
  <c r="BM69" i="39" s="1"/>
  <c r="BQ45" i="40"/>
  <c r="BQ72" i="40"/>
  <c r="BO64" i="12"/>
  <c r="BS38" i="12"/>
  <c r="BS74" i="40" s="1"/>
  <c r="BP16" i="40"/>
  <c r="BP24" i="40" s="1"/>
  <c r="BO52" i="12"/>
  <c r="BR46" i="40"/>
  <c r="BS77" i="8"/>
  <c r="BS83" i="8" s="1"/>
  <c r="BS76" i="8"/>
  <c r="BS82" i="8" s="1"/>
  <c r="BS74" i="8"/>
  <c r="BU62" i="8"/>
  <c r="BU63" i="8"/>
  <c r="BU27" i="8"/>
  <c r="BU7" i="8"/>
  <c r="BU29" i="8"/>
  <c r="BU49" i="8"/>
  <c r="BU60" i="8"/>
  <c r="BU30" i="8"/>
  <c r="BV32" i="12"/>
  <c r="BV18" i="12"/>
  <c r="BT39" i="12"/>
  <c r="BT28" i="12"/>
  <c r="BT42" i="12"/>
  <c r="BT25" i="12"/>
  <c r="BT41" i="12"/>
  <c r="BT27" i="12"/>
  <c r="BT13" i="8"/>
  <c r="BS23" i="8"/>
  <c r="BS37" i="8" s="1"/>
  <c r="BS14" i="8"/>
  <c r="BR44" i="8"/>
  <c r="BR9" i="12"/>
  <c r="BT65" i="8"/>
  <c r="AO48" i="54"/>
  <c r="BT26" i="8"/>
  <c r="BS12" i="37"/>
  <c r="BT5" i="40"/>
  <c r="BT9" i="39" s="1"/>
  <c r="BT7" i="40"/>
  <c r="BT8" i="40" s="1"/>
  <c r="BQ79" i="8"/>
  <c r="BQ67" i="8"/>
  <c r="BM16" i="39"/>
  <c r="BQ56" i="12"/>
  <c r="BQ68" i="12"/>
  <c r="BP65" i="12"/>
  <c r="BP53" i="12"/>
  <c r="BP5" i="12"/>
  <c r="BP58" i="12" s="1"/>
  <c r="BP46" i="12"/>
  <c r="AP46" i="54"/>
  <c r="AP51" i="54" s="1"/>
  <c r="BU1" i="40"/>
  <c r="BU17" i="8"/>
  <c r="BU7" i="36" s="1"/>
  <c r="BU6" i="37" s="1"/>
  <c r="BU1" i="39"/>
  <c r="BU13" i="12"/>
  <c r="BU14" i="12" s="1"/>
  <c r="BV1" i="8"/>
  <c r="BU16" i="8"/>
  <c r="BM26" i="36"/>
  <c r="BM21" i="36"/>
  <c r="BN22" i="36" s="1"/>
  <c r="BN19" i="36"/>
  <c r="BN10" i="36" s="1"/>
  <c r="BP67" i="12"/>
  <c r="BP55" i="12"/>
  <c r="BS24" i="12"/>
  <c r="BS21" i="37" s="1"/>
  <c r="BT59" i="8"/>
  <c r="BW1" i="12"/>
  <c r="BQ6" i="12"/>
  <c r="BQ33" i="8"/>
  <c r="BQ40" i="8" s="1"/>
  <c r="BQ41" i="8"/>
  <c r="AO53" i="54"/>
  <c r="BR73" i="8"/>
  <c r="BR80" i="8"/>
  <c r="BR22" i="8"/>
  <c r="BR36" i="8" s="1"/>
  <c r="BR20" i="8"/>
  <c r="BR34" i="8" s="1"/>
  <c r="BQ8" i="12"/>
  <c r="BQ43" i="8"/>
  <c r="BV53" i="39"/>
  <c r="BU70" i="39"/>
  <c r="BU71" i="39" s="1"/>
  <c r="BU9" i="40"/>
  <c r="AT13" i="15"/>
  <c r="AU1" i="15"/>
  <c r="BQ22" i="39"/>
  <c r="BP18" i="40"/>
  <c r="BO7" i="39"/>
  <c r="BO8" i="39" s="1"/>
  <c r="BO41" i="39" s="1"/>
  <c r="BG64" i="37"/>
  <c r="BG61" i="37" s="1"/>
  <c r="BG60" i="37" s="1"/>
  <c r="BG58" i="37"/>
  <c r="BB18" i="37"/>
  <c r="BC25" i="37" s="1"/>
  <c r="BC22" i="37" s="1"/>
  <c r="AP85" i="54"/>
  <c r="BV1" i="37"/>
  <c r="BW59" i="12"/>
  <c r="BT70" i="8"/>
  <c r="BW36" i="12"/>
  <c r="BV8" i="8"/>
  <c r="BW19" i="12"/>
  <c r="BW22" i="12"/>
  <c r="BV50" i="8"/>
  <c r="BT68" i="8"/>
  <c r="BW61" i="12"/>
  <c r="BT71" i="8"/>
  <c r="BW21" i="12"/>
  <c r="BV11" i="8"/>
  <c r="BW33" i="12"/>
  <c r="BV52" i="8"/>
  <c r="BV10" i="8"/>
  <c r="BW47" i="12"/>
  <c r="BW49" i="12"/>
  <c r="BW50" i="12"/>
  <c r="BV24" i="8"/>
  <c r="BV53" i="8"/>
  <c r="BW35" i="12"/>
  <c r="BW62" i="12"/>
  <c r="AU3" i="15" l="1"/>
  <c r="BV7" i="37"/>
  <c r="BV5" i="36"/>
  <c r="BV6" i="40" s="1"/>
  <c r="BO23" i="39"/>
  <c r="BO68" i="39" s="1"/>
  <c r="BO17" i="39"/>
  <c r="BO16" i="36" s="1"/>
  <c r="BO21" i="36" s="1"/>
  <c r="BP22" i="36" s="1"/>
  <c r="BS78" i="40"/>
  <c r="BN21" i="36"/>
  <c r="BO22" i="36" s="1"/>
  <c r="BO19" i="36"/>
  <c r="BO10" i="36" s="1"/>
  <c r="BN23" i="40"/>
  <c r="BN22" i="40" s="1"/>
  <c r="BW44" i="36"/>
  <c r="BW42" i="36" s="1"/>
  <c r="BW18" i="36"/>
  <c r="BV44" i="36"/>
  <c r="BV42" i="36" s="1"/>
  <c r="BV18" i="36"/>
  <c r="BN16" i="39"/>
  <c r="BP28" i="40"/>
  <c r="BP27" i="40" s="1"/>
  <c r="BR72" i="40"/>
  <c r="BS30" i="40"/>
  <c r="BS10" i="39"/>
  <c r="BS75" i="40"/>
  <c r="BS47" i="40"/>
  <c r="BS76" i="40"/>
  <c r="BS37" i="40"/>
  <c r="BN69" i="39"/>
  <c r="BS59" i="40"/>
  <c r="BS72" i="40" s="1"/>
  <c r="BT11" i="40"/>
  <c r="BT75" i="40" s="1"/>
  <c r="BS48" i="40"/>
  <c r="BP20" i="40"/>
  <c r="AK92" i="54" s="1"/>
  <c r="BP31" i="40"/>
  <c r="BP5" i="39"/>
  <c r="BP6" i="39" s="1"/>
  <c r="BP17" i="39" s="1"/>
  <c r="BP16" i="36" s="1"/>
  <c r="BP42" i="40"/>
  <c r="BR45" i="40"/>
  <c r="BO70" i="12"/>
  <c r="BO71" i="12" s="1"/>
  <c r="BO23" i="40" s="1"/>
  <c r="BO22" i="40" s="1"/>
  <c r="BP77" i="40"/>
  <c r="BT24" i="12"/>
  <c r="BT21" i="37" s="1"/>
  <c r="BV63" i="8"/>
  <c r="BV7" i="8"/>
  <c r="BV27" i="8"/>
  <c r="BV30" i="8"/>
  <c r="BV29" i="8"/>
  <c r="BV49" i="8"/>
  <c r="BV60" i="8"/>
  <c r="BV62" i="8"/>
  <c r="BT76" i="8"/>
  <c r="BT82" i="8" s="1"/>
  <c r="BT77" i="8"/>
  <c r="BT83" i="8" s="1"/>
  <c r="BT74" i="8"/>
  <c r="BW18" i="12"/>
  <c r="BW32" i="12"/>
  <c r="BU42" i="12"/>
  <c r="BU39" i="12"/>
  <c r="BU25" i="12"/>
  <c r="BU27" i="12"/>
  <c r="BU41" i="12"/>
  <c r="BU28" i="12"/>
  <c r="BV1" i="39"/>
  <c r="BV13" i="12"/>
  <c r="BV14" i="12" s="1"/>
  <c r="AQ46" i="54"/>
  <c r="AQ51" i="54" s="1"/>
  <c r="BV1" i="40"/>
  <c r="BV17" i="8"/>
  <c r="BV7" i="36" s="1"/>
  <c r="BV6" i="37" s="1"/>
  <c r="BV16" i="8"/>
  <c r="BW1" i="8"/>
  <c r="BP52" i="12"/>
  <c r="BU65" i="8"/>
  <c r="BU13" i="8"/>
  <c r="BT23" i="8"/>
  <c r="BT37" i="8" s="1"/>
  <c r="BT14" i="8"/>
  <c r="AP48" i="54"/>
  <c r="BT12" i="37"/>
  <c r="BU26" i="8"/>
  <c r="BR79" i="8"/>
  <c r="BR67" i="8"/>
  <c r="BS9" i="12"/>
  <c r="BS44" i="8"/>
  <c r="BP64" i="12"/>
  <c r="BR56" i="12"/>
  <c r="BR68" i="12"/>
  <c r="BT38" i="12"/>
  <c r="BT74" i="40" s="1"/>
  <c r="BQ55" i="12"/>
  <c r="BQ67" i="12"/>
  <c r="BQ16" i="40"/>
  <c r="BR6" i="12"/>
  <c r="BR33" i="8"/>
  <c r="BR40" i="8" s="1"/>
  <c r="BR41" i="8"/>
  <c r="BQ46" i="12"/>
  <c r="BQ65" i="12"/>
  <c r="BQ53" i="12"/>
  <c r="BQ5" i="12"/>
  <c r="BQ58" i="12" s="1"/>
  <c r="BU5" i="40"/>
  <c r="BU9" i="39" s="1"/>
  <c r="BU7" i="40"/>
  <c r="BU8" i="40" s="1"/>
  <c r="BT19" i="40"/>
  <c r="BS80" i="8"/>
  <c r="BS73" i="8"/>
  <c r="BR43" i="8"/>
  <c r="BR8" i="12"/>
  <c r="BU59" i="8"/>
  <c r="BS22" i="8"/>
  <c r="BS36" i="8" s="1"/>
  <c r="BS20" i="8"/>
  <c r="BS34" i="8" s="1"/>
  <c r="AP53" i="54"/>
  <c r="BW53" i="39"/>
  <c r="BW70" i="39" s="1"/>
  <c r="BV70" i="39"/>
  <c r="BV71" i="39" s="1"/>
  <c r="AU13" i="15"/>
  <c r="BV9" i="40"/>
  <c r="BR22" i="39"/>
  <c r="BP7" i="39"/>
  <c r="BP8" i="39" s="1"/>
  <c r="BP41" i="39" s="1"/>
  <c r="BQ18" i="40"/>
  <c r="BH64" i="37"/>
  <c r="BH61" i="37" s="1"/>
  <c r="BH60" i="37" s="1"/>
  <c r="BC20" i="37"/>
  <c r="BC77" i="40" s="1"/>
  <c r="BW1" i="37"/>
  <c r="AR85" i="54" s="1"/>
  <c r="AQ85" i="54"/>
  <c r="BW50" i="8"/>
  <c r="BW10" i="8"/>
  <c r="BU68" i="8"/>
  <c r="BU70" i="8"/>
  <c r="BW8" i="8"/>
  <c r="BW53" i="8"/>
  <c r="BW24" i="8"/>
  <c r="BW11" i="8"/>
  <c r="BW52" i="8"/>
  <c r="BU71" i="8"/>
  <c r="BW5" i="36" l="1"/>
  <c r="BW6" i="40" s="1"/>
  <c r="BW7" i="37"/>
  <c r="BO26" i="36"/>
  <c r="BO16" i="39"/>
  <c r="BP19" i="36"/>
  <c r="BP10" i="36" s="1"/>
  <c r="BT59" i="40"/>
  <c r="BT72" i="40" s="1"/>
  <c r="BT37" i="40"/>
  <c r="BP21" i="39"/>
  <c r="BT47" i="40"/>
  <c r="BT78" i="40"/>
  <c r="BT48" i="40"/>
  <c r="BS45" i="40"/>
  <c r="BP23" i="39"/>
  <c r="AJ99" i="54"/>
  <c r="BQ52" i="12"/>
  <c r="BT10" i="39"/>
  <c r="BT76" i="40"/>
  <c r="BT30" i="40"/>
  <c r="BS60" i="40"/>
  <c r="BT46" i="40"/>
  <c r="AQ48" i="54"/>
  <c r="BU11" i="40"/>
  <c r="BU76" i="40" s="1"/>
  <c r="BP70" i="12"/>
  <c r="BP71" i="12" s="1"/>
  <c r="BP23" i="40" s="1"/>
  <c r="BP22" i="40" s="1"/>
  <c r="BW63" i="8"/>
  <c r="BW27" i="8"/>
  <c r="BW7" i="8"/>
  <c r="BW30" i="8"/>
  <c r="BW29" i="8"/>
  <c r="BW49" i="8"/>
  <c r="BW60" i="8"/>
  <c r="BW62" i="8"/>
  <c r="BU77" i="8"/>
  <c r="BU83" i="8" s="1"/>
  <c r="BU76" i="8"/>
  <c r="BU82" i="8" s="1"/>
  <c r="BU74" i="8"/>
  <c r="BV41" i="12"/>
  <c r="BV25" i="12"/>
  <c r="BV39" i="12"/>
  <c r="BV42" i="12"/>
  <c r="BV27" i="12"/>
  <c r="BV28" i="12"/>
  <c r="BR65" i="12"/>
  <c r="BR53" i="12"/>
  <c r="BR5" i="12"/>
  <c r="BR58" i="12" s="1"/>
  <c r="BR46" i="12"/>
  <c r="BQ28" i="40"/>
  <c r="BQ27" i="40" s="1"/>
  <c r="BQ24" i="40"/>
  <c r="BQ5" i="39"/>
  <c r="BQ6" i="39" s="1"/>
  <c r="BQ20" i="40"/>
  <c r="AL92" i="54" s="1"/>
  <c r="BQ42" i="40"/>
  <c r="BQ77" i="40"/>
  <c r="BQ31" i="40"/>
  <c r="BU24" i="12"/>
  <c r="BU21" i="37" s="1"/>
  <c r="BU38" i="12"/>
  <c r="BU74" i="40" s="1"/>
  <c r="BV59" i="8"/>
  <c r="BS33" i="8"/>
  <c r="BS40" i="8" s="1"/>
  <c r="BS41" i="8"/>
  <c r="BS6" i="12"/>
  <c r="BQ64" i="12"/>
  <c r="BT22" i="8"/>
  <c r="BT36" i="8" s="1"/>
  <c r="BT20" i="8"/>
  <c r="BT34" i="8" s="1"/>
  <c r="AR46" i="54"/>
  <c r="AR51" i="54" s="1"/>
  <c r="BW1" i="39"/>
  <c r="BW13" i="12"/>
  <c r="BW14" i="12" s="1"/>
  <c r="BW1" i="40"/>
  <c r="BW16" i="8"/>
  <c r="BW17" i="8"/>
  <c r="BW7" i="36" s="1"/>
  <c r="BW6" i="37" s="1"/>
  <c r="X48" i="54"/>
  <c r="N48" i="54"/>
  <c r="AC48" i="54"/>
  <c r="R48" i="54"/>
  <c r="AB48" i="54"/>
  <c r="S48" i="54"/>
  <c r="W48" i="54"/>
  <c r="O48" i="54"/>
  <c r="AE48" i="54"/>
  <c r="AQ53" i="54"/>
  <c r="BS43" i="8"/>
  <c r="BS8" i="12"/>
  <c r="BS79" i="8"/>
  <c r="BS67" i="8"/>
  <c r="BT9" i="12"/>
  <c r="BT44" i="8"/>
  <c r="BV26" i="8"/>
  <c r="BU12" i="37"/>
  <c r="BS68" i="12"/>
  <c r="BS56" i="12"/>
  <c r="BV13" i="8"/>
  <c r="BU23" i="8"/>
  <c r="BU37" i="8" s="1"/>
  <c r="BU14" i="8"/>
  <c r="BR55" i="12"/>
  <c r="BR67" i="12"/>
  <c r="BU19" i="40"/>
  <c r="BR16" i="40"/>
  <c r="BQ19" i="36"/>
  <c r="BQ10" i="36" s="1"/>
  <c r="BP21" i="36"/>
  <c r="BQ22" i="36" s="1"/>
  <c r="BP26" i="36"/>
  <c r="BV65" i="8"/>
  <c r="BV5" i="40"/>
  <c r="BV9" i="39" s="1"/>
  <c r="BV7" i="40"/>
  <c r="BV8" i="40" s="1"/>
  <c r="BT80" i="8"/>
  <c r="BT73" i="8"/>
  <c r="BW71" i="39"/>
  <c r="BW9" i="40"/>
  <c r="BS22" i="39"/>
  <c r="BR18" i="40"/>
  <c r="BQ7" i="39"/>
  <c r="BQ8" i="39" s="1"/>
  <c r="BQ41" i="39" s="1"/>
  <c r="BO69" i="39"/>
  <c r="BH58" i="37"/>
  <c r="BC18" i="37"/>
  <c r="BD25" i="37" s="1"/>
  <c r="BD22" i="37" s="1"/>
  <c r="BV71" i="8"/>
  <c r="BV68" i="8"/>
  <c r="BV70" i="8"/>
  <c r="BT60" i="40" l="1"/>
  <c r="BP68" i="39"/>
  <c r="BP69" i="39" s="1"/>
  <c r="BT45" i="40"/>
  <c r="BP16" i="39"/>
  <c r="BQ70" i="12"/>
  <c r="BQ71" i="12" s="1"/>
  <c r="BQ23" i="40" s="1"/>
  <c r="BQ22" i="40" s="1"/>
  <c r="BU10" i="39"/>
  <c r="BU37" i="40"/>
  <c r="BU75" i="40"/>
  <c r="BU30" i="40"/>
  <c r="BU78" i="40"/>
  <c r="BU47" i="40"/>
  <c r="BU59" i="40"/>
  <c r="BU60" i="40" s="1"/>
  <c r="BU48" i="40"/>
  <c r="BU46" i="40"/>
  <c r="BV24" i="12"/>
  <c r="BV21" i="37" s="1"/>
  <c r="BS16" i="40"/>
  <c r="BS20" i="40" s="1"/>
  <c r="AN92" i="54" s="1"/>
  <c r="BV74" i="8"/>
  <c r="BV76" i="8"/>
  <c r="BV82" i="8" s="1"/>
  <c r="BV77" i="8"/>
  <c r="BV83" i="8" s="1"/>
  <c r="BW41" i="12"/>
  <c r="BW27" i="12"/>
  <c r="BW28" i="12"/>
  <c r="BW42" i="12"/>
  <c r="BW25" i="12"/>
  <c r="BW39" i="12"/>
  <c r="BU22" i="8"/>
  <c r="BU36" i="8" s="1"/>
  <c r="BU20" i="8"/>
  <c r="BU34" i="8" s="1"/>
  <c r="BV11" i="40"/>
  <c r="BT79" i="8"/>
  <c r="BT67" i="8"/>
  <c r="BU9" i="12"/>
  <c r="BU44" i="8"/>
  <c r="BT33" i="8"/>
  <c r="BT40" i="8" s="1"/>
  <c r="BT6" i="12"/>
  <c r="BT41" i="8"/>
  <c r="BV38" i="12"/>
  <c r="BV74" i="40" s="1"/>
  <c r="BW59" i="8"/>
  <c r="BW13" i="8"/>
  <c r="BW23" i="8" s="1"/>
  <c r="BW37" i="8" s="1"/>
  <c r="BV23" i="8"/>
  <c r="BV37" i="8" s="1"/>
  <c r="BV14" i="8"/>
  <c r="BT43" i="8"/>
  <c r="BT8" i="12"/>
  <c r="BR52" i="12"/>
  <c r="AR53" i="54"/>
  <c r="BV19" i="40"/>
  <c r="BW19" i="40" s="1"/>
  <c r="BT68" i="12"/>
  <c r="BT56" i="12"/>
  <c r="BR64" i="12"/>
  <c r="BQ23" i="39"/>
  <c r="BQ17" i="39"/>
  <c r="BQ16" i="36" s="1"/>
  <c r="BQ21" i="39"/>
  <c r="BR77" i="40"/>
  <c r="BR42" i="40"/>
  <c r="BR20" i="40"/>
  <c r="AM92" i="54" s="1"/>
  <c r="BR28" i="40"/>
  <c r="BR27" i="40" s="1"/>
  <c r="BR5" i="39"/>
  <c r="BR6" i="39" s="1"/>
  <c r="BR24" i="40"/>
  <c r="BR31" i="40"/>
  <c r="BW7" i="40"/>
  <c r="BW8" i="40" s="1"/>
  <c r="BW5" i="40"/>
  <c r="BW9" i="39" s="1"/>
  <c r="C236" i="54"/>
  <c r="B87" i="54"/>
  <c r="F236" i="54"/>
  <c r="D236" i="54"/>
  <c r="E236" i="54"/>
  <c r="G236" i="54"/>
  <c r="H236" i="54"/>
  <c r="I236" i="54"/>
  <c r="J236" i="54"/>
  <c r="K236" i="54"/>
  <c r="L236" i="54"/>
  <c r="BS65" i="12"/>
  <c r="BS53" i="12"/>
  <c r="BS46" i="12"/>
  <c r="BS5" i="12"/>
  <c r="BS58" i="12" s="1"/>
  <c r="BU80" i="8"/>
  <c r="BU73" i="8"/>
  <c r="BV12" i="37"/>
  <c r="BU13" i="37" s="1"/>
  <c r="BU11" i="37" s="1"/>
  <c r="BU53" i="37" s="1"/>
  <c r="BW26" i="8"/>
  <c r="BW65" i="8"/>
  <c r="BS67" i="12"/>
  <c r="BS55" i="12"/>
  <c r="X18" i="41"/>
  <c r="G18" i="41"/>
  <c r="AB18" i="41"/>
  <c r="I18" i="41"/>
  <c r="C18" i="41"/>
  <c r="U18" i="41"/>
  <c r="Y18" i="41"/>
  <c r="R18" i="41"/>
  <c r="N18" i="41"/>
  <c r="D18" i="41"/>
  <c r="T18" i="41"/>
  <c r="AE18" i="41"/>
  <c r="L18" i="41"/>
  <c r="P18" i="41"/>
  <c r="M18" i="41"/>
  <c r="S18" i="41"/>
  <c r="AD18" i="41"/>
  <c r="O18" i="41"/>
  <c r="J18" i="41"/>
  <c r="AC18" i="41"/>
  <c r="AA18" i="41"/>
  <c r="Z18" i="41"/>
  <c r="F18" i="41"/>
  <c r="K18" i="41"/>
  <c r="W18" i="41"/>
  <c r="Q18" i="41"/>
  <c r="E18" i="41"/>
  <c r="H18" i="41"/>
  <c r="AF18" i="41"/>
  <c r="V18" i="41"/>
  <c r="BT22" i="39"/>
  <c r="BS18" i="40"/>
  <c r="BR7" i="39"/>
  <c r="BR8" i="39" s="1"/>
  <c r="BR41" i="39" s="1"/>
  <c r="BI64" i="37"/>
  <c r="BI61" i="37" s="1"/>
  <c r="BI60" i="37" s="1"/>
  <c r="BD20" i="37"/>
  <c r="BD77" i="40" s="1"/>
  <c r="BW71" i="8"/>
  <c r="BW70" i="8"/>
  <c r="BW68" i="8"/>
  <c r="BU72" i="40" l="1"/>
  <c r="BW11" i="40"/>
  <c r="BW59" i="40" s="1"/>
  <c r="BS5" i="39"/>
  <c r="BS6" i="39" s="1"/>
  <c r="BS21" i="39" s="1"/>
  <c r="BQ68" i="39"/>
  <c r="BQ69" i="39" s="1"/>
  <c r="BU45" i="40"/>
  <c r="BS31" i="40"/>
  <c r="BS24" i="40"/>
  <c r="BS77" i="40"/>
  <c r="BS42" i="40"/>
  <c r="BS28" i="40"/>
  <c r="BS27" i="40" s="1"/>
  <c r="BQ16" i="39"/>
  <c r="BW24" i="12"/>
  <c r="BW21" i="37" s="1"/>
  <c r="BR70" i="12"/>
  <c r="BR71" i="12" s="1"/>
  <c r="BR23" i="40" s="1"/>
  <c r="BR22" i="40" s="1"/>
  <c r="BT13" i="37"/>
  <c r="BT11" i="37" s="1"/>
  <c r="BT53" i="37" s="1"/>
  <c r="BT16" i="40"/>
  <c r="BT5" i="39" s="1"/>
  <c r="BT6" i="39" s="1"/>
  <c r="BT21" i="39" s="1"/>
  <c r="BW76" i="8"/>
  <c r="BW82" i="8" s="1"/>
  <c r="BW77" i="8"/>
  <c r="BW83" i="8" s="1"/>
  <c r="BW74" i="8"/>
  <c r="BU79" i="8"/>
  <c r="BU67" i="8"/>
  <c r="BV44" i="8"/>
  <c r="BV9" i="12"/>
  <c r="BQ13" i="37"/>
  <c r="BQ11" i="37" s="1"/>
  <c r="BQ53" i="37" s="1"/>
  <c r="BV76" i="40"/>
  <c r="BV30" i="40"/>
  <c r="BV37" i="40"/>
  <c r="BV59" i="40"/>
  <c r="BV78" i="40"/>
  <c r="BV46" i="40"/>
  <c r="BV47" i="40"/>
  <c r="BV48" i="40"/>
  <c r="BV75" i="40"/>
  <c r="BV10" i="39"/>
  <c r="BW44" i="8"/>
  <c r="BU68" i="12"/>
  <c r="BU56" i="12"/>
  <c r="BR13" i="37"/>
  <c r="BR11" i="37" s="1"/>
  <c r="BR53" i="37" s="1"/>
  <c r="BS52" i="12"/>
  <c r="BQ26" i="36"/>
  <c r="BQ21" i="36"/>
  <c r="BR22" i="36" s="1"/>
  <c r="BR19" i="36"/>
  <c r="BR10" i="36" s="1"/>
  <c r="BU33" i="8"/>
  <c r="BU40" i="8" s="1"/>
  <c r="BU6" i="12"/>
  <c r="BU41" i="8"/>
  <c r="BS64" i="12"/>
  <c r="BU43" i="8"/>
  <c r="BU8" i="12"/>
  <c r="BW14" i="8"/>
  <c r="BR17" i="39"/>
  <c r="BR16" i="36" s="1"/>
  <c r="BR23" i="39"/>
  <c r="BR21" i="39"/>
  <c r="BT67" i="12"/>
  <c r="BT55" i="12"/>
  <c r="BW38" i="12"/>
  <c r="BW74" i="40" s="1"/>
  <c r="BT5" i="12"/>
  <c r="BT58" i="12" s="1"/>
  <c r="BT65" i="12"/>
  <c r="BT53" i="12"/>
  <c r="BT46" i="12"/>
  <c r="BV13" i="37"/>
  <c r="BV11" i="37" s="1"/>
  <c r="BV53" i="37" s="1"/>
  <c r="AJ13" i="37"/>
  <c r="AJ11" i="37" s="1"/>
  <c r="AJ53" i="37" s="1"/>
  <c r="AL13" i="37"/>
  <c r="AL11" i="37" s="1"/>
  <c r="AL53" i="37" s="1"/>
  <c r="AH13" i="37"/>
  <c r="AH11" i="37" s="1"/>
  <c r="AH53" i="37" s="1"/>
  <c r="AN13" i="37"/>
  <c r="AN11" i="37" s="1"/>
  <c r="AN53" i="37" s="1"/>
  <c r="AK13" i="37"/>
  <c r="AK11" i="37" s="1"/>
  <c r="AK53" i="37" s="1"/>
  <c r="AF13" i="37"/>
  <c r="AI13" i="37"/>
  <c r="AI11" i="37" s="1"/>
  <c r="AI53" i="37" s="1"/>
  <c r="AO13" i="37"/>
  <c r="AO11" i="37" s="1"/>
  <c r="AO53" i="37" s="1"/>
  <c r="AG13" i="37"/>
  <c r="AG11" i="37" s="1"/>
  <c r="AM13" i="37"/>
  <c r="AM11" i="37" s="1"/>
  <c r="AM53" i="37" s="1"/>
  <c r="AP13" i="37"/>
  <c r="AP11" i="37" s="1"/>
  <c r="AP53" i="37" s="1"/>
  <c r="AQ13" i="37"/>
  <c r="AQ11" i="37" s="1"/>
  <c r="AQ53" i="37" s="1"/>
  <c r="AR13" i="37"/>
  <c r="AR11" i="37" s="1"/>
  <c r="AR53" i="37" s="1"/>
  <c r="AS13" i="37"/>
  <c r="AS11" i="37" s="1"/>
  <c r="AS53" i="37" s="1"/>
  <c r="AU13" i="37"/>
  <c r="AU11" i="37" s="1"/>
  <c r="AU53" i="37" s="1"/>
  <c r="AV13" i="37"/>
  <c r="AV11" i="37" s="1"/>
  <c r="AV53" i="37" s="1"/>
  <c r="AT13" i="37"/>
  <c r="AT11" i="37" s="1"/>
  <c r="AT53" i="37" s="1"/>
  <c r="AX13" i="37"/>
  <c r="AX11" i="37" s="1"/>
  <c r="AX53" i="37" s="1"/>
  <c r="AW13" i="37"/>
  <c r="AW11" i="37" s="1"/>
  <c r="AW53" i="37" s="1"/>
  <c r="AY13" i="37"/>
  <c r="AY11" i="37" s="1"/>
  <c r="AY53" i="37" s="1"/>
  <c r="AZ13" i="37"/>
  <c r="AZ11" i="37" s="1"/>
  <c r="AZ53" i="37" s="1"/>
  <c r="BA13" i="37"/>
  <c r="BA11" i="37" s="1"/>
  <c r="BA53" i="37" s="1"/>
  <c r="BB13" i="37"/>
  <c r="BB11" i="37" s="1"/>
  <c r="BB53" i="37" s="1"/>
  <c r="BC13" i="37"/>
  <c r="BC11" i="37" s="1"/>
  <c r="BC53" i="37" s="1"/>
  <c r="BD13" i="37"/>
  <c r="BD11" i="37" s="1"/>
  <c r="BD53" i="37" s="1"/>
  <c r="BE13" i="37"/>
  <c r="BE11" i="37" s="1"/>
  <c r="BE53" i="37" s="1"/>
  <c r="BG13" i="37"/>
  <c r="BG11" i="37" s="1"/>
  <c r="BG53" i="37" s="1"/>
  <c r="BF13" i="37"/>
  <c r="BF11" i="37" s="1"/>
  <c r="BF53" i="37" s="1"/>
  <c r="BH13" i="37"/>
  <c r="BH11" i="37" s="1"/>
  <c r="BH53" i="37" s="1"/>
  <c r="BI13" i="37"/>
  <c r="BI11" i="37" s="1"/>
  <c r="BI53" i="37" s="1"/>
  <c r="BJ13" i="37"/>
  <c r="BJ11" i="37" s="1"/>
  <c r="BJ53" i="37" s="1"/>
  <c r="BM13" i="37"/>
  <c r="BM11" i="37" s="1"/>
  <c r="BM53" i="37" s="1"/>
  <c r="BK13" i="37"/>
  <c r="BK11" i="37" s="1"/>
  <c r="BK53" i="37" s="1"/>
  <c r="BL13" i="37"/>
  <c r="BL11" i="37" s="1"/>
  <c r="BL53" i="37" s="1"/>
  <c r="BO13" i="37"/>
  <c r="BO11" i="37" s="1"/>
  <c r="BO53" i="37" s="1"/>
  <c r="BN13" i="37"/>
  <c r="BN11" i="37" s="1"/>
  <c r="BN53" i="37" s="1"/>
  <c r="BS13" i="37"/>
  <c r="BS11" i="37" s="1"/>
  <c r="BS53" i="37" s="1"/>
  <c r="BV20" i="8"/>
  <c r="BV34" i="8" s="1"/>
  <c r="BV22" i="8"/>
  <c r="BV36" i="8" s="1"/>
  <c r="BP13" i="37"/>
  <c r="BP11" i="37" s="1"/>
  <c r="BP53" i="37" s="1"/>
  <c r="BV73" i="8"/>
  <c r="BV80" i="8"/>
  <c r="BU22" i="39"/>
  <c r="BT18" i="40"/>
  <c r="BS7" i="39"/>
  <c r="BS8" i="39" s="1"/>
  <c r="BS41" i="39" s="1"/>
  <c r="BI58" i="37"/>
  <c r="BD18" i="37"/>
  <c r="BE25" i="37" s="1"/>
  <c r="BE22" i="37" s="1"/>
  <c r="BW48" i="40" l="1"/>
  <c r="BW78" i="40"/>
  <c r="BW46" i="40"/>
  <c r="BW10" i="39"/>
  <c r="BW75" i="40"/>
  <c r="BW76" i="40"/>
  <c r="BW30" i="40"/>
  <c r="BW47" i="40"/>
  <c r="BW37" i="40"/>
  <c r="BT77" i="40"/>
  <c r="BT42" i="40"/>
  <c r="BT20" i="40"/>
  <c r="AO92" i="54" s="1"/>
  <c r="BT28" i="40"/>
  <c r="BT27" i="40" s="1"/>
  <c r="BS23" i="39"/>
  <c r="BS68" i="39" s="1"/>
  <c r="BS17" i="39"/>
  <c r="BS16" i="36" s="1"/>
  <c r="BT19" i="36" s="1"/>
  <c r="BT10" i="36" s="1"/>
  <c r="BT24" i="40"/>
  <c r="BT31" i="40"/>
  <c r="BU16" i="40"/>
  <c r="BU42" i="40" s="1"/>
  <c r="AF11" i="37"/>
  <c r="AF53" i="37" s="1"/>
  <c r="BW9" i="12"/>
  <c r="BW68" i="12" s="1"/>
  <c r="BR68" i="39"/>
  <c r="BR69" i="39" s="1"/>
  <c r="BT64" i="12"/>
  <c r="BS70" i="12"/>
  <c r="BS71" i="12" s="1"/>
  <c r="BS23" i="40" s="1"/>
  <c r="BS22" i="40" s="1"/>
  <c r="BT52" i="12"/>
  <c r="BV45" i="40"/>
  <c r="BV41" i="8"/>
  <c r="BV6" i="12"/>
  <c r="BV33" i="8"/>
  <c r="BV40" i="8" s="1"/>
  <c r="BV56" i="12"/>
  <c r="BV68" i="12"/>
  <c r="BT17" i="39"/>
  <c r="BT16" i="36" s="1"/>
  <c r="BT23" i="39"/>
  <c r="BU53" i="12"/>
  <c r="BU65" i="12"/>
  <c r="BU5" i="12"/>
  <c r="BU58" i="12" s="1"/>
  <c r="BU46" i="12"/>
  <c r="BV72" i="40"/>
  <c r="BV60" i="40"/>
  <c r="BR21" i="36"/>
  <c r="BS22" i="36" s="1"/>
  <c r="BS19" i="36"/>
  <c r="BS10" i="36" s="1"/>
  <c r="BR26" i="36"/>
  <c r="AG24" i="37"/>
  <c r="AG23" i="37" s="1"/>
  <c r="AG53" i="37"/>
  <c r="AG63" i="37" s="1"/>
  <c r="AG57" i="37" s="1"/>
  <c r="BW20" i="8"/>
  <c r="BW34" i="8" s="1"/>
  <c r="BW22" i="8"/>
  <c r="BW36" i="8" s="1"/>
  <c r="BW73" i="8"/>
  <c r="BW80" i="8"/>
  <c r="BR16" i="39"/>
  <c r="BU67" i="12"/>
  <c r="BU55" i="12"/>
  <c r="BV67" i="8"/>
  <c r="BV79" i="8"/>
  <c r="BV43" i="8"/>
  <c r="BV8" i="12"/>
  <c r="BW72" i="40"/>
  <c r="BW60" i="40"/>
  <c r="BV22" i="39"/>
  <c r="BU18" i="40"/>
  <c r="BT7" i="39"/>
  <c r="BT8" i="39" s="1"/>
  <c r="BT41" i="39" s="1"/>
  <c r="BJ64" i="37"/>
  <c r="BJ61" i="37" s="1"/>
  <c r="BJ60" i="37" s="1"/>
  <c r="BJ58" i="37"/>
  <c r="BE20" i="37"/>
  <c r="BE77" i="40" s="1"/>
  <c r="BW45" i="40" l="1"/>
  <c r="BU31" i="40"/>
  <c r="BS26" i="36"/>
  <c r="BS21" i="36"/>
  <c r="BT22" i="36" s="1"/>
  <c r="BU28" i="40"/>
  <c r="BU27" i="40" s="1"/>
  <c r="BU77" i="40"/>
  <c r="BU24" i="40"/>
  <c r="BU20" i="40"/>
  <c r="AP92" i="54" s="1"/>
  <c r="BU5" i="39"/>
  <c r="BU6" i="39" s="1"/>
  <c r="BU21" i="39" s="1"/>
  <c r="BS16" i="39"/>
  <c r="BW56" i="12"/>
  <c r="BT16" i="39"/>
  <c r="BT70" i="12"/>
  <c r="BT71" i="12" s="1"/>
  <c r="BT23" i="40" s="1"/>
  <c r="BT22" i="40" s="1"/>
  <c r="BS69" i="39"/>
  <c r="BV16" i="40"/>
  <c r="BV31" i="40" s="1"/>
  <c r="BW79" i="8"/>
  <c r="BW67" i="8"/>
  <c r="BU64" i="12"/>
  <c r="BV55" i="12"/>
  <c r="BV67" i="12"/>
  <c r="BV65" i="12"/>
  <c r="BV53" i="12"/>
  <c r="BV46" i="12"/>
  <c r="BV5" i="12"/>
  <c r="BV58" i="12" s="1"/>
  <c r="BW8" i="12"/>
  <c r="BW43" i="8"/>
  <c r="BW33" i="8"/>
  <c r="BW40" i="8" s="1"/>
  <c r="BW6" i="12"/>
  <c r="BW41" i="8"/>
  <c r="BU52" i="12"/>
  <c r="AG62" i="37"/>
  <c r="AG20" i="40" s="1"/>
  <c r="BU19" i="36"/>
  <c r="BU10" i="36" s="1"/>
  <c r="BT26" i="36"/>
  <c r="BT21" i="36"/>
  <c r="BU22" i="36" s="1"/>
  <c r="BW22" i="39"/>
  <c r="BT68" i="39"/>
  <c r="BT69" i="39" s="1"/>
  <c r="BU7" i="39"/>
  <c r="BU8" i="39" s="1"/>
  <c r="BU41" i="39" s="1"/>
  <c r="BW18" i="40"/>
  <c r="BV18" i="40"/>
  <c r="BK64" i="37"/>
  <c r="BK61" i="37" s="1"/>
  <c r="BK60" i="37" s="1"/>
  <c r="BE18" i="37"/>
  <c r="BF25" i="37" s="1"/>
  <c r="BF22" i="37" s="1"/>
  <c r="BK58" i="37" l="1"/>
  <c r="BU17" i="39"/>
  <c r="BU16" i="36" s="1"/>
  <c r="BU26" i="36" s="1"/>
  <c r="BU23" i="39"/>
  <c r="BU68" i="39" s="1"/>
  <c r="BU69" i="39" s="1"/>
  <c r="BV52" i="12"/>
  <c r="BV64" i="12"/>
  <c r="BV24" i="40"/>
  <c r="BV5" i="39"/>
  <c r="BV6" i="39" s="1"/>
  <c r="BV21" i="39" s="1"/>
  <c r="BV28" i="40"/>
  <c r="BV27" i="40" s="1"/>
  <c r="BV20" i="40"/>
  <c r="AQ92" i="54" s="1"/>
  <c r="BW16" i="40"/>
  <c r="BW24" i="40" s="1"/>
  <c r="BV42" i="40"/>
  <c r="BV77" i="40"/>
  <c r="BW5" i="12"/>
  <c r="BW58" i="12" s="1"/>
  <c r="BW46" i="12"/>
  <c r="BW65" i="12"/>
  <c r="BW53" i="12"/>
  <c r="BU70" i="12"/>
  <c r="BU71" i="12" s="1"/>
  <c r="BU23" i="40" s="1"/>
  <c r="BU22" i="40" s="1"/>
  <c r="AH63" i="37"/>
  <c r="AH62" i="37" s="1"/>
  <c r="AG56" i="37"/>
  <c r="AG32" i="39" s="1"/>
  <c r="BW67" i="12"/>
  <c r="BW55" i="12"/>
  <c r="B92" i="54"/>
  <c r="AG73" i="40"/>
  <c r="AG64" i="40"/>
  <c r="AG17" i="40"/>
  <c r="AG26" i="40" s="1"/>
  <c r="AG44" i="40" s="1"/>
  <c r="BV7" i="39"/>
  <c r="BV8" i="39" s="1"/>
  <c r="BV41" i="39" s="1"/>
  <c r="BW7" i="39"/>
  <c r="BW8" i="39" s="1"/>
  <c r="BW41" i="39" s="1"/>
  <c r="BL64" i="37"/>
  <c r="BL61" i="37" s="1"/>
  <c r="BL60" i="37" s="1"/>
  <c r="BF20" i="37"/>
  <c r="BF77" i="40" s="1"/>
  <c r="BL58" i="37" l="1"/>
  <c r="BU16" i="39"/>
  <c r="BV19" i="36"/>
  <c r="BV10" i="36" s="1"/>
  <c r="BU21" i="36"/>
  <c r="BV22" i="36" s="1"/>
  <c r="BW5" i="39"/>
  <c r="BW6" i="39" s="1"/>
  <c r="BW21" i="39" s="1"/>
  <c r="BW28" i="40"/>
  <c r="BW27" i="40" s="1"/>
  <c r="BW31" i="40"/>
  <c r="BV70" i="12"/>
  <c r="BV71" i="12" s="1"/>
  <c r="BV23" i="40" s="1"/>
  <c r="BV22" i="40" s="1"/>
  <c r="BW77" i="40"/>
  <c r="BW42" i="40"/>
  <c r="BW20" i="40"/>
  <c r="AR92" i="54" s="1"/>
  <c r="BW52" i="12"/>
  <c r="BW64" i="12"/>
  <c r="AH57" i="37"/>
  <c r="AH56" i="37" s="1"/>
  <c r="AH32" i="39" s="1"/>
  <c r="BV17" i="39"/>
  <c r="BV16" i="36" s="1"/>
  <c r="BV26" i="36" s="1"/>
  <c r="BV23" i="39"/>
  <c r="BV68" i="39" s="1"/>
  <c r="AG63" i="39"/>
  <c r="AG63" i="40"/>
  <c r="AG65" i="40" s="1"/>
  <c r="AG49" i="40"/>
  <c r="BM64" i="37"/>
  <c r="BM61" i="37" s="1"/>
  <c r="BM60" i="37" s="1"/>
  <c r="BM58" i="37"/>
  <c r="BF18" i="37"/>
  <c r="BG25" i="37" s="1"/>
  <c r="BG22" i="37" s="1"/>
  <c r="AG52" i="40" l="1"/>
  <c r="AG55" i="40" s="1"/>
  <c r="AG59" i="40" s="1"/>
  <c r="BW17" i="39"/>
  <c r="BW16" i="36" s="1"/>
  <c r="BW26" i="36" s="1"/>
  <c r="AI63" i="37"/>
  <c r="AI62" i="37" s="1"/>
  <c r="BW23" i="39"/>
  <c r="BW68" i="39" s="1"/>
  <c r="BW69" i="39" s="1"/>
  <c r="BW70" i="12"/>
  <c r="BW71" i="12" s="1"/>
  <c r="BW23" i="40" s="1"/>
  <c r="BW22" i="40" s="1"/>
  <c r="BW19" i="36"/>
  <c r="BW10" i="36" s="1"/>
  <c r="BV21" i="36"/>
  <c r="BW22" i="36" s="1"/>
  <c r="BV16" i="39"/>
  <c r="AG67" i="40"/>
  <c r="AG28" i="36" s="1"/>
  <c r="AG29" i="36" s="1"/>
  <c r="AG66" i="40"/>
  <c r="BV69" i="39"/>
  <c r="BN64" i="37"/>
  <c r="BN61" i="37" s="1"/>
  <c r="BN60" i="37" s="1"/>
  <c r="BG77" i="40"/>
  <c r="AG51" i="40" l="1"/>
  <c r="BW21" i="36"/>
  <c r="BN58" i="37"/>
  <c r="AI57" i="37"/>
  <c r="AI56" i="37" s="1"/>
  <c r="AI32" i="39" s="1"/>
  <c r="BW16" i="39"/>
  <c r="AG60" i="40"/>
  <c r="AG72" i="40"/>
  <c r="AG71" i="40" s="1"/>
  <c r="AG80" i="40" s="1"/>
  <c r="E5" i="15" s="1"/>
  <c r="E103" i="15" s="1"/>
  <c r="E118" i="15" s="1"/>
  <c r="BO64" i="37"/>
  <c r="BO61" i="37" s="1"/>
  <c r="BO60" i="37" s="1"/>
  <c r="BG18" i="37"/>
  <c r="BH25" i="37" s="1"/>
  <c r="BH22" i="37" s="1"/>
  <c r="E120" i="15" l="1"/>
  <c r="E105" i="15"/>
  <c r="AJ63" i="37"/>
  <c r="AJ62" i="37" s="1"/>
  <c r="B153" i="54"/>
  <c r="BO58" i="37"/>
  <c r="BH20" i="37"/>
  <c r="BH77" i="40" s="1"/>
  <c r="AJ57" i="37" l="1"/>
  <c r="AJ56" i="37" s="1"/>
  <c r="AJ32" i="39" s="1"/>
  <c r="BP64" i="37"/>
  <c r="BP61" i="37" s="1"/>
  <c r="BP60" i="37" s="1"/>
  <c r="BH18" i="37"/>
  <c r="BI25" i="37" s="1"/>
  <c r="BI22" i="37" s="1"/>
  <c r="AG17" i="37"/>
  <c r="AK63" i="37" l="1"/>
  <c r="AK62" i="37" s="1"/>
  <c r="BP58" i="37"/>
  <c r="BI20" i="37"/>
  <c r="BI77" i="40" s="1"/>
  <c r="AG16" i="37"/>
  <c r="AG31" i="39" s="1"/>
  <c r="AG21" i="40" s="1"/>
  <c r="AH24" i="37"/>
  <c r="AK57" i="37" l="1"/>
  <c r="BQ64" i="37"/>
  <c r="BQ61" i="37" s="1"/>
  <c r="BQ60" i="37" s="1"/>
  <c r="AG28" i="39"/>
  <c r="BI18" i="37"/>
  <c r="AH17" i="37"/>
  <c r="AI24" i="37" s="1"/>
  <c r="AI23" i="37" s="1"/>
  <c r="AI20" i="40" s="1"/>
  <c r="AH23" i="37"/>
  <c r="AH20" i="40" s="1"/>
  <c r="AK56" i="37" l="1"/>
  <c r="AK32" i="39" s="1"/>
  <c r="AL63" i="37"/>
  <c r="C92" i="54"/>
  <c r="D92" i="54"/>
  <c r="AI64" i="40"/>
  <c r="AI73" i="40"/>
  <c r="AI17" i="40"/>
  <c r="AH64" i="40"/>
  <c r="AH73" i="40"/>
  <c r="AH17" i="40"/>
  <c r="BQ58" i="37"/>
  <c r="AH16" i="37"/>
  <c r="AH31" i="39" s="1"/>
  <c r="AH28" i="39" s="1"/>
  <c r="AI17" i="37"/>
  <c r="AJ24" i="37" s="1"/>
  <c r="AJ23" i="37" s="1"/>
  <c r="AJ20" i="40" s="1"/>
  <c r="AG15" i="39"/>
  <c r="AG54" i="39" s="1"/>
  <c r="BJ25" i="37"/>
  <c r="AG64" i="39" l="1"/>
  <c r="AL62" i="37"/>
  <c r="AL57" i="37"/>
  <c r="E92" i="54"/>
  <c r="AH26" i="40"/>
  <c r="AH44" i="40" s="1"/>
  <c r="AI26" i="40"/>
  <c r="AI44" i="40" s="1"/>
  <c r="AJ73" i="40"/>
  <c r="AJ64" i="40"/>
  <c r="AJ17" i="40"/>
  <c r="AJ17" i="37"/>
  <c r="AK24" i="37" s="1"/>
  <c r="AK23" i="37" s="1"/>
  <c r="AK20" i="40" s="1"/>
  <c r="BR64" i="37"/>
  <c r="BR61" i="37" s="1"/>
  <c r="BR60" i="37" s="1"/>
  <c r="AH21" i="40"/>
  <c r="AI16" i="37"/>
  <c r="AI31" i="39" s="1"/>
  <c r="AI28" i="39" s="1"/>
  <c r="AH15" i="39"/>
  <c r="BJ22" i="37"/>
  <c r="BJ20" i="37" s="1"/>
  <c r="BJ77" i="40" s="1"/>
  <c r="BR58" i="37" l="1"/>
  <c r="AM63" i="37"/>
  <c r="AM62" i="37" s="1"/>
  <c r="AL56" i="37"/>
  <c r="AL32" i="39" s="1"/>
  <c r="F92" i="54"/>
  <c r="AJ16" i="37"/>
  <c r="AJ31" i="39" s="1"/>
  <c r="AJ28" i="39" s="1"/>
  <c r="AI63" i="40"/>
  <c r="AI65" i="40" s="1"/>
  <c r="AI66" i="40" s="1"/>
  <c r="AH63" i="40"/>
  <c r="AH65" i="40" s="1"/>
  <c r="AH66" i="40" s="1"/>
  <c r="AH49" i="40"/>
  <c r="AK64" i="40"/>
  <c r="AK73" i="40"/>
  <c r="AK17" i="40"/>
  <c r="AK17" i="37"/>
  <c r="AL24" i="37" s="1"/>
  <c r="AL23" i="37" s="1"/>
  <c r="AL20" i="40" s="1"/>
  <c r="AJ26" i="40"/>
  <c r="AJ44" i="40" s="1"/>
  <c r="BS64" i="37"/>
  <c r="BS61" i="37" s="1"/>
  <c r="BS60" i="37" s="1"/>
  <c r="BJ18" i="37"/>
  <c r="BK25" i="37" s="1"/>
  <c r="BK22" i="37" s="1"/>
  <c r="BK20" i="37" s="1"/>
  <c r="BK77" i="40" s="1"/>
  <c r="AI21" i="40"/>
  <c r="AI15" i="39"/>
  <c r="BS58" i="37" l="1"/>
  <c r="AM57" i="37"/>
  <c r="AM56" i="37" s="1"/>
  <c r="AM32" i="39" s="1"/>
  <c r="G92" i="54"/>
  <c r="AK16" i="37"/>
  <c r="AK31" i="39" s="1"/>
  <c r="AK21" i="40" s="1"/>
  <c r="AJ21" i="40"/>
  <c r="AL17" i="37"/>
  <c r="AM24" i="37" s="1"/>
  <c r="AM23" i="37" s="1"/>
  <c r="AM20" i="40" s="1"/>
  <c r="AH52" i="40"/>
  <c r="AH55" i="40" s="1"/>
  <c r="AH59" i="40" s="1"/>
  <c r="AH67" i="40"/>
  <c r="AH28" i="36"/>
  <c r="AH29" i="36" s="1"/>
  <c r="AL73" i="40"/>
  <c r="AL64" i="40"/>
  <c r="AL17" i="40"/>
  <c r="AJ63" i="40"/>
  <c r="AJ65" i="40" s="1"/>
  <c r="AJ66" i="40" s="1"/>
  <c r="AK26" i="40"/>
  <c r="AK44" i="40" s="1"/>
  <c r="AI67" i="40"/>
  <c r="AI28" i="36"/>
  <c r="AI29" i="36" s="1"/>
  <c r="BT64" i="37"/>
  <c r="BT61" i="37" s="1"/>
  <c r="BT60" i="37" s="1"/>
  <c r="AJ15" i="39"/>
  <c r="BK18" i="37"/>
  <c r="BL25" i="37" s="1"/>
  <c r="BL22" i="37" s="1"/>
  <c r="AN63" i="37" l="1"/>
  <c r="AN62" i="37" s="1"/>
  <c r="H92" i="54"/>
  <c r="AM64" i="40"/>
  <c r="AK28" i="39"/>
  <c r="AK15" i="39" s="1"/>
  <c r="AM17" i="37"/>
  <c r="AN24" i="37" s="1"/>
  <c r="AN23" i="37" s="1"/>
  <c r="AL16" i="37"/>
  <c r="AL31" i="39" s="1"/>
  <c r="AL28" i="39" s="1"/>
  <c r="AM73" i="40"/>
  <c r="AM17" i="40"/>
  <c r="AM26" i="40" s="1"/>
  <c r="AM44" i="40" s="1"/>
  <c r="AI27" i="36"/>
  <c r="AH60" i="40"/>
  <c r="AH72" i="40"/>
  <c r="AH71" i="40" s="1"/>
  <c r="AK63" i="40"/>
  <c r="AK65" i="40" s="1"/>
  <c r="AK66" i="40" s="1"/>
  <c r="AH51" i="40"/>
  <c r="AJ28" i="36"/>
  <c r="AJ29" i="36" s="1"/>
  <c r="AJ67" i="40"/>
  <c r="AL26" i="40"/>
  <c r="AL44" i="40" s="1"/>
  <c r="BT58" i="37"/>
  <c r="BL20" i="37"/>
  <c r="AN20" i="40" l="1"/>
  <c r="AN73" i="40" s="1"/>
  <c r="AN57" i="37"/>
  <c r="AO63" i="37" s="1"/>
  <c r="AO62" i="37" s="1"/>
  <c r="AN17" i="37"/>
  <c r="AO24" i="37" s="1"/>
  <c r="AO23" i="37" s="1"/>
  <c r="AM16" i="37"/>
  <c r="AM31" i="39" s="1"/>
  <c r="AM21" i="40" s="1"/>
  <c r="AL21" i="40"/>
  <c r="AI78" i="40"/>
  <c r="AI63" i="39" s="1"/>
  <c r="AJ40" i="36"/>
  <c r="AH27" i="36"/>
  <c r="AH78" i="40" s="1"/>
  <c r="AJ27" i="36"/>
  <c r="AM63" i="40"/>
  <c r="AM65" i="40" s="1"/>
  <c r="AM66" i="40" s="1"/>
  <c r="AL63" i="40"/>
  <c r="AL65" i="40" s="1"/>
  <c r="AL66" i="40" s="1"/>
  <c r="AK28" i="36"/>
  <c r="AK29" i="36" s="1"/>
  <c r="AK67" i="40"/>
  <c r="BU64" i="37"/>
  <c r="BU61" i="37" s="1"/>
  <c r="BU60" i="37" s="1"/>
  <c r="AL15" i="39"/>
  <c r="BL18" i="37"/>
  <c r="BM25" i="37" s="1"/>
  <c r="BM22" i="37" s="1"/>
  <c r="AN17" i="40" l="1"/>
  <c r="AN26" i="40" s="1"/>
  <c r="AN44" i="40" s="1"/>
  <c r="AN63" i="40" s="1"/>
  <c r="AN64" i="40"/>
  <c r="I92" i="54"/>
  <c r="AN56" i="37"/>
  <c r="AN32" i="39" s="1"/>
  <c r="AO57" i="37"/>
  <c r="AO20" i="40"/>
  <c r="AO17" i="40" s="1"/>
  <c r="AO26" i="40" s="1"/>
  <c r="AO44" i="40" s="1"/>
  <c r="AO17" i="37"/>
  <c r="AP24" i="37" s="1"/>
  <c r="AP23" i="37" s="1"/>
  <c r="AN16" i="37"/>
  <c r="AN31" i="39" s="1"/>
  <c r="AN21" i="40" s="1"/>
  <c r="AM28" i="39"/>
  <c r="AM15" i="39" s="1"/>
  <c r="AH80" i="40"/>
  <c r="F5" i="15" s="1"/>
  <c r="F103" i="15" s="1"/>
  <c r="F118" i="15" s="1"/>
  <c r="F120" i="15" s="1"/>
  <c r="AI39" i="36"/>
  <c r="AI11" i="36" s="1"/>
  <c r="AI40" i="36"/>
  <c r="AI12" i="36" s="1"/>
  <c r="AI48" i="40" s="1"/>
  <c r="AJ11" i="36"/>
  <c r="AJ12" i="36"/>
  <c r="AH49" i="39"/>
  <c r="AH48" i="39" s="1"/>
  <c r="AH44" i="39"/>
  <c r="AH39" i="39" s="1"/>
  <c r="AI49" i="39"/>
  <c r="AI48" i="39" s="1"/>
  <c r="AI44" i="39"/>
  <c r="AI39" i="39" s="1"/>
  <c r="AJ78" i="40"/>
  <c r="AK40" i="36"/>
  <c r="AH63" i="39"/>
  <c r="AK27" i="36"/>
  <c r="AL67" i="40"/>
  <c r="AL28" i="36"/>
  <c r="AL29" i="36" s="1"/>
  <c r="AM67" i="40"/>
  <c r="AM28" i="36"/>
  <c r="AM29" i="36" s="1"/>
  <c r="BU58" i="37"/>
  <c r="BM20" i="37"/>
  <c r="F105" i="15" l="1"/>
  <c r="AI54" i="39"/>
  <c r="AH54" i="39"/>
  <c r="AH64" i="39" s="1"/>
  <c r="AO73" i="40"/>
  <c r="J92" i="54"/>
  <c r="AO64" i="40"/>
  <c r="AN65" i="40"/>
  <c r="AN66" i="40" s="1"/>
  <c r="AP63" i="37"/>
  <c r="AP62" i="37" s="1"/>
  <c r="AP20" i="40" s="1"/>
  <c r="K92" i="54" s="1"/>
  <c r="AO56" i="37"/>
  <c r="AO32" i="39" s="1"/>
  <c r="AJ48" i="40"/>
  <c r="AJ9" i="36"/>
  <c r="AN28" i="39"/>
  <c r="AO16" i="37"/>
  <c r="AO31" i="39" s="1"/>
  <c r="AO21" i="40" s="1"/>
  <c r="AP17" i="37"/>
  <c r="AQ24" i="37" s="1"/>
  <c r="AQ23" i="37" s="1"/>
  <c r="AK11" i="36"/>
  <c r="AK47" i="40" s="1"/>
  <c r="AK12" i="36"/>
  <c r="AK48" i="40" s="1"/>
  <c r="AJ63" i="39"/>
  <c r="AI47" i="40"/>
  <c r="AI45" i="40" s="1"/>
  <c r="AI9" i="36"/>
  <c r="AJ49" i="39"/>
  <c r="AJ48" i="39" s="1"/>
  <c r="AJ44" i="39"/>
  <c r="AJ39" i="39" s="1"/>
  <c r="AK78" i="40"/>
  <c r="AJ47" i="40"/>
  <c r="AM27" i="36"/>
  <c r="AL27" i="36"/>
  <c r="AO63" i="40"/>
  <c r="BV64" i="37"/>
  <c r="BV61" i="37" s="1"/>
  <c r="BV60" i="37" s="1"/>
  <c r="BV58" i="37"/>
  <c r="BM18" i="37"/>
  <c r="BN25" i="37" s="1"/>
  <c r="BN22" i="37" s="1"/>
  <c r="AI64" i="39" l="1"/>
  <c r="AJ54" i="39"/>
  <c r="AJ64" i="39" s="1"/>
  <c r="AO65" i="40"/>
  <c r="AO66" i="40" s="1"/>
  <c r="AJ45" i="40"/>
  <c r="AJ49" i="40" s="1"/>
  <c r="AN28" i="36"/>
  <c r="AN29" i="36" s="1"/>
  <c r="AN67" i="40"/>
  <c r="AP73" i="40"/>
  <c r="AP57" i="37"/>
  <c r="AP17" i="40"/>
  <c r="AP26" i="40" s="1"/>
  <c r="AP44" i="40" s="1"/>
  <c r="AP63" i="40" s="1"/>
  <c r="AP64" i="40"/>
  <c r="AN15" i="39"/>
  <c r="AP16" i="37"/>
  <c r="AP31" i="39" s="1"/>
  <c r="AO28" i="39"/>
  <c r="AO15" i="39" s="1"/>
  <c r="AQ17" i="37"/>
  <c r="AR24" i="37" s="1"/>
  <c r="AR23" i="37" s="1"/>
  <c r="C153" i="54"/>
  <c r="AK9" i="36"/>
  <c r="AK45" i="40"/>
  <c r="AL39" i="36"/>
  <c r="AL11" i="36" s="1"/>
  <c r="AL47" i="40" s="1"/>
  <c r="AL40" i="36"/>
  <c r="AL12" i="36" s="1"/>
  <c r="AL48" i="40" s="1"/>
  <c r="AN39" i="36"/>
  <c r="AN11" i="36" s="1"/>
  <c r="AN47" i="40" s="1"/>
  <c r="AN40" i="36"/>
  <c r="AN12" i="36" s="1"/>
  <c r="AN48" i="40" s="1"/>
  <c r="AK63" i="39"/>
  <c r="AM44" i="39"/>
  <c r="AM39" i="39" s="1"/>
  <c r="AM49" i="39"/>
  <c r="AM48" i="39" s="1"/>
  <c r="AI49" i="40"/>
  <c r="AL78" i="40"/>
  <c r="AK49" i="39"/>
  <c r="AK48" i="39" s="1"/>
  <c r="AK44" i="39"/>
  <c r="AK39" i="39" s="1"/>
  <c r="AM78" i="40"/>
  <c r="AN27" i="36"/>
  <c r="BW64" i="37"/>
  <c r="BW61" i="37" s="1"/>
  <c r="BW60" i="37" s="1"/>
  <c r="BN20" i="37"/>
  <c r="AO67" i="40" l="1"/>
  <c r="AO28" i="36"/>
  <c r="AO29" i="36" s="1"/>
  <c r="AM54" i="39"/>
  <c r="AK54" i="39"/>
  <c r="AK64" i="39" s="1"/>
  <c r="AP65" i="40"/>
  <c r="AP66" i="40" s="1"/>
  <c r="AP56" i="37"/>
  <c r="AP32" i="39" s="1"/>
  <c r="AP28" i="39" s="1"/>
  <c r="AQ63" i="37"/>
  <c r="BW58" i="37"/>
  <c r="AP21" i="40"/>
  <c r="AQ16" i="37"/>
  <c r="AQ31" i="39" s="1"/>
  <c r="AR17" i="37"/>
  <c r="AS24" i="37" s="1"/>
  <c r="AS23" i="37" s="1"/>
  <c r="AL45" i="40"/>
  <c r="AK49" i="40"/>
  <c r="AK52" i="40" s="1"/>
  <c r="AK55" i="40" s="1"/>
  <c r="AK59" i="40" s="1"/>
  <c r="AN9" i="36"/>
  <c r="AL9" i="36"/>
  <c r="AN45" i="40"/>
  <c r="AM39" i="36"/>
  <c r="AM11" i="36" s="1"/>
  <c r="AM47" i="40" s="1"/>
  <c r="AM40" i="36"/>
  <c r="AM12" i="36" s="1"/>
  <c r="AM48" i="40" s="1"/>
  <c r="AL63" i="39"/>
  <c r="AI52" i="40"/>
  <c r="AI55" i="40" s="1"/>
  <c r="AI59" i="40" s="1"/>
  <c r="AJ52" i="40"/>
  <c r="AJ55" i="40" s="1"/>
  <c r="AJ59" i="40" s="1"/>
  <c r="AN78" i="40"/>
  <c r="AN63" i="39" s="1"/>
  <c r="AL44" i="39"/>
  <c r="AL39" i="39" s="1"/>
  <c r="AL49" i="39"/>
  <c r="AL48" i="39" s="1"/>
  <c r="AM63" i="39"/>
  <c r="AO27" i="36"/>
  <c r="BN18" i="37"/>
  <c r="BO25" i="37" s="1"/>
  <c r="BO22" i="37" s="1"/>
  <c r="AL54" i="39" l="1"/>
  <c r="AL64" i="39" s="1"/>
  <c r="AP67" i="40"/>
  <c r="AP28" i="36"/>
  <c r="AP29" i="36" s="1"/>
  <c r="AP15" i="39"/>
  <c r="AQ62" i="37"/>
  <c r="AQ20" i="40" s="1"/>
  <c r="AQ21" i="40" s="1"/>
  <c r="AQ57" i="37"/>
  <c r="AR16" i="37"/>
  <c r="AR31" i="39" s="1"/>
  <c r="AS17" i="37"/>
  <c r="AT24" i="37" s="1"/>
  <c r="AT23" i="37" s="1"/>
  <c r="AL49" i="40"/>
  <c r="AL52" i="40" s="1"/>
  <c r="AM9" i="36"/>
  <c r="AN49" i="40"/>
  <c r="AN52" i="40" s="1"/>
  <c r="AN55" i="40" s="1"/>
  <c r="AN59" i="40" s="1"/>
  <c r="AM45" i="40"/>
  <c r="AO39" i="36"/>
  <c r="AO11" i="36" s="1"/>
  <c r="AO47" i="40" s="1"/>
  <c r="AO40" i="36"/>
  <c r="AO12" i="36" s="1"/>
  <c r="AO48" i="40" s="1"/>
  <c r="AK60" i="40"/>
  <c r="AK72" i="40"/>
  <c r="AK71" i="40" s="1"/>
  <c r="AK80" i="40" s="1"/>
  <c r="I5" i="15" s="1"/>
  <c r="I103" i="15" s="1"/>
  <c r="I118" i="15" s="1"/>
  <c r="I120" i="15" s="1"/>
  <c r="AK51" i="40"/>
  <c r="AJ72" i="40"/>
  <c r="AJ71" i="40" s="1"/>
  <c r="AJ80" i="40" s="1"/>
  <c r="H5" i="15" s="1"/>
  <c r="H103" i="15" s="1"/>
  <c r="H118" i="15" s="1"/>
  <c r="H120" i="15" s="1"/>
  <c r="AJ60" i="40"/>
  <c r="AN44" i="39"/>
  <c r="AN39" i="39" s="1"/>
  <c r="AN49" i="39"/>
  <c r="AN48" i="39" s="1"/>
  <c r="AJ51" i="40"/>
  <c r="AI72" i="40"/>
  <c r="AI71" i="40" s="1"/>
  <c r="AI80" i="40" s="1"/>
  <c r="G5" i="15" s="1"/>
  <c r="G103" i="15" s="1"/>
  <c r="G118" i="15" s="1"/>
  <c r="G120" i="15" s="1"/>
  <c r="AI60" i="40"/>
  <c r="AO78" i="40"/>
  <c r="AI51" i="40"/>
  <c r="AP27" i="36"/>
  <c r="BO20" i="37"/>
  <c r="I105" i="15" l="1"/>
  <c r="H105" i="15"/>
  <c r="G105" i="15"/>
  <c r="AM64" i="39"/>
  <c r="AN54" i="39"/>
  <c r="AN64" i="39" s="1"/>
  <c r="AR63" i="37"/>
  <c r="AR62" i="37" s="1"/>
  <c r="AR20" i="40" s="1"/>
  <c r="AR21" i="40" s="1"/>
  <c r="AQ56" i="37"/>
  <c r="AQ32" i="39" s="1"/>
  <c r="AQ28" i="39" s="1"/>
  <c r="AQ64" i="40"/>
  <c r="AQ17" i="40"/>
  <c r="AQ26" i="40" s="1"/>
  <c r="AQ44" i="40" s="1"/>
  <c r="AQ63" i="40" s="1"/>
  <c r="AQ73" i="40"/>
  <c r="L92" i="54"/>
  <c r="AS16" i="37"/>
  <c r="AS31" i="39" s="1"/>
  <c r="AT17" i="37"/>
  <c r="AU24" i="37" s="1"/>
  <c r="AU23" i="37" s="1"/>
  <c r="AL51" i="40"/>
  <c r="AL55" i="40"/>
  <c r="AL59" i="40" s="1"/>
  <c r="AL72" i="40" s="1"/>
  <c r="AL71" i="40" s="1"/>
  <c r="AL80" i="40" s="1"/>
  <c r="J5" i="15" s="1"/>
  <c r="J103" i="15" s="1"/>
  <c r="J118" i="15" s="1"/>
  <c r="J120" i="15" s="1"/>
  <c r="AM49" i="40"/>
  <c r="AM52" i="40" s="1"/>
  <c r="AM51" i="40" s="1"/>
  <c r="AO45" i="40"/>
  <c r="AO9" i="36"/>
  <c r="AP39" i="36"/>
  <c r="AP11" i="36" s="1"/>
  <c r="AP47" i="40" s="1"/>
  <c r="AP40" i="36"/>
  <c r="AP12" i="36" s="1"/>
  <c r="AP48" i="40" s="1"/>
  <c r="AN60" i="40"/>
  <c r="AN72" i="40"/>
  <c r="AN71" i="40" s="1"/>
  <c r="AN80" i="40" s="1"/>
  <c r="L5" i="15" s="1"/>
  <c r="L103" i="15" s="1"/>
  <c r="L118" i="15" s="1"/>
  <c r="L120" i="15" s="1"/>
  <c r="AN51" i="40"/>
  <c r="AO63" i="39"/>
  <c r="AP78" i="40"/>
  <c r="AP63" i="39" s="1"/>
  <c r="AO49" i="39"/>
  <c r="AO48" i="39" s="1"/>
  <c r="AO44" i="39"/>
  <c r="AO39" i="39" s="1"/>
  <c r="E153" i="54"/>
  <c r="AQ27" i="36"/>
  <c r="BO18" i="37"/>
  <c r="BP25" i="37" s="1"/>
  <c r="BP22" i="37" s="1"/>
  <c r="J105" i="15" l="1"/>
  <c r="L105" i="15"/>
  <c r="AO54" i="39"/>
  <c r="AO64" i="39" s="1"/>
  <c r="AQ65" i="40"/>
  <c r="AQ66" i="40" s="1"/>
  <c r="AR57" i="37"/>
  <c r="AS63" i="37" s="1"/>
  <c r="AS62" i="37" s="1"/>
  <c r="AS20" i="40" s="1"/>
  <c r="AS73" i="40" s="1"/>
  <c r="AQ15" i="39"/>
  <c r="AR73" i="40"/>
  <c r="AR17" i="40"/>
  <c r="AR26" i="40" s="1"/>
  <c r="AR44" i="40" s="1"/>
  <c r="AR63" i="40" s="1"/>
  <c r="AR64" i="40"/>
  <c r="M92" i="54"/>
  <c r="AU17" i="37"/>
  <c r="AV24" i="37" s="1"/>
  <c r="AV23" i="37" s="1"/>
  <c r="AT16" i="37"/>
  <c r="AT31" i="39" s="1"/>
  <c r="D153" i="54"/>
  <c r="F153" i="54"/>
  <c r="AL60" i="40"/>
  <c r="AM55" i="40"/>
  <c r="AM59" i="40" s="1"/>
  <c r="AM72" i="40" s="1"/>
  <c r="AM71" i="40" s="1"/>
  <c r="AM80" i="40" s="1"/>
  <c r="K5" i="15" s="1"/>
  <c r="K103" i="15" s="1"/>
  <c r="K118" i="15" s="1"/>
  <c r="K120" i="15" s="1"/>
  <c r="AO49" i="40"/>
  <c r="AO52" i="40" s="1"/>
  <c r="AO51" i="40" s="1"/>
  <c r="AP9" i="36"/>
  <c r="AP45" i="40"/>
  <c r="I153" i="54"/>
  <c r="AQ39" i="36"/>
  <c r="AQ11" i="36" s="1"/>
  <c r="AQ40" i="36"/>
  <c r="AQ12" i="36" s="1"/>
  <c r="AQ48" i="40" s="1"/>
  <c r="AP49" i="39"/>
  <c r="AP48" i="39" s="1"/>
  <c r="AP44" i="39"/>
  <c r="AP39" i="39" s="1"/>
  <c r="AQ78" i="40"/>
  <c r="AQ63" i="39" s="1"/>
  <c r="AR27" i="36"/>
  <c r="BP20" i="37"/>
  <c r="K105" i="15" l="1"/>
  <c r="AQ28" i="36"/>
  <c r="AQ29" i="36" s="1"/>
  <c r="AQ67" i="40"/>
  <c r="AP54" i="39"/>
  <c r="AP64" i="39" s="1"/>
  <c r="AS57" i="37"/>
  <c r="AS56" i="37" s="1"/>
  <c r="AS32" i="39" s="1"/>
  <c r="AS28" i="39" s="1"/>
  <c r="N92" i="54"/>
  <c r="AS64" i="40"/>
  <c r="AS21" i="40"/>
  <c r="AS17" i="40"/>
  <c r="AS26" i="40" s="1"/>
  <c r="AS44" i="40" s="1"/>
  <c r="AS63" i="40" s="1"/>
  <c r="AR56" i="37"/>
  <c r="AR32" i="39" s="1"/>
  <c r="AR28" i="39" s="1"/>
  <c r="AR15" i="39" s="1"/>
  <c r="AR65" i="40"/>
  <c r="AU16" i="37"/>
  <c r="AU31" i="39" s="1"/>
  <c r="AV17" i="37"/>
  <c r="AW24" i="37" s="1"/>
  <c r="AW23" i="37" s="1"/>
  <c r="L71" i="15"/>
  <c r="AM60" i="40"/>
  <c r="AO55" i="40"/>
  <c r="AO59" i="40" s="1"/>
  <c r="AO72" i="40" s="1"/>
  <c r="AO71" i="40" s="1"/>
  <c r="AO80" i="40" s="1"/>
  <c r="M5" i="15" s="1"/>
  <c r="M103" i="15" s="1"/>
  <c r="M118" i="15" s="1"/>
  <c r="M120" i="15" s="1"/>
  <c r="AP49" i="40"/>
  <c r="AP52" i="40" s="1"/>
  <c r="AP51" i="40" s="1"/>
  <c r="AQ9" i="36"/>
  <c r="AQ47" i="40"/>
  <c r="AQ45" i="40" s="1"/>
  <c r="AR39" i="36"/>
  <c r="AR11" i="36" s="1"/>
  <c r="AR47" i="40" s="1"/>
  <c r="AR40" i="36"/>
  <c r="AR12" i="36" s="1"/>
  <c r="AR48" i="40" s="1"/>
  <c r="AR78" i="40"/>
  <c r="AQ49" i="39"/>
  <c r="AQ48" i="39" s="1"/>
  <c r="AQ44" i="39"/>
  <c r="AQ39" i="39" s="1"/>
  <c r="AS27" i="36"/>
  <c r="BP18" i="37"/>
  <c r="BQ25" i="37" s="1"/>
  <c r="BQ22" i="37" s="1"/>
  <c r="M105" i="15" l="1"/>
  <c r="AQ54" i="39"/>
  <c r="AQ64" i="39" s="1"/>
  <c r="AT63" i="37"/>
  <c r="AT62" i="37" s="1"/>
  <c r="AT20" i="40" s="1"/>
  <c r="AT21" i="40" s="1"/>
  <c r="AS65" i="40"/>
  <c r="AS66" i="40" s="1"/>
  <c r="AR66" i="40"/>
  <c r="AR28" i="36"/>
  <c r="AR29" i="36" s="1"/>
  <c r="AR67" i="40"/>
  <c r="AS15" i="39"/>
  <c r="AW17" i="37"/>
  <c r="AX24" i="37" s="1"/>
  <c r="AX23" i="37" s="1"/>
  <c r="AV16" i="37"/>
  <c r="AV31" i="39" s="1"/>
  <c r="H153" i="54"/>
  <c r="G153" i="54"/>
  <c r="AO60" i="40"/>
  <c r="AP55" i="40"/>
  <c r="AP59" i="40" s="1"/>
  <c r="AP60" i="40" s="1"/>
  <c r="AR45" i="40"/>
  <c r="AR9" i="36"/>
  <c r="AQ49" i="40"/>
  <c r="AQ52" i="40" s="1"/>
  <c r="AS39" i="36"/>
  <c r="AS11" i="36" s="1"/>
  <c r="AS40" i="36"/>
  <c r="AS12" i="36" s="1"/>
  <c r="AS48" i="40" s="1"/>
  <c r="AR63" i="39"/>
  <c r="AS78" i="40"/>
  <c r="AR49" i="39"/>
  <c r="AR48" i="39" s="1"/>
  <c r="AR44" i="39"/>
  <c r="AR39" i="39" s="1"/>
  <c r="AT27" i="36"/>
  <c r="BQ20" i="37"/>
  <c r="AR54" i="39" l="1"/>
  <c r="AR64" i="39" s="1"/>
  <c r="AT73" i="40"/>
  <c r="AT57" i="37"/>
  <c r="AT56" i="37" s="1"/>
  <c r="AT32" i="39" s="1"/>
  <c r="AT28" i="39" s="1"/>
  <c r="AT64" i="40"/>
  <c r="O92" i="54"/>
  <c r="AT17" i="40"/>
  <c r="AT26" i="40" s="1"/>
  <c r="AT44" i="40" s="1"/>
  <c r="AT63" i="40" s="1"/>
  <c r="AS28" i="36"/>
  <c r="AS29" i="36" s="1"/>
  <c r="AS67" i="40"/>
  <c r="AX17" i="37"/>
  <c r="AY24" i="37" s="1"/>
  <c r="AY23" i="37" s="1"/>
  <c r="AW16" i="37"/>
  <c r="AW31" i="39" s="1"/>
  <c r="J153" i="54"/>
  <c r="M71" i="15"/>
  <c r="AP72" i="40"/>
  <c r="AP71" i="40" s="1"/>
  <c r="AP80" i="40" s="1"/>
  <c r="N5" i="15" s="1"/>
  <c r="N103" i="15" s="1"/>
  <c r="N118" i="15" s="1"/>
  <c r="N120" i="15" s="1"/>
  <c r="AR49" i="40"/>
  <c r="AR52" i="40" s="1"/>
  <c r="AR51" i="40" s="1"/>
  <c r="AS9" i="36"/>
  <c r="AS47" i="40"/>
  <c r="AS45" i="40" s="1"/>
  <c r="AT39" i="36"/>
  <c r="AT11" i="36" s="1"/>
  <c r="AT47" i="40" s="1"/>
  <c r="AT40" i="36"/>
  <c r="AT12" i="36" s="1"/>
  <c r="AT48" i="40" s="1"/>
  <c r="AQ51" i="40"/>
  <c r="AQ55" i="40"/>
  <c r="AQ59" i="40" s="1"/>
  <c r="AS63" i="39"/>
  <c r="AS49" i="39"/>
  <c r="AS48" i="39" s="1"/>
  <c r="AS44" i="39"/>
  <c r="AS39" i="39" s="1"/>
  <c r="AT78" i="40"/>
  <c r="AU27" i="36"/>
  <c r="BQ18" i="37"/>
  <c r="BR25" i="37" s="1"/>
  <c r="BR22" i="37" s="1"/>
  <c r="N105" i="15" l="1"/>
  <c r="AS54" i="39"/>
  <c r="AS64" i="39" s="1"/>
  <c r="AT65" i="40"/>
  <c r="AT66" i="40" s="1"/>
  <c r="AU63" i="37"/>
  <c r="AU62" i="37" s="1"/>
  <c r="AU20" i="40" s="1"/>
  <c r="AU21" i="40" s="1"/>
  <c r="AY17" i="37"/>
  <c r="AZ24" i="37" s="1"/>
  <c r="AZ23" i="37" s="1"/>
  <c r="AX16" i="37"/>
  <c r="AX31" i="39" s="1"/>
  <c r="AT15" i="39"/>
  <c r="AR55" i="40"/>
  <c r="AR59" i="40" s="1"/>
  <c r="AR60" i="40" s="1"/>
  <c r="AS49" i="40"/>
  <c r="AS52" i="40" s="1"/>
  <c r="AS55" i="40" s="1"/>
  <c r="AS59" i="40" s="1"/>
  <c r="AT45" i="40"/>
  <c r="AT49" i="40" s="1"/>
  <c r="AT9" i="36"/>
  <c r="AU39" i="36"/>
  <c r="AU11" i="36" s="1"/>
  <c r="AU40" i="36"/>
  <c r="AU12" i="36" s="1"/>
  <c r="AU48" i="40" s="1"/>
  <c r="AQ60" i="40"/>
  <c r="AQ72" i="40"/>
  <c r="AQ71" i="40" s="1"/>
  <c r="AQ80" i="40" s="1"/>
  <c r="O5" i="15" s="1"/>
  <c r="O103" i="15" s="1"/>
  <c r="O118" i="15" s="1"/>
  <c r="O120" i="15" s="1"/>
  <c r="AU78" i="40"/>
  <c r="AT63" i="39"/>
  <c r="AT44" i="39"/>
  <c r="AT39" i="39" s="1"/>
  <c r="AT49" i="39"/>
  <c r="AT48" i="39" s="1"/>
  <c r="AV27" i="36"/>
  <c r="BR20" i="37"/>
  <c r="O105" i="15" l="1"/>
  <c r="AT28" i="36"/>
  <c r="AT29" i="36" s="1"/>
  <c r="AU17" i="40"/>
  <c r="AU26" i="40" s="1"/>
  <c r="AU44" i="40" s="1"/>
  <c r="AU63" i="40" s="1"/>
  <c r="P92" i="54"/>
  <c r="AT67" i="40"/>
  <c r="AU57" i="37"/>
  <c r="AV63" i="37" s="1"/>
  <c r="AV62" i="37" s="1"/>
  <c r="AV20" i="40" s="1"/>
  <c r="AU73" i="40"/>
  <c r="AU63" i="39" s="1"/>
  <c r="AU64" i="40"/>
  <c r="AT54" i="39"/>
  <c r="AT64" i="39" s="1"/>
  <c r="AZ17" i="37"/>
  <c r="BA24" i="37" s="1"/>
  <c r="BA23" i="37" s="1"/>
  <c r="AY16" i="37"/>
  <c r="AY31" i="39" s="1"/>
  <c r="AR72" i="40"/>
  <c r="AR71" i="40" s="1"/>
  <c r="AR80" i="40" s="1"/>
  <c r="P5" i="15" s="1"/>
  <c r="K153" i="54"/>
  <c r="AU9" i="36"/>
  <c r="AU47" i="40"/>
  <c r="AU45" i="40" s="1"/>
  <c r="AV39" i="36"/>
  <c r="AV11" i="36" s="1"/>
  <c r="AV47" i="40" s="1"/>
  <c r="AV40" i="36"/>
  <c r="AV12" i="36" s="1"/>
  <c r="AV48" i="40" s="1"/>
  <c r="AS60" i="40"/>
  <c r="AS72" i="40"/>
  <c r="AS71" i="40" s="1"/>
  <c r="AS80" i="40" s="1"/>
  <c r="Q5" i="15" s="1"/>
  <c r="Q103" i="15" s="1"/>
  <c r="Q118" i="15" s="1"/>
  <c r="Q120" i="15" s="1"/>
  <c r="AT52" i="40"/>
  <c r="AT55" i="40" s="1"/>
  <c r="AT59" i="40" s="1"/>
  <c r="AS51" i="40"/>
  <c r="O71" i="15"/>
  <c r="L153" i="54"/>
  <c r="AV78" i="40"/>
  <c r="AU44" i="39"/>
  <c r="AU39" i="39" s="1"/>
  <c r="AU49" i="39"/>
  <c r="AU48" i="39" s="1"/>
  <c r="AW27" i="36"/>
  <c r="BR18" i="37"/>
  <c r="BS25" i="37" s="1"/>
  <c r="BS22" i="37" s="1"/>
  <c r="Q105" i="15" l="1"/>
  <c r="P71" i="15"/>
  <c r="P103" i="15"/>
  <c r="P118" i="15" s="1"/>
  <c r="P120" i="15" s="1"/>
  <c r="AU65" i="40"/>
  <c r="AU66" i="40" s="1"/>
  <c r="AU56" i="37"/>
  <c r="AU32" i="39" s="1"/>
  <c r="AU28" i="39" s="1"/>
  <c r="AU15" i="39" s="1"/>
  <c r="AZ16" i="37"/>
  <c r="AZ31" i="39" s="1"/>
  <c r="BA17" i="37"/>
  <c r="BB24" i="37" s="1"/>
  <c r="BB23" i="37" s="1"/>
  <c r="AV73" i="40"/>
  <c r="AV63" i="39" s="1"/>
  <c r="AV64" i="40"/>
  <c r="AV17" i="40"/>
  <c r="AV26" i="40" s="1"/>
  <c r="AV44" i="40" s="1"/>
  <c r="AV63" i="40" s="1"/>
  <c r="Q92" i="54"/>
  <c r="AV21" i="40"/>
  <c r="AV57" i="37"/>
  <c r="M153" i="54"/>
  <c r="N71" i="15"/>
  <c r="AU49" i="40"/>
  <c r="AU52" i="40" s="1"/>
  <c r="AU55" i="40" s="1"/>
  <c r="AU59" i="40" s="1"/>
  <c r="P142" i="54" s="1"/>
  <c r="AV45" i="40"/>
  <c r="AV9" i="36"/>
  <c r="AW39" i="36"/>
  <c r="AW11" i="36" s="1"/>
  <c r="AW40" i="36"/>
  <c r="AW12" i="36" s="1"/>
  <c r="AW48" i="40" s="1"/>
  <c r="AT72" i="40"/>
  <c r="AT71" i="40" s="1"/>
  <c r="AT80" i="40" s="1"/>
  <c r="R5" i="15" s="1"/>
  <c r="R103" i="15" s="1"/>
  <c r="R118" i="15" s="1"/>
  <c r="R120" i="15" s="1"/>
  <c r="AT60" i="40"/>
  <c r="AT51" i="40"/>
  <c r="AW78" i="40"/>
  <c r="AV44" i="39"/>
  <c r="AV39" i="39" s="1"/>
  <c r="AV49" i="39"/>
  <c r="AV48" i="39" s="1"/>
  <c r="AX27" i="36"/>
  <c r="BS20" i="37"/>
  <c r="P105" i="15" l="1"/>
  <c r="R105" i="15"/>
  <c r="AU28" i="36"/>
  <c r="AU29" i="36" s="1"/>
  <c r="AU67" i="40"/>
  <c r="BB17" i="37"/>
  <c r="BC24" i="37" s="1"/>
  <c r="BC23" i="37" s="1"/>
  <c r="BA16" i="37"/>
  <c r="BA31" i="39" s="1"/>
  <c r="AU54" i="39"/>
  <c r="AU64" i="39" s="1"/>
  <c r="AV49" i="40"/>
  <c r="AV52" i="40" s="1"/>
  <c r="AV51" i="40" s="1"/>
  <c r="AV65" i="40"/>
  <c r="AV56" i="37"/>
  <c r="AV32" i="39" s="1"/>
  <c r="AV28" i="39" s="1"/>
  <c r="AW63" i="37"/>
  <c r="AW62" i="37" s="1"/>
  <c r="AW20" i="40" s="1"/>
  <c r="Q71" i="15"/>
  <c r="N153" i="54"/>
  <c r="AW9" i="36"/>
  <c r="AW47" i="40"/>
  <c r="AW45" i="40" s="1"/>
  <c r="AX39" i="36"/>
  <c r="AX11" i="36" s="1"/>
  <c r="AX47" i="40" s="1"/>
  <c r="AX40" i="36"/>
  <c r="AX12" i="36" s="1"/>
  <c r="AX48" i="40" s="1"/>
  <c r="AU72" i="40"/>
  <c r="AU71" i="40" s="1"/>
  <c r="AU80" i="40" s="1"/>
  <c r="S5" i="15" s="1"/>
  <c r="S103" i="15" s="1"/>
  <c r="S118" i="15" s="1"/>
  <c r="S120" i="15" s="1"/>
  <c r="AU60" i="40"/>
  <c r="AU51" i="40"/>
  <c r="AW49" i="39"/>
  <c r="AW48" i="39" s="1"/>
  <c r="AW44" i="39"/>
  <c r="AW39" i="39" s="1"/>
  <c r="AX78" i="40"/>
  <c r="AY27" i="36"/>
  <c r="BS18" i="37"/>
  <c r="BT25" i="37" s="1"/>
  <c r="BT22" i="37" s="1"/>
  <c r="S105" i="15" l="1"/>
  <c r="BB16" i="37"/>
  <c r="BB31" i="39" s="1"/>
  <c r="BC17" i="37"/>
  <c r="BD24" i="37" s="1"/>
  <c r="BD23" i="37" s="1"/>
  <c r="AV55" i="40"/>
  <c r="AV59" i="40" s="1"/>
  <c r="AV72" i="40" s="1"/>
  <c r="AV71" i="40" s="1"/>
  <c r="AV80" i="40" s="1"/>
  <c r="T5" i="15" s="1"/>
  <c r="T103" i="15" s="1"/>
  <c r="T118" i="15" s="1"/>
  <c r="T120" i="15" s="1"/>
  <c r="AW64" i="40"/>
  <c r="R92" i="54"/>
  <c r="AW17" i="40"/>
  <c r="AW26" i="40" s="1"/>
  <c r="AW44" i="40" s="1"/>
  <c r="AW63" i="40" s="1"/>
  <c r="AW73" i="40"/>
  <c r="AW21" i="40"/>
  <c r="AW57" i="37"/>
  <c r="AV15" i="39"/>
  <c r="AV66" i="40"/>
  <c r="AV28" i="36"/>
  <c r="AV29" i="36" s="1"/>
  <c r="AV67" i="40"/>
  <c r="O153" i="54"/>
  <c r="AX9" i="36"/>
  <c r="AY39" i="36"/>
  <c r="AY11" i="36" s="1"/>
  <c r="AY47" i="40" s="1"/>
  <c r="AY40" i="36"/>
  <c r="AY12" i="36" s="1"/>
  <c r="AY48" i="40" s="1"/>
  <c r="AX45" i="40"/>
  <c r="AY78" i="40"/>
  <c r="AX44" i="39"/>
  <c r="AX39" i="39" s="1"/>
  <c r="AX49" i="39"/>
  <c r="AX48" i="39" s="1"/>
  <c r="AZ27" i="36"/>
  <c r="BT20" i="37"/>
  <c r="T105" i="15" l="1"/>
  <c r="BC16" i="37"/>
  <c r="BC31" i="39" s="1"/>
  <c r="BD17" i="37"/>
  <c r="BE24" i="37" s="1"/>
  <c r="BE23" i="37" s="1"/>
  <c r="AV60" i="40"/>
  <c r="AV54" i="39"/>
  <c r="AV64" i="39" s="1"/>
  <c r="AW65" i="40"/>
  <c r="AW28" i="36" s="1"/>
  <c r="AW29" i="36" s="1"/>
  <c r="AW49" i="40"/>
  <c r="AW52" i="40" s="1"/>
  <c r="AW51" i="40" s="1"/>
  <c r="AW56" i="37"/>
  <c r="AW32" i="39" s="1"/>
  <c r="AW28" i="39" s="1"/>
  <c r="AX63" i="37"/>
  <c r="AX62" i="37" s="1"/>
  <c r="AX20" i="40" s="1"/>
  <c r="P153" i="54"/>
  <c r="R71" i="15"/>
  <c r="AY45" i="40"/>
  <c r="AY9" i="36"/>
  <c r="AZ39" i="36"/>
  <c r="AZ11" i="36" s="1"/>
  <c r="AZ40" i="36"/>
  <c r="AZ12" i="36" s="1"/>
  <c r="AZ48" i="40" s="1"/>
  <c r="Q153" i="54"/>
  <c r="T71" i="15"/>
  <c r="AY49" i="39"/>
  <c r="AY48" i="39" s="1"/>
  <c r="AY44" i="39"/>
  <c r="AY39" i="39" s="1"/>
  <c r="AZ78" i="40"/>
  <c r="BA27" i="36"/>
  <c r="BT18" i="37"/>
  <c r="BU25" i="37" s="1"/>
  <c r="BU22" i="37" s="1"/>
  <c r="BE17" i="37" l="1"/>
  <c r="BF24" i="37" s="1"/>
  <c r="BF23" i="37" s="1"/>
  <c r="BD16" i="37"/>
  <c r="BD31" i="39" s="1"/>
  <c r="AW66" i="40"/>
  <c r="AW67" i="40"/>
  <c r="AW55" i="40"/>
  <c r="AW59" i="40" s="1"/>
  <c r="AW60" i="40" s="1"/>
  <c r="S92" i="54"/>
  <c r="AX73" i="40"/>
  <c r="AX17" i="40"/>
  <c r="AX26" i="40" s="1"/>
  <c r="AX44" i="40" s="1"/>
  <c r="AX64" i="40"/>
  <c r="AX21" i="40"/>
  <c r="AX57" i="37"/>
  <c r="AW15" i="39"/>
  <c r="S71" i="15"/>
  <c r="AZ9" i="36"/>
  <c r="AZ47" i="40"/>
  <c r="AZ45" i="40" s="1"/>
  <c r="BA39" i="36"/>
  <c r="BA11" i="36" s="1"/>
  <c r="BA47" i="40" s="1"/>
  <c r="BA40" i="36"/>
  <c r="BA12" i="36" s="1"/>
  <c r="BA48" i="40" s="1"/>
  <c r="AZ49" i="39"/>
  <c r="AZ48" i="39" s="1"/>
  <c r="AZ44" i="39"/>
  <c r="AZ39" i="39" s="1"/>
  <c r="BA78" i="40"/>
  <c r="BB27" i="36"/>
  <c r="BU20" i="37"/>
  <c r="BF17" i="37" l="1"/>
  <c r="BG24" i="37" s="1"/>
  <c r="BG23" i="37" s="1"/>
  <c r="BE16" i="37"/>
  <c r="BE31" i="39" s="1"/>
  <c r="AW72" i="40"/>
  <c r="AW71" i="40" s="1"/>
  <c r="AW80" i="40" s="1"/>
  <c r="U5" i="15" s="1"/>
  <c r="AW54" i="39"/>
  <c r="AX63" i="40"/>
  <c r="AX65" i="40" s="1"/>
  <c r="AX49" i="40"/>
  <c r="AX56" i="37"/>
  <c r="AX32" i="39" s="1"/>
  <c r="AX28" i="39" s="1"/>
  <c r="AY63" i="37"/>
  <c r="AY62" i="37" s="1"/>
  <c r="AY20" i="40" s="1"/>
  <c r="BA45" i="40"/>
  <c r="BB39" i="36"/>
  <c r="BB11" i="36" s="1"/>
  <c r="BB47" i="40" s="1"/>
  <c r="BB40" i="36"/>
  <c r="BB12" i="36" s="1"/>
  <c r="BB48" i="40" s="1"/>
  <c r="BA9" i="36"/>
  <c r="BA49" i="39"/>
  <c r="BA48" i="39" s="1"/>
  <c r="BA44" i="39"/>
  <c r="BA39" i="39" s="1"/>
  <c r="BB78" i="40"/>
  <c r="BC27" i="36"/>
  <c r="BU18" i="37"/>
  <c r="BV25" i="37" s="1"/>
  <c r="BV22" i="37" s="1"/>
  <c r="U71" i="15" l="1"/>
  <c r="U103" i="15"/>
  <c r="U118" i="15" s="1"/>
  <c r="U120" i="15" s="1"/>
  <c r="BG17" i="37"/>
  <c r="BH24" i="37" s="1"/>
  <c r="BH23" i="37" s="1"/>
  <c r="BF16" i="37"/>
  <c r="BF31" i="39" s="1"/>
  <c r="R153" i="54"/>
  <c r="AX15" i="39"/>
  <c r="AX52" i="40"/>
  <c r="AX51" i="40" s="1"/>
  <c r="T92" i="54"/>
  <c r="AY17" i="40"/>
  <c r="AY26" i="40" s="1"/>
  <c r="AY44" i="40" s="1"/>
  <c r="AY73" i="40"/>
  <c r="AY64" i="40"/>
  <c r="AY21" i="40"/>
  <c r="AX66" i="40"/>
  <c r="AX28" i="36"/>
  <c r="AX29" i="36" s="1"/>
  <c r="AX67" i="40"/>
  <c r="AY57" i="37"/>
  <c r="BB9" i="36"/>
  <c r="BB45" i="40"/>
  <c r="BC39" i="36"/>
  <c r="BC11" i="36" s="1"/>
  <c r="BC47" i="40" s="1"/>
  <c r="BC40" i="36"/>
  <c r="BC12" i="36" s="1"/>
  <c r="BC48" i="40" s="1"/>
  <c r="BB44" i="39"/>
  <c r="BB39" i="39" s="1"/>
  <c r="BB49" i="39"/>
  <c r="BB48" i="39" s="1"/>
  <c r="BC78" i="40"/>
  <c r="BD27" i="36"/>
  <c r="BV20" i="37"/>
  <c r="U105" i="15" l="1"/>
  <c r="BG16" i="37"/>
  <c r="BG31" i="39" s="1"/>
  <c r="BH17" i="37"/>
  <c r="BI24" i="37" s="1"/>
  <c r="BI23" i="37" s="1"/>
  <c r="AX54" i="39"/>
  <c r="AX55" i="40"/>
  <c r="AX59" i="40" s="1"/>
  <c r="AX60" i="40" s="1"/>
  <c r="AZ63" i="37"/>
  <c r="AZ62" i="37" s="1"/>
  <c r="AZ20" i="40" s="1"/>
  <c r="AY56" i="37"/>
  <c r="AY32" i="39" s="1"/>
  <c r="AY28" i="39" s="1"/>
  <c r="AY63" i="40"/>
  <c r="AY65" i="40" s="1"/>
  <c r="AY49" i="40"/>
  <c r="AY52" i="40" s="1"/>
  <c r="BC9" i="36"/>
  <c r="BC45" i="40"/>
  <c r="BD39" i="36"/>
  <c r="BD11" i="36" s="1"/>
  <c r="BD47" i="40" s="1"/>
  <c r="BD40" i="36"/>
  <c r="BD12" i="36" s="1"/>
  <c r="BD48" i="40" s="1"/>
  <c r="BC44" i="39"/>
  <c r="BC39" i="39" s="1"/>
  <c r="BC49" i="39"/>
  <c r="BC48" i="39" s="1"/>
  <c r="BD78" i="40"/>
  <c r="BE27" i="36"/>
  <c r="BV18" i="37"/>
  <c r="BW25" i="37" s="1"/>
  <c r="BW22" i="37" s="1"/>
  <c r="BH16" i="37" l="1"/>
  <c r="BH31" i="39" s="1"/>
  <c r="BI17" i="37"/>
  <c r="BJ24" i="37" s="1"/>
  <c r="BJ23" i="37" s="1"/>
  <c r="AZ57" i="37"/>
  <c r="BA63" i="37" s="1"/>
  <c r="BA62" i="37" s="1"/>
  <c r="BA20" i="40" s="1"/>
  <c r="AX72" i="40"/>
  <c r="AX71" i="40" s="1"/>
  <c r="AX80" i="40" s="1"/>
  <c r="V5" i="15" s="1"/>
  <c r="AZ64" i="40"/>
  <c r="AZ73" i="40"/>
  <c r="U92" i="54"/>
  <c r="AZ17" i="40"/>
  <c r="AZ26" i="40" s="1"/>
  <c r="AZ44" i="40" s="1"/>
  <c r="AZ21" i="40"/>
  <c r="AY55" i="40"/>
  <c r="AY59" i="40" s="1"/>
  <c r="AY51" i="40"/>
  <c r="AY15" i="39"/>
  <c r="AY66" i="40"/>
  <c r="AY67" i="40"/>
  <c r="AY28" i="36"/>
  <c r="AY29" i="36" s="1"/>
  <c r="BD9" i="36"/>
  <c r="BE39" i="36"/>
  <c r="BE11" i="36" s="1"/>
  <c r="BE47" i="40" s="1"/>
  <c r="BE40" i="36"/>
  <c r="BE12" i="36" s="1"/>
  <c r="BE48" i="40" s="1"/>
  <c r="BD45" i="40"/>
  <c r="BD44" i="39"/>
  <c r="BD39" i="39" s="1"/>
  <c r="BD49" i="39"/>
  <c r="BD48" i="39" s="1"/>
  <c r="BE78" i="40"/>
  <c r="BF27" i="36"/>
  <c r="BW20" i="37"/>
  <c r="V71" i="15" l="1"/>
  <c r="V103" i="15"/>
  <c r="V118" i="15" s="1"/>
  <c r="V120" i="15" s="1"/>
  <c r="BI16" i="37"/>
  <c r="BI31" i="39" s="1"/>
  <c r="BJ17" i="37"/>
  <c r="BK24" i="37" s="1"/>
  <c r="BK23" i="37" s="1"/>
  <c r="AY54" i="39"/>
  <c r="AZ56" i="37"/>
  <c r="AZ32" i="39" s="1"/>
  <c r="AZ28" i="39" s="1"/>
  <c r="AZ15" i="39" s="1"/>
  <c r="S153" i="54"/>
  <c r="AZ63" i="40"/>
  <c r="AZ65" i="40" s="1"/>
  <c r="AZ49" i="40"/>
  <c r="AZ52" i="40" s="1"/>
  <c r="AY72" i="40"/>
  <c r="AY71" i="40" s="1"/>
  <c r="AY80" i="40" s="1"/>
  <c r="W5" i="15" s="1"/>
  <c r="W103" i="15" s="1"/>
  <c r="W118" i="15" s="1"/>
  <c r="W120" i="15" s="1"/>
  <c r="AY60" i="40"/>
  <c r="BA64" i="40"/>
  <c r="BA73" i="40"/>
  <c r="BA17" i="40"/>
  <c r="BA26" i="40" s="1"/>
  <c r="BA44" i="40" s="1"/>
  <c r="V92" i="54"/>
  <c r="BA21" i="40"/>
  <c r="BA57" i="37"/>
  <c r="BE45" i="40"/>
  <c r="BE9" i="36"/>
  <c r="BF39" i="36"/>
  <c r="BF11" i="36" s="1"/>
  <c r="BF47" i="40" s="1"/>
  <c r="BF40" i="36"/>
  <c r="BF12" i="36" s="1"/>
  <c r="BF48" i="40" s="1"/>
  <c r="BF78" i="40"/>
  <c r="BE49" i="39"/>
  <c r="BE48" i="39" s="1"/>
  <c r="BE44" i="39"/>
  <c r="BE39" i="39" s="1"/>
  <c r="BG27" i="36"/>
  <c r="BW18" i="37"/>
  <c r="W105" i="15" l="1"/>
  <c r="V105" i="15"/>
  <c r="BJ16" i="37"/>
  <c r="BJ31" i="39" s="1"/>
  <c r="BK17" i="37"/>
  <c r="BL24" i="37" s="1"/>
  <c r="BL23" i="37" s="1"/>
  <c r="AZ54" i="39"/>
  <c r="T153" i="54"/>
  <c r="W71" i="15"/>
  <c r="AZ55" i="40"/>
  <c r="AZ59" i="40" s="1"/>
  <c r="AZ51" i="40"/>
  <c r="AZ66" i="40"/>
  <c r="AZ67" i="40"/>
  <c r="AZ28" i="36"/>
  <c r="AZ29" i="36" s="1"/>
  <c r="BA63" i="40"/>
  <c r="BA65" i="40" s="1"/>
  <c r="BA49" i="40"/>
  <c r="BA52" i="40" s="1"/>
  <c r="BA56" i="37"/>
  <c r="BA32" i="39" s="1"/>
  <c r="BA28" i="39" s="1"/>
  <c r="BB63" i="37"/>
  <c r="BB62" i="37" s="1"/>
  <c r="BB20" i="40" s="1"/>
  <c r="BF45" i="40"/>
  <c r="BF9" i="36"/>
  <c r="BG39" i="36"/>
  <c r="BG11" i="36" s="1"/>
  <c r="BG47" i="40" s="1"/>
  <c r="BG40" i="36"/>
  <c r="BG12" i="36" s="1"/>
  <c r="BG48" i="40" s="1"/>
  <c r="BG78" i="40"/>
  <c r="BF44" i="39"/>
  <c r="BF39" i="39" s="1"/>
  <c r="BF49" i="39"/>
  <c r="BF48" i="39" s="1"/>
  <c r="BH27" i="36"/>
  <c r="BL73" i="40"/>
  <c r="BL64" i="40"/>
  <c r="BL17" i="40"/>
  <c r="BL17" i="37" l="1"/>
  <c r="BM24" i="37" s="1"/>
  <c r="BM23" i="37" s="1"/>
  <c r="BK16" i="37"/>
  <c r="BK31" i="39" s="1"/>
  <c r="BA66" i="40"/>
  <c r="BA67" i="40"/>
  <c r="BA28" i="36"/>
  <c r="BA29" i="36" s="1"/>
  <c r="BB73" i="40"/>
  <c r="BB64" i="40"/>
  <c r="BB17" i="40"/>
  <c r="BB26" i="40" s="1"/>
  <c r="BB44" i="40" s="1"/>
  <c r="W92" i="54"/>
  <c r="BB21" i="40"/>
  <c r="BB57" i="37"/>
  <c r="BA15" i="39"/>
  <c r="AZ72" i="40"/>
  <c r="AZ71" i="40" s="1"/>
  <c r="AZ80" i="40" s="1"/>
  <c r="X5" i="15" s="1"/>
  <c r="X103" i="15" s="1"/>
  <c r="X118" i="15" s="1"/>
  <c r="X120" i="15" s="1"/>
  <c r="AZ60" i="40"/>
  <c r="BA55" i="40"/>
  <c r="BA59" i="40" s="1"/>
  <c r="BA51" i="40"/>
  <c r="BG45" i="40"/>
  <c r="BG9" i="36"/>
  <c r="BH39" i="36"/>
  <c r="BH11" i="36" s="1"/>
  <c r="BH47" i="40" s="1"/>
  <c r="BH40" i="36"/>
  <c r="BH12" i="36" s="1"/>
  <c r="BH48" i="40" s="1"/>
  <c r="BG49" i="39"/>
  <c r="BG48" i="39" s="1"/>
  <c r="BG44" i="39"/>
  <c r="BG39" i="39" s="1"/>
  <c r="BH78" i="40"/>
  <c r="BI27" i="36"/>
  <c r="BL71" i="40"/>
  <c r="BL80" i="40" s="1"/>
  <c r="AJ5" i="15" s="1"/>
  <c r="AJ103" i="15" s="1"/>
  <c r="AJ118" i="15" s="1"/>
  <c r="AJ120" i="15" s="1"/>
  <c r="BL26" i="40"/>
  <c r="BL44" i="40" s="1"/>
  <c r="BM64" i="40"/>
  <c r="BM73" i="40"/>
  <c r="BM17" i="40"/>
  <c r="BL16" i="37"/>
  <c r="BL31" i="39" s="1"/>
  <c r="BM17" i="37"/>
  <c r="BN24" i="37" s="1"/>
  <c r="BN23" i="37" s="1"/>
  <c r="X105" i="15" l="1"/>
  <c r="AJ105" i="15"/>
  <c r="BA54" i="39"/>
  <c r="BA60" i="40"/>
  <c r="BA72" i="40"/>
  <c r="BA71" i="40" s="1"/>
  <c r="BA80" i="40" s="1"/>
  <c r="Y5" i="15" s="1"/>
  <c r="Y103" i="15" s="1"/>
  <c r="Y118" i="15" s="1"/>
  <c r="Y120" i="15" s="1"/>
  <c r="BB63" i="40"/>
  <c r="BB65" i="40" s="1"/>
  <c r="BB49" i="40"/>
  <c r="BB52" i="40" s="1"/>
  <c r="U153" i="54"/>
  <c r="X71" i="15"/>
  <c r="BB56" i="37"/>
  <c r="BB32" i="39" s="1"/>
  <c r="BB28" i="39" s="1"/>
  <c r="BC63" i="37"/>
  <c r="BC62" i="37" s="1"/>
  <c r="BC20" i="40" s="1"/>
  <c r="BH45" i="40"/>
  <c r="BH9" i="36"/>
  <c r="BI39" i="36"/>
  <c r="BI11" i="36" s="1"/>
  <c r="BI47" i="40" s="1"/>
  <c r="BI40" i="36"/>
  <c r="BI12" i="36" s="1"/>
  <c r="BI48" i="40" s="1"/>
  <c r="BH49" i="39"/>
  <c r="BH48" i="39" s="1"/>
  <c r="BH44" i="39"/>
  <c r="BH39" i="39" s="1"/>
  <c r="BI78" i="40"/>
  <c r="BJ27" i="36"/>
  <c r="BJ78" i="40" s="1"/>
  <c r="BM71" i="40"/>
  <c r="BM80" i="40" s="1"/>
  <c r="AK5" i="15" s="1"/>
  <c r="AK103" i="15" s="1"/>
  <c r="AK118" i="15" s="1"/>
  <c r="AK120" i="15" s="1"/>
  <c r="BL49" i="40"/>
  <c r="BL63" i="40"/>
  <c r="BL65" i="40" s="1"/>
  <c r="BL66" i="40" s="1"/>
  <c r="AJ71" i="15"/>
  <c r="AG153" i="54"/>
  <c r="BN73" i="40"/>
  <c r="BN64" i="40"/>
  <c r="BN17" i="40"/>
  <c r="BM26" i="40"/>
  <c r="BM44" i="40" s="1"/>
  <c r="BL21" i="40"/>
  <c r="BN17" i="37"/>
  <c r="BO24" i="37" s="1"/>
  <c r="BO23" i="37" s="1"/>
  <c r="BM16" i="37"/>
  <c r="BM31" i="39" s="1"/>
  <c r="AK105" i="15" l="1"/>
  <c r="Y105" i="15"/>
  <c r="BC57" i="37"/>
  <c r="BB15" i="39"/>
  <c r="BB55" i="40"/>
  <c r="BB59" i="40" s="1"/>
  <c r="BB51" i="40"/>
  <c r="BC64" i="40"/>
  <c r="BC73" i="40"/>
  <c r="BC17" i="40"/>
  <c r="BC26" i="40" s="1"/>
  <c r="BC44" i="40" s="1"/>
  <c r="X92" i="54"/>
  <c r="BC21" i="40"/>
  <c r="BB66" i="40"/>
  <c r="BB28" i="36"/>
  <c r="BB29" i="36" s="1"/>
  <c r="BB67" i="40"/>
  <c r="V153" i="54"/>
  <c r="Y71" i="15"/>
  <c r="BI9" i="36"/>
  <c r="BI45" i="40"/>
  <c r="BJ39" i="36"/>
  <c r="BJ11" i="36" s="1"/>
  <c r="BJ40" i="36"/>
  <c r="BJ12" i="36" s="1"/>
  <c r="BJ48" i="40" s="1"/>
  <c r="BJ45" i="40" s="1"/>
  <c r="BI49" i="39"/>
  <c r="BI48" i="39" s="1"/>
  <c r="BI44" i="39"/>
  <c r="BI39" i="39" s="1"/>
  <c r="BK27" i="36"/>
  <c r="BK78" i="40" s="1"/>
  <c r="BN71" i="40"/>
  <c r="BN80" i="40" s="1"/>
  <c r="AL5" i="15" s="1"/>
  <c r="AL103" i="15" s="1"/>
  <c r="AL118" i="15" s="1"/>
  <c r="AL120" i="15" s="1"/>
  <c r="BO64" i="40"/>
  <c r="BO73" i="40"/>
  <c r="BO17" i="40"/>
  <c r="BN26" i="40"/>
  <c r="BN44" i="40" s="1"/>
  <c r="BL28" i="36"/>
  <c r="BL29" i="36" s="1"/>
  <c r="BL67" i="40"/>
  <c r="BL52" i="40"/>
  <c r="BL55" i="40" s="1"/>
  <c r="BM49" i="40"/>
  <c r="BM52" i="40" s="1"/>
  <c r="BM63" i="40"/>
  <c r="BM65" i="40" s="1"/>
  <c r="BM66" i="40" s="1"/>
  <c r="AK71" i="15"/>
  <c r="AH153" i="54"/>
  <c r="BM21" i="40"/>
  <c r="BO17" i="37"/>
  <c r="BP24" i="37" s="1"/>
  <c r="BP23" i="37" s="1"/>
  <c r="BN16" i="37"/>
  <c r="BN31" i="39" s="1"/>
  <c r="AL105" i="15" l="1"/>
  <c r="BB54" i="39"/>
  <c r="BB72" i="40"/>
  <c r="BB71" i="40" s="1"/>
  <c r="BB80" i="40" s="1"/>
  <c r="Z5" i="15" s="1"/>
  <c r="Z103" i="15" s="1"/>
  <c r="Z118" i="15" s="1"/>
  <c r="Z120" i="15" s="1"/>
  <c r="BB60" i="40"/>
  <c r="BC56" i="37"/>
  <c r="BC32" i="39" s="1"/>
  <c r="BC28" i="39" s="1"/>
  <c r="BD63" i="37"/>
  <c r="BD62" i="37" s="1"/>
  <c r="BD20" i="40" s="1"/>
  <c r="BC63" i="40"/>
  <c r="BC65" i="40" s="1"/>
  <c r="BC49" i="40"/>
  <c r="BK39" i="36"/>
  <c r="BK11" i="36" s="1"/>
  <c r="BK40" i="36"/>
  <c r="BK12" i="36" s="1"/>
  <c r="BK48" i="40" s="1"/>
  <c r="BK45" i="40" s="1"/>
  <c r="BJ9" i="36"/>
  <c r="BJ44" i="39"/>
  <c r="BJ39" i="39" s="1"/>
  <c r="BJ49" i="39"/>
  <c r="BJ48" i="39" s="1"/>
  <c r="BL27" i="36"/>
  <c r="BO26" i="40"/>
  <c r="BO44" i="40" s="1"/>
  <c r="BP73" i="40"/>
  <c r="BP64" i="40"/>
  <c r="BP17" i="40"/>
  <c r="BL51" i="40"/>
  <c r="BO71" i="40"/>
  <c r="BO80" i="40" s="1"/>
  <c r="AM5" i="15" s="1"/>
  <c r="AM103" i="15" s="1"/>
  <c r="AM118" i="15" s="1"/>
  <c r="AM120" i="15" s="1"/>
  <c r="BM67" i="40"/>
  <c r="BM28" i="36"/>
  <c r="BM29" i="36" s="1"/>
  <c r="BN63" i="40"/>
  <c r="BN65" i="40" s="1"/>
  <c r="BN66" i="40" s="1"/>
  <c r="BN49" i="40"/>
  <c r="BN52" i="40" s="1"/>
  <c r="BM55" i="40"/>
  <c r="BM51" i="40"/>
  <c r="BN21" i="40"/>
  <c r="BP17" i="37"/>
  <c r="BQ24" i="37" s="1"/>
  <c r="BQ23" i="37" s="1"/>
  <c r="BO16" i="37"/>
  <c r="BO31" i="39" s="1"/>
  <c r="Z105" i="15" l="1"/>
  <c r="AM105" i="15"/>
  <c r="BC52" i="40"/>
  <c r="BC51" i="40" s="1"/>
  <c r="BC66" i="40"/>
  <c r="BC67" i="40"/>
  <c r="BC28" i="36"/>
  <c r="BC29" i="36" s="1"/>
  <c r="BD57" i="37"/>
  <c r="BD17" i="40"/>
  <c r="BD26" i="40" s="1"/>
  <c r="BD44" i="40" s="1"/>
  <c r="BD64" i="40"/>
  <c r="BD73" i="40"/>
  <c r="Y92" i="54"/>
  <c r="BD21" i="40"/>
  <c r="BC15" i="39"/>
  <c r="Z71" i="15"/>
  <c r="W153" i="54"/>
  <c r="AI153" i="54"/>
  <c r="BK9" i="36"/>
  <c r="BL39" i="36"/>
  <c r="BL11" i="36" s="1"/>
  <c r="BL40" i="36"/>
  <c r="BL12" i="36" s="1"/>
  <c r="BK44" i="39"/>
  <c r="BK39" i="39" s="1"/>
  <c r="BK49" i="39"/>
  <c r="BK48" i="39" s="1"/>
  <c r="BM27" i="36"/>
  <c r="BQ64" i="40"/>
  <c r="BQ73" i="40"/>
  <c r="BQ17" i="40"/>
  <c r="BP26" i="40"/>
  <c r="BP44" i="40" s="1"/>
  <c r="BP71" i="40"/>
  <c r="BP80" i="40" s="1"/>
  <c r="AN5" i="15" s="1"/>
  <c r="AN103" i="15" s="1"/>
  <c r="AN118" i="15" s="1"/>
  <c r="AN120" i="15" s="1"/>
  <c r="BN55" i="40"/>
  <c r="BN51" i="40"/>
  <c r="BN28" i="36"/>
  <c r="BN29" i="36" s="1"/>
  <c r="BN67" i="40"/>
  <c r="BO63" i="40"/>
  <c r="BO65" i="40" s="1"/>
  <c r="BO66" i="40" s="1"/>
  <c r="BO49" i="40"/>
  <c r="AM71" i="15"/>
  <c r="AJ153" i="54"/>
  <c r="BO21" i="40"/>
  <c r="BQ17" i="37"/>
  <c r="BR24" i="37" s="1"/>
  <c r="BR23" i="37" s="1"/>
  <c r="BP16" i="37"/>
  <c r="BP31" i="39" s="1"/>
  <c r="AN105" i="15" l="1"/>
  <c r="BC54" i="39"/>
  <c r="BC55" i="40"/>
  <c r="BC59" i="40" s="1"/>
  <c r="BC60" i="40" s="1"/>
  <c r="BD56" i="37"/>
  <c r="BD32" i="39" s="1"/>
  <c r="BD28" i="39" s="1"/>
  <c r="BE63" i="37"/>
  <c r="BE62" i="37" s="1"/>
  <c r="BE20" i="40" s="1"/>
  <c r="BD63" i="40"/>
  <c r="BD65" i="40" s="1"/>
  <c r="BD49" i="40"/>
  <c r="AL71" i="15"/>
  <c r="BM39" i="36"/>
  <c r="BM11" i="36" s="1"/>
  <c r="BM40" i="36"/>
  <c r="BM12" i="36" s="1"/>
  <c r="BL9" i="36"/>
  <c r="BL44" i="39"/>
  <c r="BL39" i="39" s="1"/>
  <c r="BL49" i="39"/>
  <c r="BL48" i="39" s="1"/>
  <c r="BN27" i="36"/>
  <c r="BP49" i="40"/>
  <c r="BP52" i="40" s="1"/>
  <c r="BP63" i="40"/>
  <c r="BP65" i="40" s="1"/>
  <c r="BP66" i="40" s="1"/>
  <c r="BR73" i="40"/>
  <c r="BR64" i="40"/>
  <c r="BR17" i="40"/>
  <c r="BQ26" i="40"/>
  <c r="BQ44" i="40" s="1"/>
  <c r="BO52" i="40"/>
  <c r="BO55" i="40" s="1"/>
  <c r="BO67" i="40"/>
  <c r="BO28" i="36"/>
  <c r="BO29" i="36" s="1"/>
  <c r="BQ71" i="40"/>
  <c r="BQ80" i="40" s="1"/>
  <c r="AO5" i="15" s="1"/>
  <c r="AO103" i="15" s="1"/>
  <c r="AO118" i="15" s="1"/>
  <c r="AO120" i="15" s="1"/>
  <c r="BP21" i="40"/>
  <c r="BR17" i="37"/>
  <c r="BS24" i="37" s="1"/>
  <c r="BS23" i="37" s="1"/>
  <c r="BQ16" i="37"/>
  <c r="BQ31" i="39" s="1"/>
  <c r="AO105" i="15" l="1"/>
  <c r="BC72" i="40"/>
  <c r="BC71" i="40" s="1"/>
  <c r="BC80" i="40" s="1"/>
  <c r="AA5" i="15" s="1"/>
  <c r="BE57" i="37"/>
  <c r="BE56" i="37" s="1"/>
  <c r="BE32" i="39" s="1"/>
  <c r="BE28" i="39" s="1"/>
  <c r="BE64" i="40"/>
  <c r="Z92" i="54"/>
  <c r="BE73" i="40"/>
  <c r="BE17" i="40"/>
  <c r="BE26" i="40" s="1"/>
  <c r="BE44" i="40" s="1"/>
  <c r="BE21" i="40"/>
  <c r="BD15" i="39"/>
  <c r="BD66" i="40"/>
  <c r="BD67" i="40"/>
  <c r="BD28" i="36"/>
  <c r="BD29" i="36" s="1"/>
  <c r="BD52" i="40"/>
  <c r="BD51" i="40" s="1"/>
  <c r="AK153" i="54"/>
  <c r="BN39" i="36"/>
  <c r="BN11" i="36" s="1"/>
  <c r="BN40" i="36"/>
  <c r="BN12" i="36" s="1"/>
  <c r="BM9" i="36"/>
  <c r="BM49" i="39"/>
  <c r="BM48" i="39" s="1"/>
  <c r="BM44" i="39"/>
  <c r="BM39" i="39" s="1"/>
  <c r="BO27" i="36"/>
  <c r="BR26" i="40"/>
  <c r="BR44" i="40" s="1"/>
  <c r="BR71" i="40"/>
  <c r="BR80" i="40" s="1"/>
  <c r="AP5" i="15" s="1"/>
  <c r="AP103" i="15" s="1"/>
  <c r="AP118" i="15" s="1"/>
  <c r="AP120" i="15" s="1"/>
  <c r="BS64" i="40"/>
  <c r="BS73" i="40"/>
  <c r="BS17" i="40"/>
  <c r="BO51" i="40"/>
  <c r="BP67" i="40"/>
  <c r="BP28" i="36"/>
  <c r="BP29" i="36" s="1"/>
  <c r="BQ49" i="40"/>
  <c r="BQ52" i="40" s="1"/>
  <c r="BQ63" i="40"/>
  <c r="BQ65" i="40" s="1"/>
  <c r="BQ66" i="40" s="1"/>
  <c r="BP55" i="40"/>
  <c r="BP51" i="40"/>
  <c r="BQ21" i="40"/>
  <c r="BS17" i="37"/>
  <c r="BT24" i="37" s="1"/>
  <c r="BT23" i="37" s="1"/>
  <c r="BR16" i="37"/>
  <c r="BR31" i="39" s="1"/>
  <c r="AP105" i="15" l="1"/>
  <c r="X153" i="54"/>
  <c r="AA103" i="15"/>
  <c r="AA118" i="15" s="1"/>
  <c r="AA120" i="15" s="1"/>
  <c r="AA71" i="15"/>
  <c r="BD54" i="39"/>
  <c r="BF63" i="37"/>
  <c r="BF62" i="37" s="1"/>
  <c r="BF20" i="40" s="1"/>
  <c r="BF17" i="40" s="1"/>
  <c r="BF26" i="40" s="1"/>
  <c r="BF44" i="40" s="1"/>
  <c r="BD55" i="40"/>
  <c r="BD59" i="40" s="1"/>
  <c r="BD60" i="40" s="1"/>
  <c r="BE63" i="40"/>
  <c r="BE65" i="40" s="1"/>
  <c r="BE49" i="40"/>
  <c r="BE15" i="39"/>
  <c r="AL153" i="54"/>
  <c r="AN71" i="15"/>
  <c r="BO39" i="36"/>
  <c r="BO11" i="36" s="1"/>
  <c r="BO40" i="36"/>
  <c r="BO12" i="36" s="1"/>
  <c r="BN9" i="36"/>
  <c r="BN44" i="39"/>
  <c r="BN39" i="39" s="1"/>
  <c r="BN49" i="39"/>
  <c r="BN48" i="39" s="1"/>
  <c r="BP27" i="36"/>
  <c r="BQ55" i="40"/>
  <c r="BQ51" i="40"/>
  <c r="AP71" i="15"/>
  <c r="AM153" i="54"/>
  <c r="BT73" i="40"/>
  <c r="BT64" i="40"/>
  <c r="BT17" i="40"/>
  <c r="BS26" i="40"/>
  <c r="BS44" i="40" s="1"/>
  <c r="BR49" i="40"/>
  <c r="BR63" i="40"/>
  <c r="BR65" i="40" s="1"/>
  <c r="BR66" i="40" s="1"/>
  <c r="BQ67" i="40"/>
  <c r="BQ28" i="36"/>
  <c r="BQ29" i="36" s="1"/>
  <c r="BS71" i="40"/>
  <c r="BS80" i="40" s="1"/>
  <c r="AQ5" i="15" s="1"/>
  <c r="AQ103" i="15" s="1"/>
  <c r="AQ118" i="15" s="1"/>
  <c r="AQ120" i="15" s="1"/>
  <c r="BR21" i="40"/>
  <c r="BT17" i="37"/>
  <c r="BU24" i="37" s="1"/>
  <c r="BU23" i="37" s="1"/>
  <c r="BS16" i="37"/>
  <c r="BS31" i="39" s="1"/>
  <c r="AQ105" i="15" l="1"/>
  <c r="AA105" i="15"/>
  <c r="BF57" i="37"/>
  <c r="BF56" i="37" s="1"/>
  <c r="BF32" i="39" s="1"/>
  <c r="BF28" i="39" s="1"/>
  <c r="BF15" i="39" s="1"/>
  <c r="BD72" i="40"/>
  <c r="BD71" i="40" s="1"/>
  <c r="BD80" i="40" s="1"/>
  <c r="AB5" i="15" s="1"/>
  <c r="BF64" i="40"/>
  <c r="AA92" i="54"/>
  <c r="BF73" i="40"/>
  <c r="BF21" i="40"/>
  <c r="BE54" i="39"/>
  <c r="BF63" i="40"/>
  <c r="BF49" i="40"/>
  <c r="BE52" i="40"/>
  <c r="BE51" i="40" s="1"/>
  <c r="BE66" i="40"/>
  <c r="BE67" i="40"/>
  <c r="BE28" i="36"/>
  <c r="BE29" i="36" s="1"/>
  <c r="AO71" i="15"/>
  <c r="BP39" i="36"/>
  <c r="BP11" i="36" s="1"/>
  <c r="BP40" i="36"/>
  <c r="BP12" i="36" s="1"/>
  <c r="BO9" i="36"/>
  <c r="BO49" i="39"/>
  <c r="BO48" i="39" s="1"/>
  <c r="BO44" i="39"/>
  <c r="BO39" i="39" s="1"/>
  <c r="BQ27" i="36"/>
  <c r="BR28" i="36"/>
  <c r="BR29" i="36" s="1"/>
  <c r="BR67" i="40"/>
  <c r="BT26" i="40"/>
  <c r="BT44" i="40" s="1"/>
  <c r="BR52" i="40"/>
  <c r="BR55" i="40" s="1"/>
  <c r="BS63" i="40"/>
  <c r="BS65" i="40" s="1"/>
  <c r="BS66" i="40" s="1"/>
  <c r="BS49" i="40"/>
  <c r="BS52" i="40" s="1"/>
  <c r="BT71" i="40"/>
  <c r="BT80" i="40" s="1"/>
  <c r="AR5" i="15" s="1"/>
  <c r="AR103" i="15" s="1"/>
  <c r="AR118" i="15" s="1"/>
  <c r="AR120" i="15" s="1"/>
  <c r="BU73" i="40"/>
  <c r="BU64" i="40"/>
  <c r="BU17" i="40"/>
  <c r="BS21" i="40"/>
  <c r="BT16" i="37"/>
  <c r="BT31" i="39" s="1"/>
  <c r="BU17" i="37"/>
  <c r="BV24" i="37" s="1"/>
  <c r="BV23" i="37" s="1"/>
  <c r="AR105" i="15" l="1"/>
  <c r="Y153" i="54"/>
  <c r="AB103" i="15"/>
  <c r="AB118" i="15" s="1"/>
  <c r="AB120" i="15" s="1"/>
  <c r="BG63" i="37"/>
  <c r="BG62" i="37" s="1"/>
  <c r="BG20" i="40" s="1"/>
  <c r="BG64" i="40" s="1"/>
  <c r="BF65" i="40"/>
  <c r="BF66" i="40" s="1"/>
  <c r="AB71" i="15"/>
  <c r="BF54" i="39"/>
  <c r="BE55" i="40"/>
  <c r="BE59" i="40" s="1"/>
  <c r="BE72" i="40" s="1"/>
  <c r="BE71" i="40" s="1"/>
  <c r="BE80" i="40" s="1"/>
  <c r="AC5" i="15" s="1"/>
  <c r="AC103" i="15" s="1"/>
  <c r="AC118" i="15" s="1"/>
  <c r="AC120" i="15" s="1"/>
  <c r="BF52" i="40"/>
  <c r="BF51" i="40" s="1"/>
  <c r="AN153" i="54"/>
  <c r="BQ39" i="36"/>
  <c r="BQ11" i="36" s="1"/>
  <c r="BQ40" i="36"/>
  <c r="BQ12" i="36" s="1"/>
  <c r="BP9" i="36"/>
  <c r="BP49" i="39"/>
  <c r="BP48" i="39" s="1"/>
  <c r="BP44" i="39"/>
  <c r="BP39" i="39" s="1"/>
  <c r="BR27" i="36"/>
  <c r="BU71" i="40"/>
  <c r="BU80" i="40" s="1"/>
  <c r="AS5" i="15" s="1"/>
  <c r="AS103" i="15" s="1"/>
  <c r="AS118" i="15" s="1"/>
  <c r="AS120" i="15" s="1"/>
  <c r="AO153" i="54"/>
  <c r="AR71" i="15"/>
  <c r="BU26" i="40"/>
  <c r="BU44" i="40" s="1"/>
  <c r="BR51" i="40"/>
  <c r="BT49" i="40"/>
  <c r="BT63" i="40"/>
  <c r="BT65" i="40" s="1"/>
  <c r="BT66" i="40" s="1"/>
  <c r="BV64" i="40"/>
  <c r="BV73" i="40"/>
  <c r="BV17" i="40"/>
  <c r="BS55" i="40"/>
  <c r="BS51" i="40"/>
  <c r="BS67" i="40"/>
  <c r="BS28" i="36"/>
  <c r="BS29" i="36" s="1"/>
  <c r="BT21" i="40"/>
  <c r="BV17" i="37"/>
  <c r="BW24" i="37" s="1"/>
  <c r="BW23" i="37" s="1"/>
  <c r="BU16" i="37"/>
  <c r="BU31" i="39" s="1"/>
  <c r="AB105" i="15" l="1"/>
  <c r="AS105" i="15"/>
  <c r="AC105" i="15"/>
  <c r="AB92" i="54"/>
  <c r="BF28" i="36"/>
  <c r="BF29" i="36" s="1"/>
  <c r="BG73" i="40"/>
  <c r="BG21" i="40"/>
  <c r="BF67" i="40"/>
  <c r="BG17" i="40"/>
  <c r="BG26" i="40" s="1"/>
  <c r="BG44" i="40" s="1"/>
  <c r="BG49" i="40" s="1"/>
  <c r="BG52" i="40" s="1"/>
  <c r="BG51" i="40" s="1"/>
  <c r="BG57" i="37"/>
  <c r="BG56" i="37" s="1"/>
  <c r="BG32" i="39" s="1"/>
  <c r="BG28" i="39" s="1"/>
  <c r="BG15" i="39" s="1"/>
  <c r="BE60" i="40"/>
  <c r="BF55" i="40"/>
  <c r="BF59" i="40" s="1"/>
  <c r="BF72" i="40" s="1"/>
  <c r="BF71" i="40" s="1"/>
  <c r="BF80" i="40" s="1"/>
  <c r="AD5" i="15" s="1"/>
  <c r="AD103" i="15" s="1"/>
  <c r="AD118" i="15" s="1"/>
  <c r="AD120" i="15" s="1"/>
  <c r="Z153" i="54"/>
  <c r="AC71" i="15"/>
  <c r="AQ71" i="15"/>
  <c r="BR39" i="36"/>
  <c r="BR11" i="36" s="1"/>
  <c r="BR40" i="36"/>
  <c r="BR12" i="36" s="1"/>
  <c r="BQ9" i="36"/>
  <c r="BQ49" i="39"/>
  <c r="BQ48" i="39" s="1"/>
  <c r="BQ44" i="39"/>
  <c r="BQ39" i="39" s="1"/>
  <c r="BS27" i="36"/>
  <c r="BW64" i="40"/>
  <c r="BW73" i="40"/>
  <c r="BW17" i="40"/>
  <c r="BW26" i="40" s="1"/>
  <c r="BW44" i="40" s="1"/>
  <c r="BV71" i="40"/>
  <c r="BV80" i="40" s="1"/>
  <c r="AT5" i="15" s="1"/>
  <c r="AT103" i="15" s="1"/>
  <c r="AT118" i="15" s="1"/>
  <c r="AT120" i="15" s="1"/>
  <c r="BT67" i="40"/>
  <c r="BT28" i="36"/>
  <c r="BT29" i="36" s="1"/>
  <c r="BV26" i="40"/>
  <c r="BV44" i="40" s="1"/>
  <c r="BT52" i="40"/>
  <c r="BT55" i="40" s="1"/>
  <c r="BU63" i="40"/>
  <c r="BU65" i="40" s="1"/>
  <c r="BU66" i="40" s="1"/>
  <c r="BU49" i="40"/>
  <c r="BU21" i="40"/>
  <c r="BW17" i="37"/>
  <c r="BW16" i="37" s="1"/>
  <c r="BW31" i="39" s="1"/>
  <c r="BV16" i="37"/>
  <c r="BV31" i="39" s="1"/>
  <c r="AT105" i="15" l="1"/>
  <c r="AD105" i="15"/>
  <c r="BG63" i="40"/>
  <c r="BG65" i="40" s="1"/>
  <c r="BG67" i="40" s="1"/>
  <c r="BH63" i="37"/>
  <c r="BH62" i="37" s="1"/>
  <c r="BH20" i="40" s="1"/>
  <c r="AC92" i="54" s="1"/>
  <c r="BG54" i="39"/>
  <c r="BF60" i="40"/>
  <c r="BG55" i="40"/>
  <c r="BG59" i="40" s="1"/>
  <c r="AA153" i="54"/>
  <c r="AD71" i="15"/>
  <c r="AP153" i="54"/>
  <c r="AQ153" i="54"/>
  <c r="BS39" i="36"/>
  <c r="BS11" i="36" s="1"/>
  <c r="BS40" i="36"/>
  <c r="BS12" i="36" s="1"/>
  <c r="BR9" i="36"/>
  <c r="BR44" i="39"/>
  <c r="BR39" i="39" s="1"/>
  <c r="BR49" i="39"/>
  <c r="BR48" i="39" s="1"/>
  <c r="BT27" i="36"/>
  <c r="BT51" i="40"/>
  <c r="BW49" i="40"/>
  <c r="BW63" i="40"/>
  <c r="BW65" i="40" s="1"/>
  <c r="BW66" i="40" s="1"/>
  <c r="BU52" i="40"/>
  <c r="BU55" i="40" s="1"/>
  <c r="BV49" i="40"/>
  <c r="BV63" i="40"/>
  <c r="BV65" i="40" s="1"/>
  <c r="BV66" i="40" s="1"/>
  <c r="BW71" i="40"/>
  <c r="BW80" i="40" s="1"/>
  <c r="AU5" i="15" s="1"/>
  <c r="AU103" i="15" s="1"/>
  <c r="AU118" i="15" s="1"/>
  <c r="AU120" i="15" s="1"/>
  <c r="BU67" i="40"/>
  <c r="BU28" i="36"/>
  <c r="BU29" i="36" s="1"/>
  <c r="BV21" i="40"/>
  <c r="BW21" i="40"/>
  <c r="AU105" i="15" l="1"/>
  <c r="BH57" i="37"/>
  <c r="BI63" i="37" s="1"/>
  <c r="BI62" i="37" s="1"/>
  <c r="BI20" i="40" s="1"/>
  <c r="BI64" i="40" s="1"/>
  <c r="BG66" i="40"/>
  <c r="BG28" i="36"/>
  <c r="BG29" i="36" s="1"/>
  <c r="BH73" i="40"/>
  <c r="BH17" i="40"/>
  <c r="BH21" i="40"/>
  <c r="BH64" i="40"/>
  <c r="BG72" i="40"/>
  <c r="BG71" i="40" s="1"/>
  <c r="BG80" i="40" s="1"/>
  <c r="AE5" i="15" s="1"/>
  <c r="AE103" i="15" s="1"/>
  <c r="AE118" i="15" s="1"/>
  <c r="AE120" i="15" s="1"/>
  <c r="BG60" i="40"/>
  <c r="AT71" i="15"/>
  <c r="AS71" i="15"/>
  <c r="BT39" i="36"/>
  <c r="BT11" i="36" s="1"/>
  <c r="BT40" i="36"/>
  <c r="BT12" i="36" s="1"/>
  <c r="BS9" i="36"/>
  <c r="BS44" i="39"/>
  <c r="BS39" i="39" s="1"/>
  <c r="BS49" i="39"/>
  <c r="BS48" i="39" s="1"/>
  <c r="BU27" i="36"/>
  <c r="BU51" i="40"/>
  <c r="BW67" i="40"/>
  <c r="BW28" i="36"/>
  <c r="BW29" i="36" s="1"/>
  <c r="BW52" i="40"/>
  <c r="BW51" i="40" s="1"/>
  <c r="BV67" i="40"/>
  <c r="BV28" i="36"/>
  <c r="BV29" i="36" s="1"/>
  <c r="BV52" i="40"/>
  <c r="BV55" i="40" s="1"/>
  <c r="AE105" i="15" l="1"/>
  <c r="BH56" i="37"/>
  <c r="BH32" i="39" s="1"/>
  <c r="BH28" i="39" s="1"/>
  <c r="BH15" i="39" s="1"/>
  <c r="BH54" i="39" s="1"/>
  <c r="BI17" i="40"/>
  <c r="BI26" i="40" s="1"/>
  <c r="BI44" i="40" s="1"/>
  <c r="BI63" i="40" s="1"/>
  <c r="BI65" i="40" s="1"/>
  <c r="BI66" i="40" s="1"/>
  <c r="BI21" i="40"/>
  <c r="AD92" i="54"/>
  <c r="BI57" i="37"/>
  <c r="BI56" i="37" s="1"/>
  <c r="BI32" i="39" s="1"/>
  <c r="BI28" i="39" s="1"/>
  <c r="BI15" i="39" s="1"/>
  <c r="BI54" i="39" s="1"/>
  <c r="BI73" i="40"/>
  <c r="BH26" i="40"/>
  <c r="BH44" i="40" s="1"/>
  <c r="BH63" i="40" s="1"/>
  <c r="BH65" i="40" s="1"/>
  <c r="BH28" i="36" s="1"/>
  <c r="BH29" i="36" s="1"/>
  <c r="AE71" i="15"/>
  <c r="AB153" i="54"/>
  <c r="AU71" i="15"/>
  <c r="BU39" i="36"/>
  <c r="BU11" i="36" s="1"/>
  <c r="BU40" i="36"/>
  <c r="BU12" i="36" s="1"/>
  <c r="BT9" i="36"/>
  <c r="BT44" i="39"/>
  <c r="BT39" i="39" s="1"/>
  <c r="BT49" i="39"/>
  <c r="BT48" i="39" s="1"/>
  <c r="BV27" i="36"/>
  <c r="BW55" i="40"/>
  <c r="BV51" i="40"/>
  <c r="BJ63" i="37" l="1"/>
  <c r="BJ62" i="37" s="1"/>
  <c r="BJ20" i="40" s="1"/>
  <c r="AE92" i="54" s="1"/>
  <c r="BI49" i="40"/>
  <c r="BI52" i="40" s="1"/>
  <c r="BI55" i="40" s="1"/>
  <c r="BI59" i="40" s="1"/>
  <c r="BI60" i="40" s="1"/>
  <c r="BH66" i="40"/>
  <c r="BI28" i="36"/>
  <c r="BI29" i="36" s="1"/>
  <c r="BI67" i="40"/>
  <c r="BH67" i="40"/>
  <c r="BH49" i="40"/>
  <c r="BW27" i="36"/>
  <c r="BV39" i="36"/>
  <c r="BV11" i="36" s="1"/>
  <c r="BV40" i="36"/>
  <c r="BV12" i="36" s="1"/>
  <c r="BU9" i="36"/>
  <c r="BU49" i="39"/>
  <c r="BU48" i="39" s="1"/>
  <c r="BU44" i="39"/>
  <c r="BU39" i="39" s="1"/>
  <c r="BW49" i="39"/>
  <c r="BW48" i="39" s="1"/>
  <c r="BW44" i="39"/>
  <c r="BW39" i="39" s="1"/>
  <c r="BJ57" i="37" l="1"/>
  <c r="BJ56" i="37" s="1"/>
  <c r="BJ32" i="39" s="1"/>
  <c r="BJ28" i="39" s="1"/>
  <c r="BJ15" i="39" s="1"/>
  <c r="BJ54" i="39" s="1"/>
  <c r="BJ64" i="40"/>
  <c r="BJ21" i="40"/>
  <c r="BJ73" i="40"/>
  <c r="BI72" i="40"/>
  <c r="BI71" i="40" s="1"/>
  <c r="BI80" i="40" s="1"/>
  <c r="AG5" i="15" s="1"/>
  <c r="BJ17" i="40"/>
  <c r="BJ26" i="40" s="1"/>
  <c r="BJ44" i="40" s="1"/>
  <c r="BJ49" i="40" s="1"/>
  <c r="BJ52" i="40" s="1"/>
  <c r="BJ51" i="40" s="1"/>
  <c r="BI51" i="40"/>
  <c r="BH52" i="40"/>
  <c r="BH51" i="40" s="1"/>
  <c r="BW39" i="36"/>
  <c r="BW11" i="36" s="1"/>
  <c r="BW40" i="36"/>
  <c r="BW12" i="36" s="1"/>
  <c r="BV9" i="36"/>
  <c r="BV44" i="39"/>
  <c r="BV39" i="39" s="1"/>
  <c r="BV49" i="39"/>
  <c r="BV48" i="39" s="1"/>
  <c r="AD153" i="54" l="1"/>
  <c r="AG103" i="15"/>
  <c r="AG118" i="15" s="1"/>
  <c r="AG120" i="15" s="1"/>
  <c r="BK63" i="37"/>
  <c r="BK62" i="37" s="1"/>
  <c r="BK20" i="40" s="1"/>
  <c r="BK21" i="40" s="1"/>
  <c r="BJ63" i="40"/>
  <c r="BJ65" i="40" s="1"/>
  <c r="BJ66" i="40" s="1"/>
  <c r="AG71" i="15"/>
  <c r="BH55" i="40"/>
  <c r="BH59" i="40" s="1"/>
  <c r="BH60" i="40" s="1"/>
  <c r="BJ55" i="40"/>
  <c r="BJ59" i="40" s="1"/>
  <c r="BJ60" i="40" s="1"/>
  <c r="BW9" i="36"/>
  <c r="AG105" i="15" l="1"/>
  <c r="BK17" i="40"/>
  <c r="BK26" i="40" s="1"/>
  <c r="BK44" i="40" s="1"/>
  <c r="BK63" i="40" s="1"/>
  <c r="AF92" i="54"/>
  <c r="BK57" i="37"/>
  <c r="BK56" i="37" s="1"/>
  <c r="BK32" i="39" s="1"/>
  <c r="BK28" i="39" s="1"/>
  <c r="BK15" i="39" s="1"/>
  <c r="BK54" i="39" s="1"/>
  <c r="BK73" i="40"/>
  <c r="BJ28" i="36"/>
  <c r="BJ29" i="36" s="1"/>
  <c r="BK64" i="40"/>
  <c r="BK65" i="40" s="1"/>
  <c r="BK66" i="40" s="1"/>
  <c r="BJ67" i="40"/>
  <c r="BH72" i="40"/>
  <c r="BH71" i="40" s="1"/>
  <c r="BH80" i="40" s="1"/>
  <c r="AF5" i="15" s="1"/>
  <c r="BJ72" i="40"/>
  <c r="BJ71" i="40" s="1"/>
  <c r="BJ80" i="40" s="1"/>
  <c r="AH5" i="15" s="1"/>
  <c r="BK49" i="40" l="1"/>
  <c r="BK52" i="40" s="1"/>
  <c r="BK51" i="40" s="1"/>
  <c r="AH71" i="15"/>
  <c r="AH103" i="15"/>
  <c r="AH118" i="15" s="1"/>
  <c r="AH120" i="15" s="1"/>
  <c r="AF71" i="15"/>
  <c r="AF103" i="15"/>
  <c r="AF118" i="15" s="1"/>
  <c r="AF120" i="15" s="1"/>
  <c r="BL63" i="37"/>
  <c r="BL62" i="37" s="1"/>
  <c r="BK28" i="36"/>
  <c r="BK29" i="36" s="1"/>
  <c r="BK67" i="40"/>
  <c r="AC153" i="54"/>
  <c r="BK55" i="40"/>
  <c r="BK59" i="40" s="1"/>
  <c r="BK60" i="40" s="1"/>
  <c r="AE153" i="54"/>
  <c r="AF105" i="15" l="1"/>
  <c r="AH105" i="15"/>
  <c r="BL57" i="37"/>
  <c r="BL56" i="37" s="1"/>
  <c r="BL32" i="39" s="1"/>
  <c r="BL28" i="39" s="1"/>
  <c r="BL15" i="39" s="1"/>
  <c r="BL54" i="39" s="1"/>
  <c r="BK72" i="40"/>
  <c r="BK71" i="40" s="1"/>
  <c r="BK80" i="40" s="1"/>
  <c r="AI5" i="15" s="1"/>
  <c r="AI103" i="15" s="1"/>
  <c r="AI118" i="15" s="1"/>
  <c r="AI120" i="15" s="1"/>
  <c r="B122" i="15" l="1"/>
  <c r="AI105" i="15"/>
  <c r="BM63" i="37"/>
  <c r="BM62" i="37" s="1"/>
  <c r="AI71" i="15"/>
  <c r="AF153" i="54"/>
  <c r="BM57" i="37"/>
  <c r="B107" i="15" l="1"/>
  <c r="BM56" i="37"/>
  <c r="BM32" i="39" s="1"/>
  <c r="BM28" i="39" s="1"/>
  <c r="BM15" i="39" s="1"/>
  <c r="BM54" i="39" s="1"/>
  <c r="BN63" i="37"/>
  <c r="BN62" i="37" s="1"/>
  <c r="AG31" i="36"/>
  <c r="E16" i="15" s="1"/>
  <c r="E14" i="15" s="1"/>
  <c r="E12" i="15" s="1"/>
  <c r="E18" i="15" s="1"/>
  <c r="AG38" i="39"/>
  <c r="AS87" i="54"/>
  <c r="Q145" i="54"/>
  <c r="Z145" i="54"/>
  <c r="AH145" i="54"/>
  <c r="AM145" i="54"/>
  <c r="AC145" i="54"/>
  <c r="AF145" i="54"/>
  <c r="AG145" i="54"/>
  <c r="G145" i="54"/>
  <c r="P145" i="54"/>
  <c r="N145" i="54"/>
  <c r="AL145" i="54"/>
  <c r="I145" i="54"/>
  <c r="C145" i="54"/>
  <c r="K145" i="54"/>
  <c r="AJ145" i="54"/>
  <c r="AK145" i="54"/>
  <c r="AN145" i="54"/>
  <c r="AP145" i="54"/>
  <c r="D145" i="54"/>
  <c r="Y145" i="54"/>
  <c r="X145" i="54"/>
  <c r="W145" i="54"/>
  <c r="V145" i="54"/>
  <c r="M145" i="54"/>
  <c r="AD145" i="54"/>
  <c r="E145" i="54"/>
  <c r="R145" i="54"/>
  <c r="B236" i="54"/>
  <c r="AO145" i="54"/>
  <c r="U145" i="54"/>
  <c r="L145" i="54"/>
  <c r="H145" i="54"/>
  <c r="AI145" i="54"/>
  <c r="AA145" i="54"/>
  <c r="T145" i="54"/>
  <c r="AQ145" i="54"/>
  <c r="AB145" i="54"/>
  <c r="AE145" i="54"/>
  <c r="B145" i="54"/>
  <c r="S145" i="54"/>
  <c r="J145" i="54"/>
  <c r="F145" i="54"/>
  <c r="O145" i="54"/>
  <c r="Y136" i="54"/>
  <c r="U136" i="54"/>
  <c r="AG136" i="54"/>
  <c r="H136" i="54"/>
  <c r="AP136" i="54"/>
  <c r="Z136" i="54"/>
  <c r="AN136" i="54"/>
  <c r="G136" i="54"/>
  <c r="AF136" i="54"/>
  <c r="AO136" i="54"/>
  <c r="AE136" i="54"/>
  <c r="AL136" i="54"/>
  <c r="AK149" i="54"/>
  <c r="AN139" i="54"/>
  <c r="AF139" i="54"/>
  <c r="C87" i="54"/>
  <c r="AK142" i="54"/>
  <c r="B136" i="54"/>
  <c r="AA136" i="54"/>
  <c r="D136" i="54"/>
  <c r="Q136" i="54"/>
  <c r="T136" i="54"/>
  <c r="AJ136" i="54"/>
  <c r="N136" i="54"/>
  <c r="E136" i="54"/>
  <c r="W136" i="54"/>
  <c r="AD136" i="54"/>
  <c r="P136" i="54"/>
  <c r="AL146" i="54"/>
  <c r="AH146" i="54"/>
  <c r="AG146" i="54"/>
  <c r="F136" i="54"/>
  <c r="AN142" i="54"/>
  <c r="C136" i="54"/>
  <c r="AQ136" i="54"/>
  <c r="R136" i="54"/>
  <c r="AO149" i="54"/>
  <c r="AE149" i="54"/>
  <c r="AO146" i="54"/>
  <c r="AH142" i="54"/>
  <c r="AC136" i="54"/>
  <c r="AG142" i="54"/>
  <c r="AN149" i="54"/>
  <c r="AF149" i="54"/>
  <c r="AK146" i="54"/>
  <c r="AE142" i="54"/>
  <c r="AH136" i="54"/>
  <c r="AH149" i="54"/>
  <c r="AL149" i="54"/>
  <c r="AG139" i="54"/>
  <c r="B150" i="54"/>
  <c r="I136" i="54"/>
  <c r="AF142" i="54"/>
  <c r="AE139" i="54"/>
  <c r="S136" i="54"/>
  <c r="X136" i="54"/>
  <c r="V136" i="54"/>
  <c r="L136" i="54"/>
  <c r="O136" i="54"/>
  <c r="J136" i="54"/>
  <c r="AB136" i="54"/>
  <c r="AO139" i="54"/>
  <c r="AE146" i="54"/>
  <c r="AG149" i="54"/>
  <c r="K136" i="54"/>
  <c r="AM136" i="54"/>
  <c r="AI136" i="54"/>
  <c r="AL139" i="54"/>
  <c r="C150" i="54"/>
  <c r="AF146" i="54"/>
  <c r="AN146" i="54"/>
  <c r="AL142" i="54"/>
  <c r="AO142" i="54"/>
  <c r="M136" i="54"/>
  <c r="AK136" i="54"/>
  <c r="AK138" i="54"/>
  <c r="AJ149" i="54"/>
  <c r="AK139" i="54"/>
  <c r="AG138" i="54"/>
  <c r="AL140" i="54"/>
  <c r="AI142" i="54"/>
  <c r="D139" i="54"/>
  <c r="AP149" i="54"/>
  <c r="AF138" i="54"/>
  <c r="AO140" i="54"/>
  <c r="AI139" i="54"/>
  <c r="AF140" i="54"/>
  <c r="AG140" i="54"/>
  <c r="B140" i="54"/>
  <c r="AM139" i="54"/>
  <c r="AM149" i="54"/>
  <c r="AL138" i="54"/>
  <c r="AP142" i="54"/>
  <c r="AH140" i="54"/>
  <c r="AK140" i="54"/>
  <c r="AJ139" i="54"/>
  <c r="AQ149" i="54"/>
  <c r="D150" i="54"/>
  <c r="AN138" i="54"/>
  <c r="AN140" i="54"/>
  <c r="AH138" i="54"/>
  <c r="AO138" i="54"/>
  <c r="E87" i="54"/>
  <c r="AJ142" i="54"/>
  <c r="D87" i="54"/>
  <c r="E150" i="54"/>
  <c r="AP146" i="54"/>
  <c r="AE140" i="54"/>
  <c r="AP139" i="54"/>
  <c r="AM146" i="54"/>
  <c r="AQ146" i="54"/>
  <c r="AJ146" i="54"/>
  <c r="AH139" i="54"/>
  <c r="AM142" i="54"/>
  <c r="AE138" i="54"/>
  <c r="AQ139" i="54"/>
  <c r="AI149" i="54"/>
  <c r="AI146" i="54"/>
  <c r="AQ142" i="54"/>
  <c r="B139" i="54"/>
  <c r="AQ138" i="54"/>
  <c r="AM140" i="54"/>
  <c r="AI140" i="54"/>
  <c r="AQ140" i="54"/>
  <c r="AM138" i="54"/>
  <c r="AP138" i="54"/>
  <c r="B138" i="54"/>
  <c r="C139" i="54"/>
  <c r="AJ140" i="54"/>
  <c r="AJ138" i="54"/>
  <c r="AI138" i="54"/>
  <c r="F150" i="54"/>
  <c r="AP140" i="54"/>
  <c r="B144" i="54"/>
  <c r="D138" i="54"/>
  <c r="C138" i="54"/>
  <c r="B137" i="54"/>
  <c r="F87" i="54"/>
  <c r="E139" i="54"/>
  <c r="G150" i="54"/>
  <c r="G87" i="54"/>
  <c r="B142" i="54"/>
  <c r="F139" i="54"/>
  <c r="G139" i="54"/>
  <c r="B141" i="54"/>
  <c r="B149" i="54"/>
  <c r="E138" i="54"/>
  <c r="H139" i="54"/>
  <c r="B146" i="54"/>
  <c r="G138" i="54"/>
  <c r="F138" i="54"/>
  <c r="H150" i="54"/>
  <c r="H87" i="54"/>
  <c r="I139" i="54"/>
  <c r="C140" i="54"/>
  <c r="E146" i="54"/>
  <c r="H138" i="54"/>
  <c r="C146" i="54"/>
  <c r="J139" i="54"/>
  <c r="D146" i="54"/>
  <c r="I138" i="54"/>
  <c r="I150" i="54"/>
  <c r="F146" i="54"/>
  <c r="I87" i="54"/>
  <c r="K139" i="54"/>
  <c r="J138" i="54"/>
  <c r="G146" i="54"/>
  <c r="L139" i="54"/>
  <c r="K138" i="54"/>
  <c r="J150" i="54"/>
  <c r="H146" i="54"/>
  <c r="J87" i="54"/>
  <c r="M139" i="54"/>
  <c r="L138" i="54"/>
  <c r="I146" i="54"/>
  <c r="N139" i="54"/>
  <c r="M138" i="54"/>
  <c r="J146" i="54"/>
  <c r="K150" i="54"/>
  <c r="O139" i="54"/>
  <c r="K87" i="54"/>
  <c r="N138" i="54"/>
  <c r="P139" i="54"/>
  <c r="K146" i="54"/>
  <c r="O138" i="54"/>
  <c r="Q139" i="54"/>
  <c r="L150" i="54"/>
  <c r="L146" i="54"/>
  <c r="L87" i="54"/>
  <c r="P138" i="54"/>
  <c r="M146" i="54"/>
  <c r="R139" i="54"/>
  <c r="Q138" i="54"/>
  <c r="N146" i="54"/>
  <c r="M150" i="54"/>
  <c r="S139" i="54"/>
  <c r="M87" i="54"/>
  <c r="R138" i="54"/>
  <c r="O146" i="54"/>
  <c r="T139" i="54"/>
  <c r="S138" i="54"/>
  <c r="P146" i="54"/>
  <c r="N150" i="54"/>
  <c r="N87" i="54"/>
  <c r="U139" i="54"/>
  <c r="T138" i="54"/>
  <c r="Q146" i="54"/>
  <c r="V139" i="54"/>
  <c r="U138" i="54"/>
  <c r="O150" i="54"/>
  <c r="O87" i="54"/>
  <c r="R146" i="54"/>
  <c r="W139" i="54"/>
  <c r="V138" i="54"/>
  <c r="X139" i="54"/>
  <c r="S146" i="54"/>
  <c r="W138" i="54"/>
  <c r="Y139" i="54"/>
  <c r="P150" i="54"/>
  <c r="P87" i="54"/>
  <c r="X138" i="54"/>
  <c r="T146" i="54"/>
  <c r="Z139" i="54"/>
  <c r="U146" i="54"/>
  <c r="Y138" i="54"/>
  <c r="Q87" i="54"/>
  <c r="Q150" i="54"/>
  <c r="AA139" i="54"/>
  <c r="V146" i="54"/>
  <c r="Z138" i="54"/>
  <c r="W146" i="54"/>
  <c r="AB139" i="54"/>
  <c r="AA138" i="54"/>
  <c r="R150" i="54"/>
  <c r="AC139" i="54"/>
  <c r="R87" i="54"/>
  <c r="X146" i="54"/>
  <c r="AB138" i="54"/>
  <c r="Y146" i="54"/>
  <c r="AD139" i="54"/>
  <c r="AC138" i="54"/>
  <c r="S150" i="54"/>
  <c r="S87" i="54"/>
  <c r="Z146" i="54"/>
  <c r="AD138" i="54"/>
  <c r="AA146" i="54"/>
  <c r="T150" i="54"/>
  <c r="T87" i="54"/>
  <c r="AB146" i="54"/>
  <c r="AC146" i="54"/>
  <c r="U150" i="54"/>
  <c r="U87" i="54"/>
  <c r="AD146" i="54"/>
  <c r="V150" i="54"/>
  <c r="V87" i="54"/>
  <c r="W150" i="54"/>
  <c r="W87" i="54"/>
  <c r="X150" i="54"/>
  <c r="X87" i="54"/>
  <c r="Y150" i="54"/>
  <c r="Y87" i="54"/>
  <c r="Z150" i="54"/>
  <c r="Z87" i="54"/>
  <c r="AA150" i="54"/>
  <c r="AA87" i="54"/>
  <c r="AB150" i="54"/>
  <c r="AB87" i="54"/>
  <c r="AC150" i="54"/>
  <c r="AC87" i="54"/>
  <c r="AD150" i="54"/>
  <c r="AD87" i="54"/>
  <c r="D144" i="54"/>
  <c r="C137" i="54"/>
  <c r="C144" i="54"/>
  <c r="D137" i="54"/>
  <c r="AE150" i="54"/>
  <c r="AE87" i="54"/>
  <c r="E137" i="54"/>
  <c r="E144" i="54"/>
  <c r="AF150" i="54"/>
  <c r="AF87" i="54"/>
  <c r="F137" i="54"/>
  <c r="F144" i="54"/>
  <c r="C142" i="54"/>
  <c r="G144" i="54"/>
  <c r="G137" i="54"/>
  <c r="C141" i="54"/>
  <c r="H137" i="54"/>
  <c r="H144" i="54"/>
  <c r="I137" i="54"/>
  <c r="AG150" i="54"/>
  <c r="AG87" i="54"/>
  <c r="I144" i="54"/>
  <c r="C149" i="54"/>
  <c r="D149" i="54"/>
  <c r="J144" i="54"/>
  <c r="J137" i="54"/>
  <c r="E149" i="54"/>
  <c r="AH150" i="54"/>
  <c r="AH87" i="54"/>
  <c r="K137" i="54"/>
  <c r="K144" i="54"/>
  <c r="F149" i="54"/>
  <c r="E140" i="54"/>
  <c r="D140" i="54"/>
  <c r="L137" i="54"/>
  <c r="L144" i="54"/>
  <c r="G149" i="54"/>
  <c r="M137" i="54"/>
  <c r="H149" i="54"/>
  <c r="F140" i="54"/>
  <c r="AI150" i="54"/>
  <c r="AI87" i="54"/>
  <c r="M144" i="54"/>
  <c r="G140" i="54"/>
  <c r="E141" i="54"/>
  <c r="N137" i="54"/>
  <c r="I140" i="54"/>
  <c r="E142" i="54"/>
  <c r="D142" i="54"/>
  <c r="F141" i="54"/>
  <c r="I149" i="54"/>
  <c r="D141" i="54"/>
  <c r="F142" i="54"/>
  <c r="N144" i="54"/>
  <c r="H140" i="54"/>
  <c r="J149" i="54"/>
  <c r="O137" i="54"/>
  <c r="G141" i="54"/>
  <c r="H141" i="54"/>
  <c r="O144" i="54"/>
  <c r="I141" i="54"/>
  <c r="I142" i="54"/>
  <c r="G142" i="54"/>
  <c r="AJ150" i="54"/>
  <c r="AJ87" i="54"/>
  <c r="J140" i="54"/>
  <c r="J141" i="54"/>
  <c r="P144" i="54"/>
  <c r="H142" i="54"/>
  <c r="K149" i="54"/>
  <c r="P137" i="54"/>
  <c r="K140" i="54"/>
  <c r="L149" i="54"/>
  <c r="Q144" i="54"/>
  <c r="AK150" i="54"/>
  <c r="AK87" i="54"/>
  <c r="J142" i="54"/>
  <c r="K141" i="54"/>
  <c r="Q137" i="54"/>
  <c r="M149" i="54"/>
  <c r="L140" i="54"/>
  <c r="R144" i="54"/>
  <c r="R137" i="54"/>
  <c r="K142" i="54"/>
  <c r="N149" i="54"/>
  <c r="S137" i="54"/>
  <c r="AL150" i="54"/>
  <c r="M140" i="54"/>
  <c r="M141" i="54"/>
  <c r="L141" i="54"/>
  <c r="S144" i="54"/>
  <c r="AL87" i="54"/>
  <c r="N140" i="54"/>
  <c r="T137" i="54"/>
  <c r="O149" i="54"/>
  <c r="M142" i="54"/>
  <c r="T144" i="54"/>
  <c r="L142" i="54"/>
  <c r="P149" i="54"/>
  <c r="N141" i="54"/>
  <c r="O140" i="54"/>
  <c r="AM150" i="54"/>
  <c r="N142" i="54"/>
  <c r="U137" i="54"/>
  <c r="U144" i="54"/>
  <c r="AM87" i="54"/>
  <c r="Q149" i="54"/>
  <c r="O141" i="54"/>
  <c r="V137" i="54"/>
  <c r="P140" i="54"/>
  <c r="O142" i="54"/>
  <c r="V144" i="54"/>
  <c r="Q140" i="54"/>
  <c r="AN150" i="54"/>
  <c r="AN87" i="54"/>
  <c r="W137" i="54"/>
  <c r="W144" i="54"/>
  <c r="Q141" i="54"/>
  <c r="P141" i="54"/>
  <c r="R149" i="54"/>
  <c r="R140" i="54"/>
  <c r="S149" i="54"/>
  <c r="X144" i="54"/>
  <c r="X137" i="54"/>
  <c r="R141" i="54"/>
  <c r="Q142" i="54"/>
  <c r="S140" i="54"/>
  <c r="Y137" i="54"/>
  <c r="T149" i="54"/>
  <c r="AO150" i="54"/>
  <c r="AO87" i="54"/>
  <c r="Y144" i="54"/>
  <c r="R142" i="54"/>
  <c r="U149" i="54"/>
  <c r="Z144" i="54"/>
  <c r="Z137" i="54"/>
  <c r="S141" i="54"/>
  <c r="T140" i="54"/>
  <c r="S142" i="54"/>
  <c r="AP150" i="54"/>
  <c r="AP87" i="54"/>
  <c r="T141" i="54"/>
  <c r="AA137" i="54"/>
  <c r="AA144" i="54"/>
  <c r="T142" i="54"/>
  <c r="V149" i="54"/>
  <c r="U140" i="54"/>
  <c r="W149" i="54"/>
  <c r="V140" i="54"/>
  <c r="AB137" i="54"/>
  <c r="AB144" i="54"/>
  <c r="U142" i="54"/>
  <c r="U141" i="54"/>
  <c r="W140" i="54"/>
  <c r="V142" i="54"/>
  <c r="X149" i="54"/>
  <c r="AC137" i="54"/>
  <c r="AC144" i="54"/>
  <c r="V141" i="54"/>
  <c r="AQ150" i="54"/>
  <c r="AQ87" i="54"/>
  <c r="Y149" i="54"/>
  <c r="W142" i="54"/>
  <c r="X140" i="54"/>
  <c r="W141" i="54"/>
  <c r="AD137" i="54"/>
  <c r="X141" i="54"/>
  <c r="AD144" i="54"/>
  <c r="AR87" i="54"/>
  <c r="Z149" i="54"/>
  <c r="Y140" i="54"/>
  <c r="Y141" i="54"/>
  <c r="Z140" i="54"/>
  <c r="X142" i="54"/>
  <c r="AE144" i="54"/>
  <c r="AE137" i="54"/>
  <c r="Z141" i="54"/>
  <c r="AF137" i="54"/>
  <c r="AF144" i="54"/>
  <c r="AA140" i="54"/>
  <c r="AA149" i="54"/>
  <c r="Y142" i="54"/>
  <c r="AB149" i="54"/>
  <c r="AA141" i="54"/>
  <c r="AG137" i="54"/>
  <c r="AG144" i="54"/>
  <c r="Z142" i="54"/>
  <c r="AB140" i="54"/>
  <c r="AH137" i="54"/>
  <c r="AA142" i="54"/>
  <c r="AH144" i="54"/>
  <c r="AB141" i="54"/>
  <c r="AC149" i="54"/>
  <c r="AE141" i="54"/>
  <c r="AC140" i="54"/>
  <c r="AI137" i="54"/>
  <c r="AB142" i="54"/>
  <c r="AI144" i="54"/>
  <c r="AD140" i="54"/>
  <c r="AF141" i="54"/>
  <c r="AD149" i="54"/>
  <c r="AC141" i="54"/>
  <c r="AG141" i="54"/>
  <c r="AC142" i="54"/>
  <c r="AJ137" i="54"/>
  <c r="AJ144" i="54"/>
  <c r="AH141" i="54"/>
  <c r="AK137" i="54"/>
  <c r="AD142" i="54"/>
  <c r="AK144" i="54"/>
  <c r="AD141" i="54"/>
  <c r="AI141" i="54"/>
  <c r="AL144" i="54"/>
  <c r="AL137" i="54"/>
  <c r="AJ141" i="54"/>
  <c r="AM144" i="54"/>
  <c r="AK141" i="54"/>
  <c r="AM137" i="54"/>
  <c r="AL141" i="54"/>
  <c r="AN144" i="54"/>
  <c r="AN137" i="54"/>
  <c r="AO137" i="54"/>
  <c r="AO144" i="54"/>
  <c r="AP137" i="54"/>
  <c r="AM141" i="54"/>
  <c r="AN141" i="54"/>
  <c r="AP144" i="54"/>
  <c r="AQ137" i="54"/>
  <c r="AQ144" i="54"/>
  <c r="AO141" i="54"/>
  <c r="AP141" i="54"/>
  <c r="AQ141" i="54"/>
  <c r="E20" i="15" l="1"/>
  <c r="E24" i="15" s="1"/>
  <c r="B124" i="15"/>
  <c r="B109" i="15"/>
  <c r="B111" i="15" s="1"/>
  <c r="BN57" i="37"/>
  <c r="BN56" i="37" s="1"/>
  <c r="BN32" i="39" s="1"/>
  <c r="BN28" i="39" s="1"/>
  <c r="BN15" i="39" s="1"/>
  <c r="BN54" i="39" s="1"/>
  <c r="AH31" i="36"/>
  <c r="F16" i="15" s="1"/>
  <c r="F14" i="15" s="1"/>
  <c r="F12" i="15" s="1"/>
  <c r="F18" i="15" s="1"/>
  <c r="F20" i="15" s="1"/>
  <c r="P147" i="54"/>
  <c r="P151" i="54" s="1"/>
  <c r="N147" i="54"/>
  <c r="N151" i="54" s="1"/>
  <c r="U147" i="54"/>
  <c r="U151" i="54" s="1"/>
  <c r="M147" i="54"/>
  <c r="M151" i="54" s="1"/>
  <c r="AA147" i="54"/>
  <c r="AA151" i="54" s="1"/>
  <c r="J147" i="54"/>
  <c r="J151" i="54" s="1"/>
  <c r="AD147" i="54"/>
  <c r="AD151" i="54" s="1"/>
  <c r="X147" i="54"/>
  <c r="X151" i="54" s="1"/>
  <c r="F147" i="54"/>
  <c r="F151" i="54" s="1"/>
  <c r="AC147" i="54"/>
  <c r="AC151" i="54" s="1"/>
  <c r="C147" i="54"/>
  <c r="C151" i="54" s="1"/>
  <c r="T147" i="54"/>
  <c r="T151" i="54" s="1"/>
  <c r="Q147" i="54"/>
  <c r="Q151" i="54" s="1"/>
  <c r="O147" i="54"/>
  <c r="O151" i="54" s="1"/>
  <c r="G147" i="54"/>
  <c r="G151" i="54" s="1"/>
  <c r="AB147" i="54"/>
  <c r="AB151" i="54" s="1"/>
  <c r="I147" i="54"/>
  <c r="I151" i="54" s="1"/>
  <c r="H147" i="54"/>
  <c r="H151" i="54" s="1"/>
  <c r="D147" i="54"/>
  <c r="D151" i="54" s="1"/>
  <c r="R147" i="54"/>
  <c r="R151" i="54" s="1"/>
  <c r="AP147" i="54"/>
  <c r="AP151" i="54" s="1"/>
  <c r="AF147" i="54"/>
  <c r="AF151" i="54" s="1"/>
  <c r="Z147" i="54"/>
  <c r="Z151" i="54" s="1"/>
  <c r="W147" i="54"/>
  <c r="W151" i="54" s="1"/>
  <c r="V147" i="54"/>
  <c r="V151" i="54" s="1"/>
  <c r="S147" i="54"/>
  <c r="S151" i="54" s="1"/>
  <c r="K147" i="54"/>
  <c r="K151" i="54" s="1"/>
  <c r="AM147" i="54"/>
  <c r="AM151" i="54" s="1"/>
  <c r="AG147" i="54"/>
  <c r="AG151" i="54" s="1"/>
  <c r="L147" i="54"/>
  <c r="L151" i="54" s="1"/>
  <c r="AI147" i="54"/>
  <c r="AI151" i="54" s="1"/>
  <c r="AO147" i="54"/>
  <c r="AO151" i="54" s="1"/>
  <c r="AN147" i="54"/>
  <c r="AN151" i="54" s="1"/>
  <c r="AK147" i="54"/>
  <c r="AK151" i="54" s="1"/>
  <c r="AJ147" i="54"/>
  <c r="AJ151" i="54" s="1"/>
  <c r="AL147" i="54"/>
  <c r="AL151" i="54" s="1"/>
  <c r="AH147" i="54"/>
  <c r="AH151" i="54" s="1"/>
  <c r="E147" i="54"/>
  <c r="E151" i="54" s="1"/>
  <c r="AQ147" i="54"/>
  <c r="AQ151" i="54" s="1"/>
  <c r="Y147" i="54"/>
  <c r="Y151" i="54" s="1"/>
  <c r="B147" i="54"/>
  <c r="B151" i="54" s="1"/>
  <c r="AE147" i="54"/>
  <c r="AE151" i="54" s="1"/>
  <c r="AH38" i="39"/>
  <c r="B126" i="15" l="1"/>
  <c r="B128" i="15" s="1"/>
  <c r="E67" i="15"/>
  <c r="E68" i="15" s="1"/>
  <c r="BO63" i="37"/>
  <c r="BO62" i="37" s="1"/>
  <c r="E72" i="15"/>
  <c r="E25" i="15"/>
  <c r="F24" i="15"/>
  <c r="F25" i="15" s="1"/>
  <c r="F67" i="15"/>
  <c r="AI31" i="36"/>
  <c r="G16" i="15" s="1"/>
  <c r="G14" i="15" s="1"/>
  <c r="G12" i="15" s="1"/>
  <c r="G18" i="15" s="1"/>
  <c r="G20" i="15" s="1"/>
  <c r="AI38" i="39"/>
  <c r="F68" i="15" l="1"/>
  <c r="BO57" i="37"/>
  <c r="BO56" i="37" s="1"/>
  <c r="BO32" i="39" s="1"/>
  <c r="BO28" i="39" s="1"/>
  <c r="BO15" i="39" s="1"/>
  <c r="BO54" i="39" s="1"/>
  <c r="F72" i="15"/>
  <c r="G67" i="15"/>
  <c r="G24" i="15"/>
  <c r="G72" i="15" s="1"/>
  <c r="AJ31" i="36"/>
  <c r="H16" i="15" s="1"/>
  <c r="H14" i="15" s="1"/>
  <c r="H12" i="15" s="1"/>
  <c r="H18" i="15" s="1"/>
  <c r="H20" i="15" s="1"/>
  <c r="AK31" i="36"/>
  <c r="I16" i="15" s="1"/>
  <c r="I14" i="15" s="1"/>
  <c r="I12" i="15" s="1"/>
  <c r="I18" i="15" s="1"/>
  <c r="I20" i="15" s="1"/>
  <c r="I67" i="15" s="1"/>
  <c r="AJ38" i="39"/>
  <c r="G68" i="15" l="1"/>
  <c r="BP63" i="37"/>
  <c r="BP62" i="37" s="1"/>
  <c r="G25" i="15"/>
  <c r="H24" i="15"/>
  <c r="H72" i="15" s="1"/>
  <c r="H67" i="15"/>
  <c r="AK38" i="39"/>
  <c r="AL31" i="36"/>
  <c r="J16" i="15" s="1"/>
  <c r="J14" i="15" s="1"/>
  <c r="J12" i="15" s="1"/>
  <c r="J18" i="15" s="1"/>
  <c r="J20" i="15" s="1"/>
  <c r="J67" i="15" s="1"/>
  <c r="H68" i="15" l="1"/>
  <c r="I68" i="15" s="1"/>
  <c r="J68" i="15" s="1"/>
  <c r="BP57" i="37"/>
  <c r="BQ63" i="37" s="1"/>
  <c r="H25" i="15"/>
  <c r="I24" i="15"/>
  <c r="J24" i="15" s="1"/>
  <c r="AM31" i="36"/>
  <c r="K16" i="15" s="1"/>
  <c r="K14" i="15" s="1"/>
  <c r="K12" i="15" s="1"/>
  <c r="K18" i="15" s="1"/>
  <c r="K20" i="15" s="1"/>
  <c r="K67" i="15" s="1"/>
  <c r="AL38" i="39"/>
  <c r="BP56" i="37" l="1"/>
  <c r="BP32" i="39" s="1"/>
  <c r="BP28" i="39" s="1"/>
  <c r="BP15" i="39" s="1"/>
  <c r="BP54" i="39" s="1"/>
  <c r="BQ62" i="37"/>
  <c r="BQ57" i="37"/>
  <c r="I25" i="15"/>
  <c r="I72" i="15"/>
  <c r="K68" i="15"/>
  <c r="J72" i="15"/>
  <c r="J25" i="15"/>
  <c r="K24" i="15"/>
  <c r="AM38" i="39"/>
  <c r="AN31" i="36"/>
  <c r="L16" i="15" s="1"/>
  <c r="L14" i="15" s="1"/>
  <c r="L12" i="15" s="1"/>
  <c r="L18" i="15" s="1"/>
  <c r="L20" i="15" s="1"/>
  <c r="L67" i="15" s="1"/>
  <c r="BR63" i="37" l="1"/>
  <c r="BR62" i="37" s="1"/>
  <c r="BQ56" i="37"/>
  <c r="BQ32" i="39" s="1"/>
  <c r="BQ28" i="39" s="1"/>
  <c r="BQ15" i="39" s="1"/>
  <c r="BQ54" i="39" s="1"/>
  <c r="K69" i="15"/>
  <c r="K71" i="15" s="1"/>
  <c r="K72" i="15" s="1"/>
  <c r="L68" i="15"/>
  <c r="L24" i="15"/>
  <c r="K25" i="15"/>
  <c r="AO31" i="36"/>
  <c r="M16" i="15" s="1"/>
  <c r="M14" i="15" s="1"/>
  <c r="M12" i="15" s="1"/>
  <c r="M18" i="15" s="1"/>
  <c r="M20" i="15" s="1"/>
  <c r="M67" i="15" s="1"/>
  <c r="AN38" i="39"/>
  <c r="BR57" i="37" l="1"/>
  <c r="BS63" i="37" s="1"/>
  <c r="BS62" i="37" s="1"/>
  <c r="L69" i="15"/>
  <c r="M68" i="15"/>
  <c r="M24" i="15"/>
  <c r="L25" i="15"/>
  <c r="L72" i="15"/>
  <c r="AO38" i="39"/>
  <c r="AP31" i="36"/>
  <c r="N16" i="15" s="1"/>
  <c r="N14" i="15" s="1"/>
  <c r="N12" i="15" s="1"/>
  <c r="N18" i="15" s="1"/>
  <c r="N20" i="15" s="1"/>
  <c r="N67" i="15" s="1"/>
  <c r="BS57" i="37" l="1"/>
  <c r="BS56" i="37" s="1"/>
  <c r="BS32" i="39" s="1"/>
  <c r="BS28" i="39" s="1"/>
  <c r="BS15" i="39" s="1"/>
  <c r="BS54" i="39" s="1"/>
  <c r="BR56" i="37"/>
  <c r="BR32" i="39" s="1"/>
  <c r="BR28" i="39" s="1"/>
  <c r="BR15" i="39" s="1"/>
  <c r="BR54" i="39" s="1"/>
  <c r="N68" i="15"/>
  <c r="M69" i="15"/>
  <c r="N24" i="15"/>
  <c r="M72" i="15"/>
  <c r="M25" i="15"/>
  <c r="AQ31" i="36"/>
  <c r="O16" i="15" s="1"/>
  <c r="O14" i="15" s="1"/>
  <c r="O12" i="15" s="1"/>
  <c r="O18" i="15" s="1"/>
  <c r="O20" i="15" s="1"/>
  <c r="O67" i="15" s="1"/>
  <c r="AP38" i="39"/>
  <c r="BT63" i="37" l="1"/>
  <c r="BT57" i="37" s="1"/>
  <c r="N69" i="15"/>
  <c r="O68" i="15"/>
  <c r="O24" i="15"/>
  <c r="N25" i="15"/>
  <c r="N72" i="15"/>
  <c r="AQ38" i="39"/>
  <c r="AR31" i="36"/>
  <c r="P16" i="15" s="1"/>
  <c r="P14" i="15" s="1"/>
  <c r="P12" i="15" s="1"/>
  <c r="P18" i="15" s="1"/>
  <c r="P20" i="15" s="1"/>
  <c r="P67" i="15" s="1"/>
  <c r="BT62" i="37" l="1"/>
  <c r="BU63" i="37"/>
  <c r="BU62" i="37" s="1"/>
  <c r="BT56" i="37"/>
  <c r="BT32" i="39" s="1"/>
  <c r="BT28" i="39" s="1"/>
  <c r="BT15" i="39" s="1"/>
  <c r="BT54" i="39" s="1"/>
  <c r="P68" i="15"/>
  <c r="O69" i="15"/>
  <c r="P24" i="15"/>
  <c r="O72" i="15"/>
  <c r="O25" i="15"/>
  <c r="AR38" i="39"/>
  <c r="AS31" i="36"/>
  <c r="Q16" i="15" s="1"/>
  <c r="Q14" i="15" s="1"/>
  <c r="Q12" i="15" s="1"/>
  <c r="Q18" i="15" s="1"/>
  <c r="Q20" i="15" s="1"/>
  <c r="Q67" i="15" s="1"/>
  <c r="BU57" i="37" l="1"/>
  <c r="BV63" i="37" s="1"/>
  <c r="BV62" i="37" s="1"/>
  <c r="P69" i="15"/>
  <c r="Q68" i="15"/>
  <c r="Q24" i="15"/>
  <c r="P25" i="15"/>
  <c r="P72" i="15"/>
  <c r="AS38" i="39"/>
  <c r="AT31" i="36"/>
  <c r="R16" i="15" s="1"/>
  <c r="R14" i="15" s="1"/>
  <c r="R12" i="15" s="1"/>
  <c r="R18" i="15" s="1"/>
  <c r="R20" i="15" s="1"/>
  <c r="R67" i="15" s="1"/>
  <c r="BU56" i="37" l="1"/>
  <c r="BU32" i="39" s="1"/>
  <c r="BU28" i="39" s="1"/>
  <c r="BU15" i="39" s="1"/>
  <c r="BU54" i="39" s="1"/>
  <c r="BV57" i="37"/>
  <c r="BW63" i="37" s="1"/>
  <c r="BW62" i="37" s="1"/>
  <c r="Q69" i="15"/>
  <c r="R68" i="15"/>
  <c r="R24" i="15"/>
  <c r="Q72" i="15"/>
  <c r="Q25" i="15"/>
  <c r="AU31" i="36"/>
  <c r="S16" i="15" s="1"/>
  <c r="S14" i="15" s="1"/>
  <c r="S12" i="15" s="1"/>
  <c r="S18" i="15" s="1"/>
  <c r="S20" i="15" s="1"/>
  <c r="S67" i="15" s="1"/>
  <c r="AT38" i="39"/>
  <c r="BW57" i="37" l="1"/>
  <c r="BW56" i="37" s="1"/>
  <c r="BW32" i="39" s="1"/>
  <c r="BW28" i="39" s="1"/>
  <c r="BW15" i="39" s="1"/>
  <c r="BV56" i="37"/>
  <c r="BV32" i="39" s="1"/>
  <c r="BV28" i="39" s="1"/>
  <c r="BV15" i="39" s="1"/>
  <c r="BV54" i="39" s="1"/>
  <c r="S68" i="15"/>
  <c r="R69" i="15"/>
  <c r="R25" i="15"/>
  <c r="S24" i="15"/>
  <c r="R72" i="15"/>
  <c r="AU38" i="39"/>
  <c r="AV31" i="36"/>
  <c r="T16" i="15" s="1"/>
  <c r="T14" i="15" s="1"/>
  <c r="T12" i="15" s="1"/>
  <c r="T18" i="15" s="1"/>
  <c r="T20" i="15" s="1"/>
  <c r="T67" i="15" s="1"/>
  <c r="BW54" i="39" l="1"/>
  <c r="T68" i="15"/>
  <c r="S69" i="15"/>
  <c r="S72" i="15"/>
  <c r="T24" i="15"/>
  <c r="S25" i="15"/>
  <c r="AV38" i="39"/>
  <c r="AW31" i="36"/>
  <c r="U16" i="15" s="1"/>
  <c r="U14" i="15" s="1"/>
  <c r="U12" i="15" s="1"/>
  <c r="U18" i="15" s="1"/>
  <c r="U20" i="15" s="1"/>
  <c r="U67" i="15" s="1"/>
  <c r="T69" i="15" l="1"/>
  <c r="U68" i="15"/>
  <c r="U24" i="15"/>
  <c r="T25" i="15"/>
  <c r="T72" i="15"/>
  <c r="AW38" i="39"/>
  <c r="AX31" i="36"/>
  <c r="V16" i="15" s="1"/>
  <c r="V14" i="15" s="1"/>
  <c r="V12" i="15" s="1"/>
  <c r="V18" i="15" s="1"/>
  <c r="V20" i="15" s="1"/>
  <c r="V67" i="15" s="1"/>
  <c r="V68" i="15" l="1"/>
  <c r="U69" i="15"/>
  <c r="U25" i="15"/>
  <c r="V24" i="15"/>
  <c r="U72" i="15"/>
  <c r="AY31" i="36"/>
  <c r="W16" i="15" s="1"/>
  <c r="W14" i="15" s="1"/>
  <c r="W12" i="15" s="1"/>
  <c r="W18" i="15" s="1"/>
  <c r="W20" i="15" s="1"/>
  <c r="W67" i="15" s="1"/>
  <c r="AX38" i="39"/>
  <c r="W68" i="15" l="1"/>
  <c r="V69" i="15"/>
  <c r="V72" i="15"/>
  <c r="W24" i="15"/>
  <c r="V25" i="15"/>
  <c r="AZ31" i="36"/>
  <c r="X16" i="15" s="1"/>
  <c r="X14" i="15" s="1"/>
  <c r="X12" i="15" s="1"/>
  <c r="X18" i="15" s="1"/>
  <c r="X20" i="15" s="1"/>
  <c r="X67" i="15" s="1"/>
  <c r="AY38" i="39"/>
  <c r="X68" i="15" l="1"/>
  <c r="W69" i="15"/>
  <c r="W72" i="15"/>
  <c r="X24" i="15"/>
  <c r="W25" i="15"/>
  <c r="AZ38" i="39"/>
  <c r="BA31" i="36"/>
  <c r="Y16" i="15" s="1"/>
  <c r="Y14" i="15" s="1"/>
  <c r="Y12" i="15" s="1"/>
  <c r="Y18" i="15" s="1"/>
  <c r="Y20" i="15" s="1"/>
  <c r="Y67" i="15" s="1"/>
  <c r="Y68" i="15" l="1"/>
  <c r="X69" i="15"/>
  <c r="X72" i="15"/>
  <c r="X25" i="15"/>
  <c r="Y24" i="15"/>
  <c r="BA38" i="39"/>
  <c r="BB31" i="36"/>
  <c r="Z16" i="15" s="1"/>
  <c r="Z14" i="15" s="1"/>
  <c r="Z12" i="15" s="1"/>
  <c r="Z18" i="15" s="1"/>
  <c r="Z20" i="15" s="1"/>
  <c r="Z67" i="15" s="1"/>
  <c r="Y69" i="15" l="1"/>
  <c r="Z68" i="15"/>
  <c r="Y72" i="15"/>
  <c r="Z24" i="15"/>
  <c r="Y25" i="15"/>
  <c r="BB38" i="39"/>
  <c r="BC31" i="36"/>
  <c r="AA16" i="15" s="1"/>
  <c r="AA14" i="15" s="1"/>
  <c r="AA12" i="15" s="1"/>
  <c r="AA18" i="15" s="1"/>
  <c r="AA20" i="15" s="1"/>
  <c r="AA67" i="15" s="1"/>
  <c r="AA68" i="15" l="1"/>
  <c r="Z69" i="15"/>
  <c r="Z25" i="15"/>
  <c r="Z72" i="15"/>
  <c r="AA24" i="15"/>
  <c r="BD31" i="36"/>
  <c r="AB16" i="15" s="1"/>
  <c r="AB14" i="15" s="1"/>
  <c r="AB12" i="15" s="1"/>
  <c r="AB18" i="15" s="1"/>
  <c r="AB20" i="15" s="1"/>
  <c r="AB67" i="15" s="1"/>
  <c r="BC38" i="39"/>
  <c r="AA69" i="15" l="1"/>
  <c r="AB68" i="15"/>
  <c r="AA25" i="15"/>
  <c r="AB24" i="15"/>
  <c r="AA72" i="15"/>
  <c r="BD38" i="39"/>
  <c r="BE31" i="36"/>
  <c r="AC16" i="15" s="1"/>
  <c r="AC14" i="15" s="1"/>
  <c r="AC12" i="15" s="1"/>
  <c r="AC18" i="15" s="1"/>
  <c r="AC20" i="15" s="1"/>
  <c r="AC67" i="15" s="1"/>
  <c r="AC68" i="15" l="1"/>
  <c r="AB69" i="15"/>
  <c r="AB25" i="15"/>
  <c r="AB72" i="15"/>
  <c r="AC24" i="15"/>
  <c r="BE38" i="39"/>
  <c r="BF31" i="36"/>
  <c r="AD16" i="15" s="1"/>
  <c r="AD14" i="15" s="1"/>
  <c r="AD12" i="15" s="1"/>
  <c r="AD18" i="15" s="1"/>
  <c r="AD20" i="15" s="1"/>
  <c r="AD67" i="15" s="1"/>
  <c r="AC69" i="15" l="1"/>
  <c r="AD68" i="15"/>
  <c r="AD24" i="15"/>
  <c r="AC72" i="15"/>
  <c r="AC25" i="15"/>
  <c r="BG31" i="36"/>
  <c r="AE16" i="15" s="1"/>
  <c r="AE14" i="15" s="1"/>
  <c r="AE12" i="15" s="1"/>
  <c r="AE18" i="15" s="1"/>
  <c r="AE20" i="15" s="1"/>
  <c r="AE67" i="15" s="1"/>
  <c r="BF38" i="39"/>
  <c r="AE68" i="15" l="1"/>
  <c r="AD69" i="15"/>
  <c r="AD72" i="15"/>
  <c r="AE24" i="15"/>
  <c r="AD25" i="15"/>
  <c r="BG38" i="39"/>
  <c r="BH31" i="36"/>
  <c r="AF16" i="15" s="1"/>
  <c r="AF14" i="15" s="1"/>
  <c r="AF12" i="15" s="1"/>
  <c r="AF18" i="15" s="1"/>
  <c r="AF20" i="15" s="1"/>
  <c r="AF67" i="15" s="1"/>
  <c r="AE69" i="15" l="1"/>
  <c r="AF68" i="15"/>
  <c r="AF24" i="15"/>
  <c r="AE72" i="15"/>
  <c r="AE25" i="15"/>
  <c r="BI31" i="36"/>
  <c r="AG16" i="15" s="1"/>
  <c r="AG14" i="15" s="1"/>
  <c r="AG12" i="15" s="1"/>
  <c r="AG18" i="15" s="1"/>
  <c r="AG20" i="15" s="1"/>
  <c r="AG67" i="15" s="1"/>
  <c r="BH38" i="39"/>
  <c r="AG68" i="15" l="1"/>
  <c r="AF69" i="15"/>
  <c r="AG24" i="15"/>
  <c r="AF25" i="15"/>
  <c r="AF72" i="15"/>
  <c r="BJ31" i="36"/>
  <c r="AH16" i="15" s="1"/>
  <c r="AH14" i="15" s="1"/>
  <c r="AH12" i="15" s="1"/>
  <c r="AH18" i="15" s="1"/>
  <c r="AH20" i="15" s="1"/>
  <c r="AH67" i="15" s="1"/>
  <c r="BI38" i="39"/>
  <c r="AG69" i="15" l="1"/>
  <c r="AH68" i="15"/>
  <c r="AH24" i="15"/>
  <c r="AG72" i="15"/>
  <c r="AG25" i="15"/>
  <c r="BJ38" i="39"/>
  <c r="BK31" i="36"/>
  <c r="AI16" i="15" s="1"/>
  <c r="AI14" i="15" s="1"/>
  <c r="AI12" i="15" s="1"/>
  <c r="AI18" i="15" s="1"/>
  <c r="AI20" i="15" s="1"/>
  <c r="AI67" i="15" s="1"/>
  <c r="AH69" i="15" l="1"/>
  <c r="AI68" i="15"/>
  <c r="AH72" i="15"/>
  <c r="AH25" i="15"/>
  <c r="AI24" i="15"/>
  <c r="BK38" i="39"/>
  <c r="BL31" i="36"/>
  <c r="AJ16" i="15" s="1"/>
  <c r="AJ14" i="15" s="1"/>
  <c r="AJ12" i="15" s="1"/>
  <c r="AJ18" i="15" s="1"/>
  <c r="AJ20" i="15" s="1"/>
  <c r="AJ67" i="15" s="1"/>
  <c r="AJ68" i="15" l="1"/>
  <c r="AI69" i="15"/>
  <c r="AJ24" i="15"/>
  <c r="AI25" i="15"/>
  <c r="AI72" i="15"/>
  <c r="BM31" i="36"/>
  <c r="AK16" i="15" s="1"/>
  <c r="AK14" i="15" s="1"/>
  <c r="AK12" i="15" s="1"/>
  <c r="AK18" i="15" s="1"/>
  <c r="AK20" i="15" s="1"/>
  <c r="AK67" i="15" s="1"/>
  <c r="BL38" i="39"/>
  <c r="AJ69" i="15" l="1"/>
  <c r="AK68" i="15"/>
  <c r="AJ25" i="15"/>
  <c r="AJ72" i="15"/>
  <c r="B76" i="15" s="1"/>
  <c r="AK24" i="15"/>
  <c r="BN31" i="36"/>
  <c r="AL16" i="15" s="1"/>
  <c r="AL14" i="15" s="1"/>
  <c r="AL12" i="15" s="1"/>
  <c r="AL18" i="15" s="1"/>
  <c r="AL20" i="15" s="1"/>
  <c r="AL67" i="15" s="1"/>
  <c r="BM38" i="39"/>
  <c r="B78" i="15" l="1"/>
  <c r="AL68" i="15"/>
  <c r="AK69" i="15"/>
  <c r="AK25" i="15"/>
  <c r="AL24" i="15"/>
  <c r="AK72" i="15"/>
  <c r="BO31" i="36"/>
  <c r="AM16" i="15" s="1"/>
  <c r="AM14" i="15" s="1"/>
  <c r="AM12" i="15" s="1"/>
  <c r="AM18" i="15" s="1"/>
  <c r="AM20" i="15" s="1"/>
  <c r="AM67" i="15" s="1"/>
  <c r="BN38" i="39"/>
  <c r="B84" i="15" l="1"/>
  <c r="AL69" i="15"/>
  <c r="AM68" i="15"/>
  <c r="AL72" i="15"/>
  <c r="AL25" i="15"/>
  <c r="AM24" i="15"/>
  <c r="BO38" i="39"/>
  <c r="BP31" i="36"/>
  <c r="AN16" i="15" s="1"/>
  <c r="AN14" i="15" s="1"/>
  <c r="AN12" i="15" s="1"/>
  <c r="AN18" i="15" s="1"/>
  <c r="AN20" i="15" s="1"/>
  <c r="AN67" i="15" s="1"/>
  <c r="AM69" i="15" l="1"/>
  <c r="AN68" i="15"/>
  <c r="AM25" i="15"/>
  <c r="AN24" i="15"/>
  <c r="AM72" i="15"/>
  <c r="BQ31" i="36"/>
  <c r="AO16" i="15" s="1"/>
  <c r="AO14" i="15" s="1"/>
  <c r="AO12" i="15" s="1"/>
  <c r="AO18" i="15" s="1"/>
  <c r="AO20" i="15" s="1"/>
  <c r="AO67" i="15" s="1"/>
  <c r="BP38" i="39"/>
  <c r="AN69" i="15" l="1"/>
  <c r="AO68" i="15"/>
  <c r="AN72" i="15"/>
  <c r="AN25" i="15"/>
  <c r="AO24" i="15"/>
  <c r="BR31" i="36"/>
  <c r="AP16" i="15" s="1"/>
  <c r="AP14" i="15" s="1"/>
  <c r="AP12" i="15" s="1"/>
  <c r="AP18" i="15" s="1"/>
  <c r="AP20" i="15" s="1"/>
  <c r="AP67" i="15" s="1"/>
  <c r="BQ38" i="39"/>
  <c r="AP68" i="15" l="1"/>
  <c r="AO69" i="15"/>
  <c r="AO25" i="15"/>
  <c r="AP24" i="15"/>
  <c r="AO72" i="15"/>
  <c r="BR38" i="39"/>
  <c r="BS31" i="36"/>
  <c r="AQ16" i="15" s="1"/>
  <c r="AQ14" i="15" s="1"/>
  <c r="AQ12" i="15" s="1"/>
  <c r="AQ18" i="15" s="1"/>
  <c r="AQ20" i="15" s="1"/>
  <c r="AQ67" i="15" s="1"/>
  <c r="AQ68" i="15" l="1"/>
  <c r="AP69" i="15"/>
  <c r="AP25" i="15"/>
  <c r="AQ24" i="15"/>
  <c r="AP72" i="15"/>
  <c r="BT31" i="36"/>
  <c r="AR16" i="15" s="1"/>
  <c r="AR14" i="15" s="1"/>
  <c r="AR12" i="15" s="1"/>
  <c r="AR18" i="15" s="1"/>
  <c r="AR20" i="15" s="1"/>
  <c r="AR67" i="15" s="1"/>
  <c r="BS38" i="39"/>
  <c r="AQ69" i="15" l="1"/>
  <c r="AR68" i="15"/>
  <c r="AQ72" i="15"/>
  <c r="AQ25" i="15"/>
  <c r="AR24" i="15"/>
  <c r="BU31" i="36"/>
  <c r="AS16" i="15" s="1"/>
  <c r="AS14" i="15" s="1"/>
  <c r="AS12" i="15" s="1"/>
  <c r="AS18" i="15" s="1"/>
  <c r="AS20" i="15" s="1"/>
  <c r="AS67" i="15" s="1"/>
  <c r="BT38" i="39"/>
  <c r="AS68" i="15" l="1"/>
  <c r="AR69" i="15"/>
  <c r="AR25" i="15"/>
  <c r="AS24" i="15"/>
  <c r="AR72" i="15"/>
  <c r="BU38" i="39"/>
  <c r="BV31" i="36"/>
  <c r="AT16" i="15" s="1"/>
  <c r="AT14" i="15" s="1"/>
  <c r="AT12" i="15" s="1"/>
  <c r="AT18" i="15" s="1"/>
  <c r="AT20" i="15" s="1"/>
  <c r="AT67" i="15" s="1"/>
  <c r="AS69" i="15" l="1"/>
  <c r="AT68" i="15"/>
  <c r="AT24" i="15"/>
  <c r="AS72" i="15"/>
  <c r="AS25" i="15"/>
  <c r="BW31" i="36"/>
  <c r="AU16" i="15" s="1"/>
  <c r="AU14" i="15" s="1"/>
  <c r="AU12" i="15" s="1"/>
  <c r="AU18" i="15" s="1"/>
  <c r="AU20" i="15" s="1"/>
  <c r="AU67" i="15" s="1"/>
  <c r="BV38" i="39"/>
  <c r="AT69" i="15" l="1"/>
  <c r="AU68" i="15"/>
  <c r="AU69" i="15" s="1"/>
  <c r="AT72" i="15"/>
  <c r="AT25" i="15"/>
  <c r="AU24" i="15"/>
  <c r="BW38" i="39"/>
  <c r="AU25" i="15" l="1"/>
  <c r="B27" i="15" s="1"/>
  <c r="B29" i="15" s="1"/>
  <c r="AU72" i="15"/>
  <c r="B41" i="15" l="1"/>
  <c r="B80" i="15"/>
  <c r="B31" i="15"/>
  <c r="AE51" i="40"/>
  <c r="AE55" i="40"/>
  <c r="AE59" i="4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Gabriel Correa</author>
  </authors>
  <commentList>
    <comment ref="AO13" authorId="0" shapeId="0" xr:uid="{97A078F5-9A3C-4DDE-82EE-CDC5DD306F16}">
      <text>
        <r>
          <rPr>
            <b/>
            <sz val="9"/>
            <color indexed="81"/>
            <rFont val="Segoe UI"/>
            <family val="2"/>
          </rPr>
          <t>Gabriel Correa:</t>
        </r>
        <r>
          <rPr>
            <sz val="9"/>
            <color indexed="81"/>
            <rFont val="Segoe UI"/>
            <family val="2"/>
          </rPr>
          <t xml:space="preserve">
Inflacionado pela Inflação Americana Projetada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Gabriel Correa</author>
  </authors>
  <commentList>
    <comment ref="A17" authorId="0" shapeId="0" xr:uid="{F0CE9220-930C-4EA3-B0C9-15803C5B562B}">
      <text>
        <r>
          <rPr>
            <b/>
            <sz val="9"/>
            <color indexed="81"/>
            <rFont val="Segoe UI"/>
            <family val="2"/>
          </rPr>
          <t>Gabriel Correa:</t>
        </r>
        <r>
          <rPr>
            <sz val="9"/>
            <color indexed="81"/>
            <rFont val="Segoe UI"/>
            <family val="2"/>
          </rPr>
          <t xml:space="preserve">
2.9.4 - Depreciação: Os gastos capitalizados oriundos de exploração e desenvolvimento da produção, bem como os FPSOs e equipamentos submarinos, são depreciados, a partir da declaração de comercialidade e início da produção, pelo método de unidades produzidas (UOP - Units of Production). Nesse método a taxa de depreciação mensal é obtida dividindo-se a produção mensal pelo saldo total estimado das reservas (provada desenvolvida) no início do mês. Anualmente, a Companhia revisa o saldo total das reservas. Máquinas e equipamentos são depreciados pelo método linear às taxas mencionadas na nota de imobilizado, que levam em consideração o tempo de vida útil estimado dos bens com seus respectivos valores residuais.</t>
        </r>
      </text>
    </comment>
    <comment ref="A43" authorId="0" shapeId="0" xr:uid="{DB0E36F5-D8FB-41EE-B7DD-95AE9B1BA0C7}">
      <text>
        <r>
          <rPr>
            <b/>
            <sz val="9"/>
            <color indexed="81"/>
            <rFont val="Segoe UI"/>
            <family val="2"/>
          </rPr>
          <t>Gabriel Correa:</t>
        </r>
        <r>
          <rPr>
            <sz val="9"/>
            <color indexed="81"/>
            <rFont val="Segoe UI"/>
            <family val="2"/>
          </rPr>
          <t xml:space="preserve">
*** Imobilizado em andamento refere-se basicamente à gastos com a instalações administrativas;</t>
        </r>
      </text>
    </comment>
    <comment ref="A57" authorId="0" shapeId="0" xr:uid="{A9953E7D-D6E3-4906-9EB7-F599B133045F}">
      <text>
        <r>
          <rPr>
            <b/>
            <sz val="9"/>
            <color indexed="81"/>
            <rFont val="Segoe UI"/>
            <family val="2"/>
          </rPr>
          <t>Gabriel Correa:</t>
        </r>
        <r>
          <rPr>
            <sz val="9"/>
            <color indexed="81"/>
            <rFont val="Segoe UI"/>
            <family val="2"/>
          </rPr>
          <t xml:space="preserve">
2.9.4 - Depreciação: Os gastos capitalizados oriundos de exploração e desenvolvimento da produção, bem como os FPSOs e equipamentos submarinos, são depreciados, a partir da declaração de comercialidade e início da produção, pelo método de unidades produzidas (UOP - Units of Production). Nesse método a taxa de depreciação mensal é obtida dividindo-se a produção mensal pelo saldo total estimado das reservas (provada desenvolvida) no início do mês. Anualmente, a Companhia revisa o saldo total das reservas. Máquinas e equipamentos são depreciados pelo método linear às taxas mencionadas na nota de imobilizado, que levam em consideração o tempo de vida útil estimado dos bens com seus respectivos valores residuais.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 Correa</author>
  </authors>
  <commentList>
    <comment ref="A6" authorId="0" shapeId="0" xr:uid="{362C8F76-F4FC-4CEB-B328-86E3A1CB0A0D}">
      <text>
        <r>
          <rPr>
            <b/>
            <sz val="9"/>
            <color indexed="81"/>
            <rFont val="Segoe UI"/>
            <family val="2"/>
          </rPr>
          <t>Gabriel Correa:</t>
        </r>
        <r>
          <rPr>
            <sz val="9"/>
            <color indexed="81"/>
            <rFont val="Segoe UI"/>
            <family val="2"/>
          </rPr>
          <t xml:space="preserve">
https://www.federalreserve.gov/monetarypolicy/openmarket.htm
https://fred.stlouisfed.org/series/DFEDTARU</t>
        </r>
      </text>
    </comment>
    <comment ref="AB7" authorId="0" shapeId="0" xr:uid="{EC569BB0-2BFC-4843-8C74-1FDC06B77728}">
      <text>
        <r>
          <rPr>
            <sz val="9"/>
            <color indexed="81"/>
            <rFont val="Segoe UI"/>
            <family val="2"/>
          </rPr>
          <t>Reportado</t>
        </r>
      </text>
    </comment>
    <comment ref="AC7" authorId="0" shapeId="0" xr:uid="{0BB380FE-2036-4E3F-A2E0-F882676C0DD1}">
      <text>
        <r>
          <rPr>
            <sz val="9"/>
            <color indexed="81"/>
            <rFont val="Segoe UI"/>
            <family val="2"/>
          </rPr>
          <t>Reportado</t>
        </r>
      </text>
    </comment>
    <comment ref="AD7" authorId="0" shapeId="0" xr:uid="{13F0874A-1007-4F3D-A80D-467F16F85ADD}">
      <text>
        <r>
          <rPr>
            <sz val="9"/>
            <color indexed="81"/>
            <rFont val="Segoe UI"/>
            <family val="2"/>
          </rPr>
          <t>Reportado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 Correa</author>
  </authors>
  <commentList>
    <comment ref="AG30" authorId="0" shapeId="0" xr:uid="{700FC319-62FF-427B-826F-107F93FBB11E}">
      <text>
        <r>
          <rPr>
            <b/>
            <sz val="9"/>
            <color indexed="81"/>
            <rFont val="Segoe UI"/>
            <family val="2"/>
          </rPr>
          <t>Gabriel Correa:</t>
        </r>
        <r>
          <rPr>
            <sz val="9"/>
            <color indexed="81"/>
            <rFont val="Segoe UI"/>
            <family val="2"/>
          </rPr>
          <t xml:space="preserve">
Premissa é:
Enquantoa a empresa crescer a receita mais que a inflação,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 Correa</author>
  </authors>
  <commentList>
    <comment ref="B10" authorId="0" shapeId="0" xr:uid="{BC6D06CE-491E-46B8-85D9-99A24CF1C039}">
      <text>
        <r>
          <rPr>
            <sz val="9"/>
            <color indexed="81"/>
            <rFont val="Segoe UI"/>
            <family val="2"/>
          </rPr>
          <t>CDS Investing Último Dia: 15/3/24</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 Correa</author>
  </authors>
  <commentList>
    <comment ref="S7" authorId="0" shapeId="0" xr:uid="{4D7B0E04-0DF4-4F4C-94AD-3FBB6498074C}">
      <text>
        <r>
          <rPr>
            <b/>
            <sz val="9"/>
            <color indexed="81"/>
            <rFont val="Segoe UI"/>
            <family val="2"/>
          </rPr>
          <t>Gabriel Correa:</t>
        </r>
        <r>
          <rPr>
            <sz val="9"/>
            <color indexed="81"/>
            <rFont val="Segoe UI"/>
            <family val="2"/>
          </rPr>
          <t xml:space="preserve">
https://ceqef.fgv.br/banco-de-dados
Dado 1/1/2024</t>
        </r>
      </text>
    </comment>
  </commentList>
</comments>
</file>

<file path=xl/sharedStrings.xml><?xml version="1.0" encoding="utf-8"?>
<sst xmlns="http://schemas.openxmlformats.org/spreadsheetml/2006/main" count="12852" uniqueCount="2759">
  <si>
    <t>Sales Gas (10³ ft³)</t>
  </si>
  <si>
    <t>Year</t>
  </si>
  <si>
    <t>Total</t>
  </si>
  <si>
    <t>IPCA Período (médio)</t>
  </si>
  <si>
    <t>Taxa de câmbio do Dólar (média do período)</t>
  </si>
  <si>
    <t/>
  </si>
  <si>
    <t>IPCA</t>
  </si>
  <si>
    <t>Conversões - gás</t>
  </si>
  <si>
    <t>Sales Gas (MMBTU)</t>
  </si>
  <si>
    <t>Receita - Gas (US$mm)</t>
  </si>
  <si>
    <t>Capex (US$mm) - real</t>
  </si>
  <si>
    <t>Capex (US$mm) - nominal</t>
  </si>
  <si>
    <t>Abandono (US$mm) - real</t>
  </si>
  <si>
    <t>Abandono (US$mm) - nominal</t>
  </si>
  <si>
    <t>Royalties</t>
  </si>
  <si>
    <t>Abandono</t>
  </si>
  <si>
    <t>Outros</t>
  </si>
  <si>
    <t>Beta</t>
  </si>
  <si>
    <t>Market Risk Premium (real)</t>
  </si>
  <si>
    <t>Equity Value</t>
  </si>
  <si>
    <t>% shares outstanding</t>
  </si>
  <si>
    <t>R$/ação</t>
  </si>
  <si>
    <t>as of</t>
  </si>
  <si>
    <t>in</t>
  </si>
  <si>
    <t>BRAZIL</t>
  </si>
  <si>
    <t>with interests attributable to</t>
  </si>
  <si>
    <t>Future</t>
  </si>
  <si>
    <t>Present</t>
  </si>
  <si>
    <t>Sales</t>
  </si>
  <si>
    <t>Gross</t>
  </si>
  <si>
    <t>Cash</t>
  </si>
  <si>
    <t>Paid in</t>
  </si>
  <si>
    <t>Operating</t>
  </si>
  <si>
    <t>Capital</t>
  </si>
  <si>
    <t>Abandonment</t>
  </si>
  <si>
    <t>Net</t>
  </si>
  <si>
    <t>Worth</t>
  </si>
  <si>
    <t>Oil</t>
  </si>
  <si>
    <t>Gas</t>
  </si>
  <si>
    <t>Revenue</t>
  </si>
  <si>
    <t>Expenses</t>
  </si>
  <si>
    <t>Costs</t>
  </si>
  <si>
    <t>SPF</t>
  </si>
  <si>
    <t>at 10 Percent</t>
  </si>
  <si>
    <t>(U.S.$/bbl)</t>
  </si>
  <si>
    <t>Notes:</t>
  </si>
  <si>
    <t>5 Percent</t>
  </si>
  <si>
    <t>15 Percent</t>
  </si>
  <si>
    <t>20 Percent</t>
  </si>
  <si>
    <t>TABLE 10</t>
  </si>
  <si>
    <t>Production</t>
  </si>
  <si>
    <t>TABLE 11</t>
  </si>
  <si>
    <t>TABLE 12</t>
  </si>
  <si>
    <t>TABLE 15</t>
  </si>
  <si>
    <t>TABLE 16</t>
  </si>
  <si>
    <t>TABLE 17</t>
  </si>
  <si>
    <t>TABLE 20</t>
  </si>
  <si>
    <t>TABLE 21</t>
  </si>
  <si>
    <t>TABLE 22</t>
  </si>
  <si>
    <t>ALBACORA LESTE FIELD</t>
  </si>
  <si>
    <t>for</t>
  </si>
  <si>
    <t>PROJECTION of TOTAL PROVED RESERVES and FUTURE NET REVENUE</t>
  </si>
  <si>
    <t>PROJECTION of PROVED-plus-PROBABLE RESERVES and FUTURE NET REVENUE</t>
  </si>
  <si>
    <t>PROJECTION of PROVED-plus-PROBABLE-plus-POSSIBLE RESERVES and FUTURE NET REVENUE</t>
  </si>
  <si>
    <t xml:space="preserve">Frade &amp; Wahoo </t>
  </si>
  <si>
    <t xml:space="preserve">Manati </t>
  </si>
  <si>
    <t xml:space="preserve">Albacora Leste </t>
  </si>
  <si>
    <t xml:space="preserve">Polvo &amp; TBMT </t>
  </si>
  <si>
    <t>Sales Gas (US$/MMBTU)</t>
  </si>
  <si>
    <t>(%)</t>
  </si>
  <si>
    <t>Royalties (%)</t>
  </si>
  <si>
    <t>SPF (%)</t>
  </si>
  <si>
    <t>Preço atual</t>
  </si>
  <si>
    <t>Upside/Downside (%)</t>
  </si>
  <si>
    <t>Volume Weighted</t>
  </si>
  <si>
    <t>Average Prices</t>
  </si>
  <si>
    <t>Cost</t>
  </si>
  <si>
    <t xml:space="preserve">  1. Future social contribution taxes and corporate incomes taxes were not taken into account in the preparation of these estimates.</t>
  </si>
  <si>
    <t xml:space="preserve">  2. SPF = SPECIAL PARTICIPATION FEE.</t>
  </si>
  <si>
    <t xml:space="preserve">  3. Operating expenses and capital costs do not include the indirect taxation that may be applicable to these expenditures.</t>
  </si>
  <si>
    <t xml:space="preserve">  1. Probable reserves and values for probable reserves have not been risk adjusted to make them comparable to proved reserves and values for proved reserves.</t>
  </si>
  <si>
    <t xml:space="preserve">  2. Future social contribution taxes and corporate incomes taxes were not taken into account in the preparation of these estimates.</t>
  </si>
  <si>
    <t xml:space="preserve">  3. SPF = SPECIAL PARTICIPATION FEE.</t>
  </si>
  <si>
    <t xml:space="preserve">  4. Operating expenses and capital costs do not include the indirect taxation that may be applicable to these expenditures.</t>
  </si>
  <si>
    <t xml:space="preserve">  1. Probable and possible reserves and values for probable and possible reserves have not been risk adjusted to make them comparable to proved reserves and values for proved reserves.</t>
  </si>
  <si>
    <t>FRADE AND WAHOO FIELDS</t>
  </si>
  <si>
    <t>POLVO AND TUBARÃO MARTELO FIELDS</t>
  </si>
  <si>
    <t>Resultado financeiro (R$ milhões)</t>
  </si>
  <si>
    <t>Receitas financeiras</t>
  </si>
  <si>
    <t>Despesas financeiras</t>
  </si>
  <si>
    <t>Variação cambial</t>
  </si>
  <si>
    <t>Caixa e equivalente de caixa</t>
  </si>
  <si>
    <t>Rentabilidade do caixa (R$ milhões)</t>
  </si>
  <si>
    <t>Debentures</t>
  </si>
  <si>
    <t>Empréstimos e financiamentos</t>
  </si>
  <si>
    <t>Vencimento</t>
  </si>
  <si>
    <t>Resultado Financeiro</t>
  </si>
  <si>
    <t>EBIT</t>
  </si>
  <si>
    <t>Variação da Dívida Líquida</t>
  </si>
  <si>
    <t>Endividamento Líquido (R$ milhões)</t>
  </si>
  <si>
    <t>Endividamento total (R$ milhões)</t>
  </si>
  <si>
    <t>Depreciação</t>
  </si>
  <si>
    <t>允䅁䅁䅉䅁捁䅁䅁村偂䙁䅙兒呂䙁䅁兑㙁䙁䅁杕䩂䕁䄸睍䅁䅁䅁䅁捁䅁䅁睕兂䙁䄸睕䥂䕁䅅杕䙂䙁䅍睘偂䙁䅕䅖䅁䅁䅅䅁䅁䅁䅁</t>
  </si>
  <si>
    <t>Rentabilidade do caixa em dólar (%)</t>
  </si>
  <si>
    <t>Caixa e aplicações financeiras (R$ milhões)</t>
  </si>
  <si>
    <t>Inflação Americana</t>
  </si>
  <si>
    <t>Taxa de Câmbio</t>
  </si>
  <si>
    <t>Base 2022 - Inflação Americana</t>
  </si>
  <si>
    <t>Codigo Conta</t>
  </si>
  <si>
    <t>Descricao Conta</t>
  </si>
  <si>
    <t>Ativo Total</t>
  </si>
  <si>
    <t>1.01</t>
  </si>
  <si>
    <t>Ativo Circulante</t>
  </si>
  <si>
    <t>1.01.01</t>
  </si>
  <si>
    <t>Caixa e Equivalentes de Caixa</t>
  </si>
  <si>
    <t>1.01.02</t>
  </si>
  <si>
    <t>Aplicações Financeiras</t>
  </si>
  <si>
    <t>1.01.03</t>
  </si>
  <si>
    <t>Contas a Receber</t>
  </si>
  <si>
    <t>1.01.04</t>
  </si>
  <si>
    <t>Estoques</t>
  </si>
  <si>
    <t>1.01.06</t>
  </si>
  <si>
    <t>Tributos a Recuperar</t>
  </si>
  <si>
    <t>1.01.07</t>
  </si>
  <si>
    <t>Despesas Antecipadas</t>
  </si>
  <si>
    <t>1.01.08</t>
  </si>
  <si>
    <t>Outros Ativos Circulantes</t>
  </si>
  <si>
    <t>1.02</t>
  </si>
  <si>
    <t>Ativo Não Circulante</t>
  </si>
  <si>
    <t>1.02.01</t>
  </si>
  <si>
    <t>Ativo Realizável a Longo Prazo</t>
  </si>
  <si>
    <t>Tributos Diferidos</t>
  </si>
  <si>
    <t>1.02.03</t>
  </si>
  <si>
    <t>Imobilizado</t>
  </si>
  <si>
    <t>1.02.04</t>
  </si>
  <si>
    <t>Intangível</t>
  </si>
  <si>
    <t>1T23</t>
  </si>
  <si>
    <t>2T23</t>
  </si>
  <si>
    <t>Passivo Total</t>
  </si>
  <si>
    <t>2.01</t>
  </si>
  <si>
    <t>Passivo Circulante</t>
  </si>
  <si>
    <t>2.01.01</t>
  </si>
  <si>
    <t>Obrigações Sociais e Trabalhistas</t>
  </si>
  <si>
    <t>2.01.02</t>
  </si>
  <si>
    <t>Fornecedores</t>
  </si>
  <si>
    <t>2.01.03</t>
  </si>
  <si>
    <t>Obrigações Fiscais</t>
  </si>
  <si>
    <t>2.01.04</t>
  </si>
  <si>
    <t>Empréstimos e Financiamentos</t>
  </si>
  <si>
    <t>2.01.05</t>
  </si>
  <si>
    <t>Outras Obrigações</t>
  </si>
  <si>
    <t>Provisões</t>
  </si>
  <si>
    <t>2.01.07</t>
  </si>
  <si>
    <t>Passivos sobre Ativos Não-Correntes a Venda e Descontinuados</t>
  </si>
  <si>
    <t>2.02</t>
  </si>
  <si>
    <t>Passivo Não Circulante</t>
  </si>
  <si>
    <t>2.02.01</t>
  </si>
  <si>
    <t>2.02.02</t>
  </si>
  <si>
    <t>2.02.03</t>
  </si>
  <si>
    <t>2.02.04</t>
  </si>
  <si>
    <t>2.03</t>
  </si>
  <si>
    <t>2.03.01</t>
  </si>
  <si>
    <t>Capital Social Realizado</t>
  </si>
  <si>
    <t>2.03.02</t>
  </si>
  <si>
    <t>Reservas de Capital</t>
  </si>
  <si>
    <t>2.03.04</t>
  </si>
  <si>
    <t>Reservas de Lucros</t>
  </si>
  <si>
    <t>2.03.05</t>
  </si>
  <si>
    <t>Lucros/Prejuízos Acumulados</t>
  </si>
  <si>
    <t>2.03.06</t>
  </si>
  <si>
    <t>Ajustes de Avaliação Patrimonial</t>
  </si>
  <si>
    <t>2.03.07</t>
  </si>
  <si>
    <t>Ajustes Acumulados de Conversão</t>
  </si>
  <si>
    <t>Passivo</t>
  </si>
  <si>
    <t>Patrimônio Líquido Consolidado</t>
  </si>
  <si>
    <t>2.03.09</t>
  </si>
  <si>
    <t>Participação dos Acionistas Não Controladores</t>
  </si>
  <si>
    <t>Receita de Venda de Bens e/ou Serviços</t>
  </si>
  <si>
    <t>Custo dos Bens e/ou Serviços Vendidos</t>
  </si>
  <si>
    <t>Resultado Bruto</t>
  </si>
  <si>
    <t>Despesas/Receitas Operacionais</t>
  </si>
  <si>
    <t>Despesas com Vendas</t>
  </si>
  <si>
    <t>Despesas Gerais e Administrativas</t>
  </si>
  <si>
    <t>Despesas de Geologia e Geofisica</t>
  </si>
  <si>
    <t>Despesa com Pessoal</t>
  </si>
  <si>
    <t>Despesas com Serviços de Terceiros</t>
  </si>
  <si>
    <t>Impostos e Taxas</t>
  </si>
  <si>
    <t>Despesa de Depreciação</t>
  </si>
  <si>
    <t>Perdas pela Não Recuperabilidade de Ativos</t>
  </si>
  <si>
    <t>Outras Receitas Operacionais</t>
  </si>
  <si>
    <t>Outras Despesas Operacionais</t>
  </si>
  <si>
    <t>Resultado de Equivalência Patrimonial</t>
  </si>
  <si>
    <t>Resultado Antes do Resultado Financeiro e dos Tributos</t>
  </si>
  <si>
    <t>Receitas Financeiras</t>
  </si>
  <si>
    <t>Despesas Financeiras</t>
  </si>
  <si>
    <t>Resultado Antes dos Tributos sobre o Lucro</t>
  </si>
  <si>
    <t>Imposto de Renda e Contribuição Social sobre o Lucro</t>
  </si>
  <si>
    <t>Corrente</t>
  </si>
  <si>
    <t>Diferido</t>
  </si>
  <si>
    <t>Resultado Líquido das Operações Continuadas</t>
  </si>
  <si>
    <t>Resultado Líquido de Operações Descontinuadas</t>
  </si>
  <si>
    <t>Lucro/Prejuízo Líquido das Operações Descontinuadas</t>
  </si>
  <si>
    <t>Ganhos/Perdas Líquidas sobre Ativos de Operações Descontinuadas</t>
  </si>
  <si>
    <t>Lucro/Prejuízo Consolidado do Período</t>
  </si>
  <si>
    <t>Atribuído a Sócios da Empresa Controladora</t>
  </si>
  <si>
    <t>Atribuído a Sócios Não Controladores</t>
  </si>
  <si>
    <t>6.01</t>
  </si>
  <si>
    <t>Caixa Líquido Atividades Operacionais</t>
  </si>
  <si>
    <t>6.01.01.02</t>
  </si>
  <si>
    <t>Depreciação e amortização</t>
  </si>
  <si>
    <t>6.02</t>
  </si>
  <si>
    <t>Caixa Líquido Atividades de Investimento</t>
  </si>
  <si>
    <t>6.03</t>
  </si>
  <si>
    <t>Caixa Líquido Atividades de Financiamento</t>
  </si>
  <si>
    <t>6.03.07</t>
  </si>
  <si>
    <t>Encargos contratuais Leasing IFRS 16</t>
  </si>
  <si>
    <t>6.04</t>
  </si>
  <si>
    <t>Variação Cambial s/ Caixa e Equivalentes</t>
  </si>
  <si>
    <t>6.05</t>
  </si>
  <si>
    <t>Aumento (Redução) de Caixa e Equivalentes</t>
  </si>
  <si>
    <t>6.05.01</t>
  </si>
  <si>
    <t>Saldo Inicial de Caixa e Equivalentes</t>
  </si>
  <si>
    <t>6.05.02</t>
  </si>
  <si>
    <t>Saldo Final de Caixa e Equivalentes</t>
  </si>
  <si>
    <t>4T22</t>
  </si>
  <si>
    <t>4T21</t>
  </si>
  <si>
    <t>4T20</t>
  </si>
  <si>
    <t>3T22</t>
  </si>
  <si>
    <t>2T22</t>
  </si>
  <si>
    <t>3T21</t>
  </si>
  <si>
    <t>1T22</t>
  </si>
  <si>
    <t>2T21</t>
  </si>
  <si>
    <t>1T21</t>
  </si>
  <si>
    <t>-68</t>
  </si>
  <si>
    <t>2T20</t>
  </si>
  <si>
    <t>1T20</t>
  </si>
  <si>
    <t>4T18</t>
  </si>
  <si>
    <t>4T19</t>
  </si>
  <si>
    <t>3T20</t>
  </si>
  <si>
    <t>3T19</t>
  </si>
  <si>
    <t>2T19</t>
  </si>
  <si>
    <t>1T19</t>
  </si>
  <si>
    <t>3T18</t>
  </si>
  <si>
    <t>2T18</t>
  </si>
  <si>
    <t>1T18</t>
  </si>
  <si>
    <t>DRE</t>
  </si>
  <si>
    <t>Fluxo de Caixa</t>
  </si>
  <si>
    <t>Balanço Patrimonial</t>
  </si>
  <si>
    <t>Lifting Cost (US$/bbl)</t>
  </si>
  <si>
    <t xml:space="preserve">Campo de Frade </t>
  </si>
  <si>
    <t>Albacora Leste</t>
  </si>
  <si>
    <t>Brent Médio</t>
  </si>
  <si>
    <t>Preço Médio Bruto de Venda</t>
  </si>
  <si>
    <t>Tx Câmbio Final</t>
  </si>
  <si>
    <t>Campo de FRADE</t>
  </si>
  <si>
    <t>Offtakes (kkbl)</t>
  </si>
  <si>
    <t>Campo de Manati</t>
  </si>
  <si>
    <t>Campo de Albacora Leste</t>
  </si>
  <si>
    <t>Cluster Polvo e TBMT</t>
  </si>
  <si>
    <t>Total PRIO</t>
  </si>
  <si>
    <t>Desempenho Operacional</t>
  </si>
  <si>
    <t>Cluster Polvo + TBMT (95%)</t>
  </si>
  <si>
    <t>Campo de Manati (10%)</t>
  </si>
  <si>
    <t>Total PRIO (boepd)</t>
  </si>
  <si>
    <t>Saldo Final de Caixa e Equivalentes - Balanço</t>
  </si>
  <si>
    <t>% da produção</t>
  </si>
  <si>
    <t>Tri</t>
  </si>
  <si>
    <t>Dias Corridos</t>
  </si>
  <si>
    <t>3T23</t>
  </si>
  <si>
    <t>4T23</t>
  </si>
  <si>
    <t>Receita em US$</t>
  </si>
  <si>
    <t>Produção Total (kbbl)</t>
  </si>
  <si>
    <t>Preço de Venda Brent</t>
  </si>
  <si>
    <t>Receita em BRL</t>
  </si>
  <si>
    <t>Dólar Médio</t>
  </si>
  <si>
    <t>Tx Câmbio Média</t>
  </si>
  <si>
    <t>Receita Demonstração Financeira</t>
  </si>
  <si>
    <t>Spread</t>
  </si>
  <si>
    <t>DRE em US$</t>
  </si>
  <si>
    <t xml:space="preserve"> Receita Total</t>
  </si>
  <si>
    <t>Impostos de venda interna e exportação</t>
  </si>
  <si>
    <t>Despesa de Comercialização</t>
  </si>
  <si>
    <t>Receita Total - FOB</t>
  </si>
  <si>
    <t>Custo de Produto Vendido</t>
  </si>
  <si>
    <t>Lucro Bruto</t>
  </si>
  <si>
    <t>Despesa Gerais e Administrativas</t>
  </si>
  <si>
    <t>EBITDA</t>
  </si>
  <si>
    <t>Outras Receitas e Despesas Operacionais</t>
  </si>
  <si>
    <t>Depreciação e Amortização</t>
  </si>
  <si>
    <t>Despesas de Depreciação</t>
  </si>
  <si>
    <t>Jan 29</t>
  </si>
  <si>
    <t>Dec 28</t>
  </si>
  <si>
    <t>Nov 28</t>
  </si>
  <si>
    <t>Oct 28</t>
  </si>
  <si>
    <t>Sep 28</t>
  </si>
  <si>
    <t>Aug 28</t>
  </si>
  <si>
    <t>Jul 28</t>
  </si>
  <si>
    <t>Jun 28</t>
  </si>
  <si>
    <t>May 28</t>
  </si>
  <si>
    <t>Apr 28</t>
  </si>
  <si>
    <t>Mar 28</t>
  </si>
  <si>
    <t>Feb 28</t>
  </si>
  <si>
    <t>Jan 28</t>
  </si>
  <si>
    <t>Dec 27</t>
  </si>
  <si>
    <t>Nov 27</t>
  </si>
  <si>
    <t>Oct 27</t>
  </si>
  <si>
    <t>Sep 27</t>
  </si>
  <si>
    <t>Aug 27</t>
  </si>
  <si>
    <t>Jul 27</t>
  </si>
  <si>
    <t>Jun 27</t>
  </si>
  <si>
    <t>May 27</t>
  </si>
  <si>
    <t>Apr 27</t>
  </si>
  <si>
    <t>Mar 27</t>
  </si>
  <si>
    <t>Feb 27</t>
  </si>
  <si>
    <t>Jan 27</t>
  </si>
  <si>
    <t>Dec 26</t>
  </si>
  <si>
    <t>Nov 26</t>
  </si>
  <si>
    <t>Oct 26</t>
  </si>
  <si>
    <t>Sep 26</t>
  </si>
  <si>
    <t>Aug 26</t>
  </si>
  <si>
    <t>Jul 26</t>
  </si>
  <si>
    <t>Jun 26</t>
  </si>
  <si>
    <t>May 26</t>
  </si>
  <si>
    <t>Apr 26</t>
  </si>
  <si>
    <t>Mar 26</t>
  </si>
  <si>
    <t>Feb 26</t>
  </si>
  <si>
    <t>Jan 26</t>
  </si>
  <si>
    <t>Dec 25</t>
  </si>
  <si>
    <t>Nov 25</t>
  </si>
  <si>
    <t>Oct 25</t>
  </si>
  <si>
    <t>Sep 25</t>
  </si>
  <si>
    <t>Aug 25</t>
  </si>
  <si>
    <t>Jul 25</t>
  </si>
  <si>
    <t>Jun 25</t>
  </si>
  <si>
    <t>May 25</t>
  </si>
  <si>
    <t>Apr 25</t>
  </si>
  <si>
    <t>Mar 25</t>
  </si>
  <si>
    <t>Feb 25</t>
  </si>
  <si>
    <t>Jan 25</t>
  </si>
  <si>
    <t>Dec 24</t>
  </si>
  <si>
    <t>Nov 24</t>
  </si>
  <si>
    <t>Oct 24</t>
  </si>
  <si>
    <t>Sep 24</t>
  </si>
  <si>
    <t>Aug 24</t>
  </si>
  <si>
    <t>Jul 24</t>
  </si>
  <si>
    <t>Jun 24</t>
  </si>
  <si>
    <t>May 24</t>
  </si>
  <si>
    <t>Apr 24</t>
  </si>
  <si>
    <t>Date</t>
  </si>
  <si>
    <t>Nov 29</t>
  </si>
  <si>
    <t>Dec 29</t>
  </si>
  <si>
    <t>Jan 30</t>
  </si>
  <si>
    <t>Feb 29</t>
  </si>
  <si>
    <t>Apr 29</t>
  </si>
  <si>
    <t>May 29</t>
  </si>
  <si>
    <t>Aug 29</t>
  </si>
  <si>
    <t>Sep 29</t>
  </si>
  <si>
    <t>Oct 29</t>
  </si>
  <si>
    <t>Mar 29</t>
  </si>
  <si>
    <t>Jun 29</t>
  </si>
  <si>
    <t>Jul 29</t>
  </si>
  <si>
    <t>Feb 30</t>
  </si>
  <si>
    <t>Mar 30</t>
  </si>
  <si>
    <t>Month</t>
  </si>
  <si>
    <t>Câmbio Médio</t>
  </si>
  <si>
    <t>Brent</t>
  </si>
  <si>
    <t>IPCA Período</t>
  </si>
  <si>
    <t>1T24</t>
  </si>
  <si>
    <t>2T24</t>
  </si>
  <si>
    <t>3T24</t>
  </si>
  <si>
    <t>4T24</t>
  </si>
  <si>
    <t>1T25</t>
  </si>
  <si>
    <t>2T25</t>
  </si>
  <si>
    <t>3T25</t>
  </si>
  <si>
    <t>4T25</t>
  </si>
  <si>
    <t>Inflation Período</t>
  </si>
  <si>
    <t>%Imobilizado</t>
  </si>
  <si>
    <t>Royalties e Participações Especiais</t>
  </si>
  <si>
    <t>% da Receita</t>
  </si>
  <si>
    <t>Data</t>
  </si>
  <si>
    <t>Ano</t>
  </si>
  <si>
    <t>Dias</t>
  </si>
  <si>
    <t>Receita - Gas (R$mm)</t>
  </si>
  <si>
    <t>Premissas WACC</t>
  </si>
  <si>
    <t>Long Term Treasury bond rate</t>
  </si>
  <si>
    <t xml:space="preserve">Risk Premium to Use for Equity </t>
  </si>
  <si>
    <t>CDS 10Y Brazil</t>
  </si>
  <si>
    <t>Industry Name</t>
  </si>
  <si>
    <t>Number of firms</t>
  </si>
  <si>
    <t xml:space="preserve">Beta </t>
  </si>
  <si>
    <t>D/E Ratio</t>
  </si>
  <si>
    <t>Effective Tax rate</t>
  </si>
  <si>
    <t>Unlevered beta</t>
  </si>
  <si>
    <t>Cash/Firm value</t>
  </si>
  <si>
    <t>Unlevered beta corrected for cash</t>
  </si>
  <si>
    <t>HiLo Risk</t>
  </si>
  <si>
    <t>Standard deviation of equity</t>
  </si>
  <si>
    <t>Standard deviation in operating income (last 10 years)</t>
  </si>
  <si>
    <t>Advertising</t>
  </si>
  <si>
    <t>Aerospace/Defense</t>
  </si>
  <si>
    <t>Air Transport</t>
  </si>
  <si>
    <t>Apparel</t>
  </si>
  <si>
    <t>Auto &amp; Truck</t>
  </si>
  <si>
    <t>Auto Parts</t>
  </si>
  <si>
    <t>Banks (Regional)</t>
  </si>
  <si>
    <t>Beverage (Alcoholic)</t>
  </si>
  <si>
    <t>Broadcasting</t>
  </si>
  <si>
    <t>Brokerage &amp; Investment Banking</t>
  </si>
  <si>
    <t>Building Materials</t>
  </si>
  <si>
    <t>Business &amp; Consumer Services</t>
  </si>
  <si>
    <t>Cable TV</t>
  </si>
  <si>
    <t>Chemical (Basic)</t>
  </si>
  <si>
    <t>Chemical (Diversified)</t>
  </si>
  <si>
    <t>Chemical (Specialty)</t>
  </si>
  <si>
    <t>Coal &amp; Related Energy</t>
  </si>
  <si>
    <t>Computer Services</t>
  </si>
  <si>
    <t>Computers/Peripherals</t>
  </si>
  <si>
    <t>Diversified</t>
  </si>
  <si>
    <t>Electrical Equipment</t>
  </si>
  <si>
    <t>Electronics (Consumer &amp; Office)</t>
  </si>
  <si>
    <t>Entertainment</t>
  </si>
  <si>
    <t>Environmental &amp; Waste Services</t>
  </si>
  <si>
    <t>Farming/Agriculture</t>
  </si>
  <si>
    <t>Financial Svcs. (Non-bank &amp; Insurance)</t>
  </si>
  <si>
    <t>Food Processing</t>
  </si>
  <si>
    <t>Food Wholesalers</t>
  </si>
  <si>
    <t>Furn/Home Furnishings</t>
  </si>
  <si>
    <t>Healthcare Products</t>
  </si>
  <si>
    <t>Homebuilding</t>
  </si>
  <si>
    <t>Hotel/Gaming</t>
  </si>
  <si>
    <t>Household Products</t>
  </si>
  <si>
    <t>Information Services</t>
  </si>
  <si>
    <t>Insurance (General)</t>
  </si>
  <si>
    <t>Insurance (Life)</t>
  </si>
  <si>
    <t>Insurance (Prop/Cas.)</t>
  </si>
  <si>
    <t>Machinery</t>
  </si>
  <si>
    <t>Metals &amp; Mining</t>
  </si>
  <si>
    <t>Office Equipment &amp; Services</t>
  </si>
  <si>
    <t>Oil/Gas (Integrated)</t>
  </si>
  <si>
    <t>Oil/Gas (Production and Exploration)</t>
  </si>
  <si>
    <t>Oil/Gas Distribution</t>
  </si>
  <si>
    <t>Oilfield Svcs/Equip.</t>
  </si>
  <si>
    <t>Packaging &amp; Container</t>
  </si>
  <si>
    <t>Paper/Forest Products</t>
  </si>
  <si>
    <t>Power</t>
  </si>
  <si>
    <t>Precious Metals</t>
  </si>
  <si>
    <t>R.E.I.T.</t>
  </si>
  <si>
    <t>Real Estate (Development)</t>
  </si>
  <si>
    <t>Real Estate (Operations &amp; Services)</t>
  </si>
  <si>
    <t>Recreation</t>
  </si>
  <si>
    <t>Reinsurance</t>
  </si>
  <si>
    <t>Retail (Automotive)</t>
  </si>
  <si>
    <t>Retail (Building Supply)</t>
  </si>
  <si>
    <t>Retail (Distributors)</t>
  </si>
  <si>
    <t>Retail (General)</t>
  </si>
  <si>
    <t>Retail (Grocery and Food)</t>
  </si>
  <si>
    <t>Retail (Special Lines)</t>
  </si>
  <si>
    <t>Rubber&amp; Tires</t>
  </si>
  <si>
    <t>Semiconductor</t>
  </si>
  <si>
    <t>Semiconductor Equip</t>
  </si>
  <si>
    <t>Shipbuilding &amp; Marine</t>
  </si>
  <si>
    <t>Shoe</t>
  </si>
  <si>
    <t>Steel</t>
  </si>
  <si>
    <t>Telecom (Wireless)</t>
  </si>
  <si>
    <t>Telecom. Equipment</t>
  </si>
  <si>
    <t>Telecom. Services</t>
  </si>
  <si>
    <t>Tobacco</t>
  </si>
  <si>
    <t>Trucking</t>
  </si>
  <si>
    <t>Utility (General)</t>
  </si>
  <si>
    <t>Utility (Water)</t>
  </si>
  <si>
    <t>Total Market</t>
  </si>
  <si>
    <t>Heathcare Information and Technology</t>
  </si>
  <si>
    <t>Bank (Money Center)</t>
  </si>
  <si>
    <t>Beverage (Soft)</t>
  </si>
  <si>
    <t>Construction Supplies</t>
  </si>
  <si>
    <t>Drugs (Biotechnology)</t>
  </si>
  <si>
    <t>Drugs (Pharmaceutical)</t>
  </si>
  <si>
    <t>Education</t>
  </si>
  <si>
    <t>Electronics (General)</t>
  </si>
  <si>
    <t>Engineering/Construction</t>
  </si>
  <si>
    <t>Green &amp; Renewable Energy</t>
  </si>
  <si>
    <t>Healthcare Support Services</t>
  </si>
  <si>
    <t>Hospitals/Healthcare Facilities</t>
  </si>
  <si>
    <t>Investments &amp; Asset Management</t>
  </si>
  <si>
    <t>Real Estate (General/Diversified)</t>
  </si>
  <si>
    <t>Restaurant/Dining</t>
  </si>
  <si>
    <t>Retail (Online)</t>
  </si>
  <si>
    <t>Software (Entertainment)</t>
  </si>
  <si>
    <t>Software (Internet)</t>
  </si>
  <si>
    <t>Software (System &amp; Application)</t>
  </si>
  <si>
    <t>Transportation</t>
  </si>
  <si>
    <t>Transportation (Railroads)</t>
  </si>
  <si>
    <t>Publishing &amp; Newspapers</t>
  </si>
  <si>
    <t>Total Market (without financials)</t>
  </si>
  <si>
    <t>NA</t>
  </si>
  <si>
    <t>Financial Svcs, (Non-bank &amp; Insuran</t>
  </si>
  <si>
    <t>Heathcare Information and Technol</t>
  </si>
  <si>
    <t>Insurance (Prop/Cas,)</t>
  </si>
  <si>
    <t>Oil/Gas (Production and Exploratio</t>
  </si>
  <si>
    <t>Oilfield Svcs/Equip,</t>
  </si>
  <si>
    <t>R,E,I,T,</t>
  </si>
  <si>
    <t>Telecom, Equipment</t>
  </si>
  <si>
    <t>Telecom, Services</t>
  </si>
  <si>
    <t>Brent MMBTU / bbl</t>
  </si>
  <si>
    <t>Dólar</t>
  </si>
  <si>
    <t>Receita Bruta</t>
  </si>
  <si>
    <t>Receita Bruta LTM</t>
  </si>
  <si>
    <t>Câmbio</t>
  </si>
  <si>
    <t>Dívida Líq/EBITDA</t>
  </si>
  <si>
    <t>Dívida Líquida</t>
  </si>
  <si>
    <t>EBITDA (LTM)</t>
  </si>
  <si>
    <t>CPV</t>
  </si>
  <si>
    <t>Start of month</t>
  </si>
  <si>
    <t>S&amp;P 500</t>
  </si>
  <si>
    <t>T.Bond Rate</t>
  </si>
  <si>
    <t>Ten-year average CF</t>
  </si>
  <si>
    <t>CF (Trailing 12 month)</t>
  </si>
  <si>
    <t>Normalized CF</t>
  </si>
  <si>
    <t>Expected growth rate</t>
  </si>
  <si>
    <t>ERP (T12 m with sustainable payout)</t>
  </si>
  <si>
    <t>Beta Alavancado</t>
  </si>
  <si>
    <t>Alíquota Imposto Teórica</t>
  </si>
  <si>
    <t>Alíquota Efetiva</t>
  </si>
  <si>
    <t>CDS</t>
  </si>
  <si>
    <t>Inflação US</t>
  </si>
  <si>
    <t>Ke BR (Dólar)</t>
  </si>
  <si>
    <t>Ke US (Dólar)</t>
  </si>
  <si>
    <t>Inflação BR</t>
  </si>
  <si>
    <t>Ke Acumulado</t>
  </si>
  <si>
    <t>Lucro Líquido</t>
  </si>
  <si>
    <t>Depreciação/Amortizações</t>
  </si>
  <si>
    <t>Fluxo de Caixa - Investimentos</t>
  </si>
  <si>
    <t>Direito de Uso</t>
  </si>
  <si>
    <t>Passivo de Arrendamento</t>
  </si>
  <si>
    <t>CAPEX</t>
  </si>
  <si>
    <t>Lifting Cost</t>
  </si>
  <si>
    <t>Informações</t>
  </si>
  <si>
    <t>Capital de Giro</t>
  </si>
  <si>
    <t>Outros Ativos</t>
  </si>
  <si>
    <t>Dias de Receita</t>
  </si>
  <si>
    <t>% da Produção</t>
  </si>
  <si>
    <t>Produção do Período</t>
  </si>
  <si>
    <t xml:space="preserve">Dias </t>
  </si>
  <si>
    <t>Variação do Capital de Giro</t>
  </si>
  <si>
    <t>Investimentos em Capital de Giro</t>
  </si>
  <si>
    <t>Investimentos em Outros Ativos</t>
  </si>
  <si>
    <t>Fluxo de Caixa - Operacional</t>
  </si>
  <si>
    <t>4Q/T</t>
  </si>
  <si>
    <t xml:space="preserve">Lucro Líquido - Saída de Caixa </t>
  </si>
  <si>
    <t>Balanço Patrimonial (R$ Mil)</t>
  </si>
  <si>
    <t>DRE (R$ Mil)</t>
  </si>
  <si>
    <t>TP</t>
  </si>
  <si>
    <t>3P</t>
  </si>
  <si>
    <t>Produção Líquida de Petróleo - 1P</t>
  </si>
  <si>
    <t>Produção Líquida de Petróleo - 2P</t>
  </si>
  <si>
    <t>Produção Líquida de Petróleo - 3P</t>
  </si>
  <si>
    <t>Produção Líquida de Gás Natural - 1P</t>
  </si>
  <si>
    <t>Produção Líquida de Gás Natural - 2P</t>
  </si>
  <si>
    <t>Produção Líquida de Gás Natural - 3P</t>
  </si>
  <si>
    <t>Apr 30</t>
  </si>
  <si>
    <t>May 30</t>
  </si>
  <si>
    <t>Aug 30</t>
  </si>
  <si>
    <t>Sep 30</t>
  </si>
  <si>
    <t>Oct 30</t>
  </si>
  <si>
    <t>Dec 30</t>
  </si>
  <si>
    <t>1T26</t>
  </si>
  <si>
    <t>2T26</t>
  </si>
  <si>
    <t>3T26</t>
  </si>
  <si>
    <t>4T26</t>
  </si>
  <si>
    <t>1T27</t>
  </si>
  <si>
    <t>2T27</t>
  </si>
  <si>
    <t>3T27</t>
  </si>
  <si>
    <t>4T27</t>
  </si>
  <si>
    <t>1T28</t>
  </si>
  <si>
    <t>2T28</t>
  </si>
  <si>
    <t>3T28</t>
  </si>
  <si>
    <t>4T28</t>
  </si>
  <si>
    <t>1T29</t>
  </si>
  <si>
    <t>2T29</t>
  </si>
  <si>
    <t>3T29</t>
  </si>
  <si>
    <t>4T29</t>
  </si>
  <si>
    <t>1T30</t>
  </si>
  <si>
    <t>2T30</t>
  </si>
  <si>
    <t>2T10</t>
  </si>
  <si>
    <t>3T40</t>
  </si>
  <si>
    <t>3T30</t>
  </si>
  <si>
    <t>4T30</t>
  </si>
  <si>
    <t>4T63</t>
  </si>
  <si>
    <t>Dias de Custo</t>
  </si>
  <si>
    <t>COGS LTM</t>
  </si>
  <si>
    <t>COGS</t>
  </si>
  <si>
    <t>2P</t>
  </si>
  <si>
    <t>CAPEX - 1P</t>
  </si>
  <si>
    <t>CAPEX - 2P</t>
  </si>
  <si>
    <t>CAPEX - 3P</t>
  </si>
  <si>
    <t>Royalties e Participações Especiais - 1P</t>
  </si>
  <si>
    <t>Royalties e Participações Especiais - 2P</t>
  </si>
  <si>
    <t>Royalties e Participações Especiais - 3P</t>
  </si>
  <si>
    <t>Resultados</t>
  </si>
  <si>
    <t>Pagamentos de Passivos de Arrendamento</t>
  </si>
  <si>
    <t>Redutor de Receita</t>
  </si>
  <si>
    <t>Premissa de Adição de Valor com Reinvestimentos</t>
  </si>
  <si>
    <t>Spread Taxa de Desconto</t>
  </si>
  <si>
    <t>Retorno s/ Capital Investido</t>
  </si>
  <si>
    <t>Premissa com Reinvestimentos</t>
  </si>
  <si>
    <t>Treasury Year</t>
  </si>
  <si>
    <t>Yield</t>
  </si>
  <si>
    <t>Acumulado</t>
  </si>
  <si>
    <t>Taxa Implícita Anual</t>
  </si>
  <si>
    <t>Check</t>
  </si>
  <si>
    <t>Base 1</t>
  </si>
  <si>
    <t>Risk Free Rate US</t>
  </si>
  <si>
    <t>N/D</t>
  </si>
  <si>
    <t>Taxa Implícita no Ano</t>
  </si>
  <si>
    <t>Indicador</t>
  </si>
  <si>
    <t>CPI</t>
  </si>
  <si>
    <t xml:space="preserve">Taxa de câmbio média do dólar no ano </t>
  </si>
  <si>
    <t>Inflação Brasileira</t>
  </si>
  <si>
    <t>Projeção</t>
  </si>
  <si>
    <t>Diferencial Inflacionário BRA/EUA</t>
  </si>
  <si>
    <t>Depreciação - 1P</t>
  </si>
  <si>
    <t>Depreciação - 2P</t>
  </si>
  <si>
    <t>Depreciação - 3P</t>
  </si>
  <si>
    <t>Receita Líquida</t>
  </si>
  <si>
    <t>Custos</t>
  </si>
  <si>
    <t>Fluxo de Caixa - Variações da Dívida Líquida</t>
  </si>
  <si>
    <t>Fluxo de Caixa dos Acionistas</t>
  </si>
  <si>
    <t>Taxa Pré-Fixada</t>
  </si>
  <si>
    <t>Taxa de Juros Selic</t>
  </si>
  <si>
    <t>Projeçao</t>
  </si>
  <si>
    <t>Despesas</t>
  </si>
  <si>
    <t>Impostos</t>
  </si>
  <si>
    <t>Lifting Cost (US$)</t>
  </si>
  <si>
    <t>Outras Depesas</t>
  </si>
  <si>
    <t>Linha de Resultado Operacional</t>
  </si>
  <si>
    <t>Sobressalentes</t>
  </si>
  <si>
    <t>Sonda Hunter Queen</t>
  </si>
  <si>
    <t>Método de Depreciação</t>
  </si>
  <si>
    <t>Método de Amortização</t>
  </si>
  <si>
    <t>Ativo Intangível</t>
  </si>
  <si>
    <t>Ativo Imobilizado</t>
  </si>
  <si>
    <t>Valor líquido (R$ mi)</t>
  </si>
  <si>
    <t>Abandono - 1P</t>
  </si>
  <si>
    <t>Abandono - 2P</t>
  </si>
  <si>
    <t>Abandono - 3P</t>
  </si>
  <si>
    <t>Despesas com Abandono por Cenário de Entrega de Reservas  (R$ mi)</t>
  </si>
  <si>
    <t>Função de Dias de Receitas</t>
  </si>
  <si>
    <t>Função da Produção</t>
  </si>
  <si>
    <t>Função de Dias de Custos</t>
  </si>
  <si>
    <t>% da Receita dos 12 Últimos Meses</t>
  </si>
  <si>
    <t>Dias de Receita dos 12 Últimos Meses</t>
  </si>
  <si>
    <t>Dias de CMV dos 12 Últimos Meses</t>
  </si>
  <si>
    <t>Fluxo de Caixa Operacional</t>
  </si>
  <si>
    <t>Fluxo de Caixa de Investimentos</t>
  </si>
  <si>
    <t>1 anos</t>
  </si>
  <si>
    <t>2 anos</t>
  </si>
  <si>
    <t>3 anos</t>
  </si>
  <si>
    <t>4 anos</t>
  </si>
  <si>
    <t>5 anos</t>
  </si>
  <si>
    <t>6 anos</t>
  </si>
  <si>
    <t>7 anos</t>
  </si>
  <si>
    <t>8-9 anos</t>
  </si>
  <si>
    <t>10 anos</t>
  </si>
  <si>
    <t>11-19 anos</t>
  </si>
  <si>
    <t>20 anos</t>
  </si>
  <si>
    <t>21-29 anos</t>
  </si>
  <si>
    <t>30 anos</t>
  </si>
  <si>
    <t>Ke BR</t>
  </si>
  <si>
    <t>Upside/Downside (%) em Relação ao Cenário BASE</t>
  </si>
  <si>
    <t>Resultado Cenário Base</t>
  </si>
  <si>
    <t>Diferença entre Valor Máximo e Mínimo</t>
  </si>
  <si>
    <t>Jun 30</t>
  </si>
  <si>
    <t>Jul 30</t>
  </si>
  <si>
    <t>Nov 30</t>
  </si>
  <si>
    <t>Bloomberg + Meta</t>
  </si>
  <si>
    <t>Dados históricos: Investing.com</t>
  </si>
  <si>
    <t xml:space="preserve">Tabela: Beta Damodaran </t>
  </si>
  <si>
    <t>Contratos Futuros Brent: Bloomberg &amp; Investing.com</t>
  </si>
  <si>
    <t>Premissa de Reservas &gt;&gt;</t>
  </si>
  <si>
    <t>BRENT $/bbl - Preços Históricos e Curva Futura</t>
  </si>
  <si>
    <t>Preço de realização (US$/bbl) - por Campo</t>
  </si>
  <si>
    <t>Receita - Oil (US$mm) - Reportado no DRE</t>
  </si>
  <si>
    <t>Receita - Oil (R$mm) - Reportado no DRE</t>
  </si>
  <si>
    <t>Receita - Oil (R$mm) - Estimado pelo Release Operacional</t>
  </si>
  <si>
    <t>Receita - Oil (u$mm) - Estimado pelo Release Operacional</t>
  </si>
  <si>
    <t>Vendas (10³ bbl)</t>
  </si>
  <si>
    <t>Produção (10³ bbl) - Empresa</t>
  </si>
  <si>
    <t>BRENT $/bbl - Preço de Venda PRIO (Reportado e Projeção)</t>
  </si>
  <si>
    <t>Metros cúbicos para pés cúbicos</t>
  </si>
  <si>
    <t>Metros cúbicos para milhões de BTU - Gás seco</t>
  </si>
  <si>
    <t>Inflação Americana: Base 1 (2022)</t>
  </si>
  <si>
    <t>Royalties à Pagar (US$) - Projeção</t>
  </si>
  <si>
    <t>SPF à Pagar (US$) - Projeção</t>
  </si>
  <si>
    <t>SPF e Royalties - DRE (US$ mm)</t>
  </si>
  <si>
    <t>Imposto médio - DRE (US$ mm)</t>
  </si>
  <si>
    <t>Variação cambial no período  (R$ milhões)</t>
  </si>
  <si>
    <t>Dívida Total (R$ milhões)</t>
  </si>
  <si>
    <t>Caixa e equivalente de caixa em dólar (US$ milhões)</t>
  </si>
  <si>
    <t>Rendimentos dos Títulos Americanos</t>
  </si>
  <si>
    <t>26.054</t>
  </si>
  <si>
    <t>Variação Cambial</t>
  </si>
  <si>
    <t>Variação de Outros Ativos</t>
  </si>
  <si>
    <t>Quantidade de ações</t>
  </si>
  <si>
    <t>Entrega de Reservas</t>
  </si>
  <si>
    <t>PREMISSAS:</t>
  </si>
  <si>
    <t>Usar como Tabela de Dados &gt;&gt;</t>
  </si>
  <si>
    <t>Se planilha ficar pesada, colar como valor</t>
  </si>
  <si>
    <t>Ano final</t>
  </si>
  <si>
    <t>.</t>
  </si>
  <si>
    <t>Receita (U$mm)</t>
  </si>
  <si>
    <t>JANUARY 1, 2024</t>
  </si>
  <si>
    <t>PRIO S.A.</t>
  </si>
  <si>
    <t>Handling fee</t>
  </si>
  <si>
    <t xml:space="preserve">  4. The estimated economic limit for the field occurs after the expiration date of the concession agreement. PRIO has represented that it expects to meet the conditions required by the ANP to obtain the</t>
  </si>
  <si>
    <t xml:space="preserve">  5. PRIO has represented that a handling fee of U.S.$12.5 per barrel of oil is charged to the interest owners of the unitized reservoirs of the Albacora Leste field as a reimbursement for processing the</t>
  </si>
  <si>
    <r>
      <t>(10</t>
    </r>
    <r>
      <rPr>
        <b/>
        <vertAlign val="superscript"/>
        <sz val="11"/>
        <color theme="1"/>
        <rFont val="Arial"/>
        <family val="2"/>
      </rPr>
      <t>3</t>
    </r>
    <r>
      <rPr>
        <b/>
        <sz val="11"/>
        <color theme="1"/>
        <rFont val="Arial"/>
        <family val="2"/>
      </rPr>
      <t>bbl)</t>
    </r>
  </si>
  <si>
    <r>
      <t>(10</t>
    </r>
    <r>
      <rPr>
        <b/>
        <vertAlign val="superscript"/>
        <sz val="11"/>
        <color theme="1"/>
        <rFont val="Arial"/>
        <family val="2"/>
      </rPr>
      <t>6</t>
    </r>
    <r>
      <rPr>
        <b/>
        <sz val="11"/>
        <color theme="1"/>
        <rFont val="Arial"/>
        <family val="2"/>
      </rPr>
      <t>ft</t>
    </r>
    <r>
      <rPr>
        <b/>
        <vertAlign val="superscript"/>
        <sz val="11"/>
        <color theme="1"/>
        <rFont val="Arial"/>
        <family val="2"/>
      </rPr>
      <t>3</t>
    </r>
    <r>
      <rPr>
        <b/>
        <sz val="11"/>
        <color theme="1"/>
        <rFont val="Arial"/>
        <family val="2"/>
      </rPr>
      <t>)</t>
    </r>
  </si>
  <si>
    <r>
      <t>(U.S.$/10</t>
    </r>
    <r>
      <rPr>
        <b/>
        <vertAlign val="superscript"/>
        <sz val="11"/>
        <color theme="1"/>
        <rFont val="Arial"/>
        <family val="2"/>
      </rPr>
      <t>3</t>
    </r>
    <r>
      <rPr>
        <b/>
        <sz val="11"/>
        <color theme="1"/>
        <rFont val="Arial"/>
        <family val="2"/>
      </rPr>
      <t>ft</t>
    </r>
    <r>
      <rPr>
        <b/>
        <vertAlign val="superscript"/>
        <sz val="11"/>
        <color theme="1"/>
        <rFont val="Arial"/>
        <family val="2"/>
      </rPr>
      <t>3</t>
    </r>
    <r>
      <rPr>
        <b/>
        <sz val="11"/>
        <color theme="1"/>
        <rFont val="Arial"/>
        <family val="2"/>
      </rPr>
      <t>)</t>
    </r>
  </si>
  <si>
    <r>
      <t xml:space="preserve">  4.</t>
    </r>
    <r>
      <rPr>
        <sz val="11"/>
        <color theme="1"/>
        <rFont val="Calibri"/>
        <family val="2"/>
        <scheme val="minor"/>
      </rPr>
      <t xml:space="preserve"> concession extension.  Based on this representation, and at PRIO's request, the reserves estimated herein considered the potential concession extension for the field.</t>
    </r>
  </si>
  <si>
    <r>
      <t xml:space="preserve">  5.</t>
    </r>
    <r>
      <rPr>
        <sz val="11"/>
        <color theme="1"/>
        <rFont val="Calibri"/>
        <family val="2"/>
        <scheme val="minor"/>
      </rPr>
      <t xml:space="preserve"> hydrocarbons at the P-50 FPSO.</t>
    </r>
  </si>
  <si>
    <r>
      <t>(10</t>
    </r>
    <r>
      <rPr>
        <b/>
        <vertAlign val="superscript"/>
        <sz val="11"/>
        <color theme="1"/>
        <rFont val="Arial"/>
        <family val="2"/>
      </rPr>
      <t>3</t>
    </r>
    <r>
      <rPr>
        <b/>
        <sz val="11"/>
        <color theme="1"/>
        <rFont val="Arial"/>
        <family val="2"/>
      </rPr>
      <t>U.S.$)</t>
    </r>
  </si>
  <si>
    <r>
      <t>Present Worth (10</t>
    </r>
    <r>
      <rPr>
        <b/>
        <vertAlign val="superscript"/>
        <sz val="11"/>
        <color theme="1"/>
        <rFont val="Arial"/>
        <family val="2"/>
      </rPr>
      <t>3</t>
    </r>
    <r>
      <rPr>
        <b/>
        <sz val="11"/>
        <color theme="1"/>
        <rFont val="Arial"/>
        <family val="2"/>
      </rPr>
      <t>U.S.$) at:</t>
    </r>
  </si>
  <si>
    <t xml:space="preserve">  5. The estimated economic limit for the field occurs after the expiration date of the concession agreement. PRIO has represented that it expects to meet the conditions required by the ANP to obtain the</t>
  </si>
  <si>
    <r>
      <t xml:space="preserve">  5.</t>
    </r>
    <r>
      <rPr>
        <sz val="11"/>
        <color theme="1"/>
        <rFont val="Calibri"/>
        <family val="2"/>
        <scheme val="minor"/>
      </rPr>
      <t xml:space="preserve"> concession extension.  Based on this representation, and at PRIO's request, the reserves estimated herein considered the potential concession extension for the field.</t>
    </r>
  </si>
  <si>
    <t xml:space="preserve">  6. PRIO has represented that a handling fee of U.S.$12.5 per barrel of oil is charged to the interest owners of the unitized reservoirs of the Albacora Leste field as a reimbursement for processing the</t>
  </si>
  <si>
    <r>
      <t xml:space="preserve">  6.</t>
    </r>
    <r>
      <rPr>
        <sz val="11"/>
        <color theme="1"/>
        <rFont val="Calibri"/>
        <family val="2"/>
        <scheme val="minor"/>
      </rPr>
      <t xml:space="preserve"> hydrocarbons at the P-50 FPSO.</t>
    </r>
  </si>
  <si>
    <t xml:space="preserve">  4. The estimated economic limit for the field occurs after the expiration date of the concession agreement. PRIO has represented that it expects to meet the conditions required by the ANP to</t>
  </si>
  <si>
    <r>
      <t xml:space="preserve">  4.</t>
    </r>
    <r>
      <rPr>
        <sz val="11"/>
        <color theme="1"/>
        <rFont val="Calibri"/>
        <family val="2"/>
        <scheme val="minor"/>
      </rPr>
      <t xml:space="preserve"> obtain the concession extension.  Based on this representation, and at PRIO's request, the reserves estimated herein considered the potential concession extension for the field.</t>
    </r>
  </si>
  <si>
    <t xml:space="preserve">  5. The estimated economic limit for the field occurs after the expiration date of the concession agreement. PRIO has represented that it expects to meet the conditions required by the ANP to</t>
  </si>
  <si>
    <r>
      <t xml:space="preserve">  5.</t>
    </r>
    <r>
      <rPr>
        <sz val="11"/>
        <color theme="1"/>
        <rFont val="Calibri"/>
        <family val="2"/>
        <scheme val="minor"/>
      </rPr>
      <t xml:space="preserve"> obtain the concession extension.  Based on this representation, and at PRIO's request, the reserves estimated herein considered the potential concession extension for the field.</t>
    </r>
  </si>
  <si>
    <t xml:space="preserve"> </t>
  </si>
  <si>
    <t>Feb 31</t>
  </si>
  <si>
    <t>Apr 31</t>
  </si>
  <si>
    <t>May 31</t>
  </si>
  <si>
    <t>Jan 31</t>
  </si>
  <si>
    <t>Mar 31</t>
  </si>
  <si>
    <t>Focus 08/03/2024 + Meta</t>
  </si>
  <si>
    <t>Focus 08/03/2024 + Diferencial de Inflação</t>
  </si>
  <si>
    <t>Focus 08/03/2024 + Último Resultado Perpetuado</t>
  </si>
  <si>
    <t>Taxa Selic</t>
  </si>
  <si>
    <t>Tabela: Taxa livre de Risco - Federal Reserve (www.federalreserve.gov/releases/h15/): 14/03/2024</t>
  </si>
  <si>
    <t>Tabela: ERP Damodaran (https://view.officeapps.live.com/op/view.aspx?src=https%3A%2F%2Fpages.stern.nyu.edu%2F~adamodar%2Fpc%2Fimplprem%2FERPbymonth.xlsx&amp;wdOrigin=BROWSELINK)</t>
  </si>
  <si>
    <t xml:space="preserve">Handling </t>
  </si>
  <si>
    <t>fee</t>
  </si>
  <si>
    <t>Handling Fee Albacora: % da receita</t>
  </si>
  <si>
    <t xml:space="preserve">Inflação US </t>
  </si>
  <si>
    <t>BAABTAVMT0NBTAFI/////wFQqgAAACRDSVEuTUFSIDI0LklRX1NFVFRMRU1FTlRfUFJJQ0UuNDUzNjYFAAAAAAAAAAgAAAAUKEludmFsaWQgSWRlbnRpZmllcikE+ffGn0bcCFoN1DSgRtwIJENJUS5BUFIgMjQuSVFfU0VUVExFTUVOVF9QUklDRS40NTM2NgUAAAAAAAAACAAAABQoSW52YWxpZCBJZGVudGlmaWVyKaY8ReGfRtwId16eNKBG3AgkQ0lRLk1BWSAyNC5JUV9TRVRUTEVNRU5UX1BSSUNFLjQ1MzY2BQAAAAAAAAAIAAAAFChJbnZhbGlkIElkZW50aWZpZXIppjxF4Z9G3Ah3Xp40oEbcCCRDSVEuSlVOIDI0LklRX1NFVFRMRU1FTlRfUFJJQ0UuNDUzNjYFAAAAAAAAAAgAAAAUKEludmFsaWQgSWRlbnRpZmllcimmPEXhn0bcCHdenjSgRtwIJENJUS5KVUwgMjQuSVFfU0VUVExFTUVOVF9QUklDRS40NTM2NgUAAAAAAAAACAAAABQoSW52YWxpZCBJZGVudGlmaWVyKaY8ReGfRtwId16eNKBG3AgkQ0lRLkFVRyAyNC5JUV9TRVRUTEVNRU5UX1BSSUNFLjQ1MzY2BQAAAAAAAAAIAAAAFChJbnZhbGlkIElkZW50aWZpZXIpH2lF4Z9G3Ah3Xp40oEbcCClDSVEuTUFSIDI0LklRX1NFVFRMRU1FTlRfUFJJQ0UuMTUvMDMvMjAyNAUAAAAAAAAACAAAABQoSW52YWxpZCBJZGVudGlmaWVyKTb3Fv6fRtwINa0eNKBG3AgfQ0lRLk1BUiAyNC5JUV9TRVRUTEVNRU5UX1BSSUNFLgUAAAAAAAAACAAAABQoSW52YWxp</t>
  </si>
  <si>
    <t>ZCBJZGVudGlmaWVyKbzHp/6fRtwINKpwC6BG3AgpQ0lRLk1BUiAzMC5JUV9TRVRUTEVNRU5UX1BSSUNFLjE1LzAzLzIwMjQFAAAAAAAAAAgAAAAUKEludmFsaWQgSWRlbnRpZmllcimx6NofoEbcCIgg3zOgRtwIKUNJUS5GRUIgMzAuSVFfU0VUVExFTUVOVF9QUklDRS4xNS8wMy8yMDI0BQAAAAAAAAAIAAAAFChJbnZhbGlkIElkZW50aWZpZXIpsejaH6BG3AiIIN8zoEbcCClDSVEuSlVOIDMwLklRX1NFVFRMRU1FTlRfUFJJQ0UuMTUvMDMvMjAyNAUAAAAAAAAACAAAABQoSW52YWxpZCBJZGVudGlmaWVyKbHo2h+gRtwIiCDfM6BG3AgpQ0lRLk9DVCAyOS5JUV9TRVRUTEVNRU5UX1BSSUNFLjE1LzAzLzIwMjQFAAAAAAAAAAgAAAAUKEludmFsaWQgSWRlbnRpZmllcimx6NofoEbcCIgg3zOgRtwIKUNJUS5GRUIgMjkuSVFfU0VUVExFTUVOVF9QUklDRS4xNS8wMy8yMDI0BQAAAAAAAAAIAAAAFChJbnZhbGlkIElkZW50aWZpZXIpsejaH6BG3AiIIN8zoEbcCClDSVEuSlVOIDI4LklRX1NFVFRMRU1FTlRfUFJJQ0UuMTUvMDMvMjAyNAUAAAAAAAAACAAAABQoSW52YWxpZCBJZGVudGlmaWVyKbHo2h+gRtwIiCDfM6BG3AgpQ0lRLk9DVCAyNy5JUV9TRVRUTEVNRU5UX1BSSUNFLjE1LzAzLzIwMjQFAAAAAAAAAAgAAAAUKEludmFsaWQgSWRlbnRpZmllcimx6NofoEbcCIgg3zOgRtwIKUNJUS5GRUIgMjcuSVFf</t>
  </si>
  <si>
    <t>U0VUVExFTUVOVF9QUklDRS4xNS8wMy8yMDI0BQAAAAAAAAAIAAAAFChJbnZhbGlkIElkZW50aWZpZXIpsejaH6BG3AiIIN8zoEbcCClDSVEuSlVOIDI2LklRX1NFVFRMRU1FTlRfUFJJQ0UuMTUvMDMvMjAyNAUAAAAAAAAACAAAABQoSW52YWxpZCBJZGVudGlmaWVyKbHo2h+gRtwIiCDfM6BG3AgpQ0lRLk9DVCAyNS5JUV9TRVRUTEVNRU5UX1BSSUNFLjE1LzAzLzIwMjQFAAAAAAAAAAgAAAAUKEludmFsaWQgSWRlbnRpZmllcimx6NofoEbcCIgg3zOgRtwIKUNJUS5GRUIgMjUuSVFfU0VUVExFTUVOVF9QUklDRS4xNS8wMy8yMDI0BQAAAAAAAAAIAAAAFChJbnZhbGlkIElkZW50aWZpZXIpsejaH6BG3AiIIN8zoEbcCClDSVEuSlVOIDI0LklRX1NFVFRMRU1FTlRfUFJJQ0UuMTUvMDMvMjAyNAUAAAAAAAAACAAAABQoSW52YWxpZCBJZGVudGlmaWVyKbHo2h+gRtwIiCDfM6BG3AgpQ0lRLkFQUiAzMC5JUV9TRVRUTEVNRU5UX1BSSUNFLjE1LzAzLzIwMjQFAAAAAAAAAAgAAAAUKEludmFsaWQgSWRlbnRpZmllcimx6NofoEbcCIgg3zOgRtwIKUNJUS5ERUMgMjguSVFfU0VUVExFTUVOVF9QUklDRS4xNS8wMy8yMDI0BQAAAAAAAAAIAAAAFChJbnZhbGlkIElkZW50aWZpZXIpsejaH6BG3AiIIN8zoEbcCClDSVEuQVBSIDI2LklRX1NFVFRMRU1FTlRfUFJJQ0UuMTUvMDMvMjAyNAUAAAAAAAAACAAAABQoSW52</t>
  </si>
  <si>
    <t>YWxpZCBJZGVudGlmaWVyKbHo2h+gRtwIiCDfM6BG3AgpQ0lRLkFVRyAyNS5JUV9TRVRUTEVNRU5UX1BSSUNFLjE1LzAzLzIwMjQFAAAAAAAAAAgAAAAUKEludmFsaWQgSWRlbnRpZmllcimx6NofoEbcCIgg3zOgRtwIKUNJUS5BUFIgMjQuSVFfU0VUVExFTUVOVF9QUklDRS4xNS8wMy8yMDI0BQAAAAAAAAAIAAAAFChJbnZhbGlkIElkZW50aWZpZXIpsejaH6BG3AiIIN8zoEbcCClDSVEuTk9WIDMwLklRX1NFVFRMRU1FTlRfUFJJQ0UuMTUvMDMvMjAyNAUAAAAAAAAACAAAABQoSW52YWxpZCBJZGVudGlmaWVyKbHo2h+gRtwIiCDfM6BG3AgpQ0lRLk1BUiAyOC5JUV9TRVRUTEVNRU5UX1BSSUNFLjE1LzAzLzIwMjQFAAAAAAAAAAgAAAAUKEludmFsaWQgSWRlbnRpZmllcimx6NofoEbcCIgg3zOgRtwIKUNJUS5KVUwgMjcuSVFfU0VUVExFTUVOVF9QUklDRS4xNS8wMy8yMDI0BQAAAAAAAAAIAAAAFChJbnZhbGlkIElkZW50aWZpZXIpsejaH6BG3AiIIN8zoEbcCClDSVEuRkVCIDI4LklRX1NFVFRMRU1FTlRfUFJJQ0UuMTUvMDMvMjAyNAUAAAAAAAAACAAAABQoSW52YWxpZCBJZGVudGlmaWVyKbHo2h+gRtwIiCDfM6BG3AgpQ0lRLkFVRyAzMC5JUV9TRVRUTEVNRU5UX1BSSUNFLjE1LzAzLzIwMjQFAAAAAAAAAAgAAAAUKEludmFsaWQgSWRlbnRpZmllcimx6NofoEbcCIgg3zOgRtwIKUNJUS5ERUMgMjcu</t>
  </si>
  <si>
    <t>SVFfU0VUVExFTUVOVF9QUklDRS4xNS8wMy8yMDI0BQAAAAAAAAAIAAAAFChJbnZhbGlkIElkZW50aWZpZXIpsejaH6BG3AiIIN8zoEbcCClDSVEuSlVMIDMwLklRX1NFVFRMRU1FTlRfUFJJQ0UuMTUvMDMvMjAyNAUAAAAAAAAACAAAABQoSW52YWxpZCBJZGVudGlmaWVyKbHo2h+gRtwIiCDfM6BG3AgpQ0lRLk1BUiAyOS5JUV9TRVRUTEVNRU5UX1BSSUNFLjE1LzAzLzIwMjQFAAAAAAAAAAgAAAAUKEludmFsaWQgSWRlbnRpZmllcimx6NofoEbcCIgg3zOgRtwIKUNJUS5NQVIgMjcuSVFfU0VUVExFTUVOVF9QUklDRS4xNS8wMy8yMDI0BQAAAAAAAAAIAAAAFChJbnZhbGlkIElkZW50aWZpZXIpsejaH6BG3AiIIN8zoEbcCClDSVEuTk9WIDI1LklRX1NFVFRMRU1FTlRfUFJJQ0UuMTUvMDMvMjAyNAUAAAAAAAAACAAAABQoSW52YWxpZCBJZGVudGlmaWVyKbHo2h+gRtwIiCDfM6BG3AgpQ0lRLkpVTCAyNC5JUV9TRVRUTEVNRU5UX1BSSUNFLjE1LzAzLzIwMjQFAAAAAAAAAAgAAAAUKEludmFsaWQgSWRlbnRpZmllcimx6NofoEbcCIgg3zOgRtwIKUNJUS5KQU4gMzAuSVFfU0VUVExFTUVOVF9QUklDRS4xNS8wMy8yMDI0BQAAAAAAAAAIAAAAFChJbnZhbGlkIElkZW50aWZpZXIpsejaH6BG3AiIIN8zoEbcCClDSVEuTUFZIDMwLklRX1NFVFRMRU1FTlRfUFJJQ0UuMTUvMDMvMjAyNAUAAAAAAAAACAAAABQo</t>
  </si>
  <si>
    <t>SW52YWxpZCBJZGVudGlmaWVyKbHo2h+gRtwIiCDfM6BG3AgpQ0lRLlNFUCAyOS5JUV9TRVRUTEVNRU5UX1BSSUNFLjE1LzAzLzIwMjQFAAAAAAAAAAgAAAAUKEludmFsaWQgSWRlbnRpZmllcimx6NofoEbcCIgg3zOgRtwIKUNJUS5KQU4gMjkuSVFfU0VUVExFTUVOVF9QUklDRS4xNS8wMy8yMDI0BQAAAAAAAAAIAAAAFChJbnZhbGlkIElkZW50aWZpZXIpsejaH6BG3AiIIN8zoEbcCClDSVEuTUFZIDI4LklRX1NFVFRMRU1FTlRfUFJJQ0UuMTUvMDMvMjAyNAUAAAAAAAAACAAAABQoSW52YWxpZCBJZGVudGlmaWVyKbHo2h+gRtwIiCDfM6BG3AgpQ0lRLlNFUCAyNy5JUV9TRVRUTEVNRU5UX1BSSUNFLjE1LzAzLzIwMjQFAAAAAAAAAAgAAAAUKEludmFsaWQgSWRlbnRpZmllcimx6NofoEbcCIgg3zOgRtwIKUNJUS5KQU4gMjcuSVFfU0VUVExFTUVOVF9QUklDRS4xNS8wMy8yMDI0BQAAAAAAAAAIAAAAFChJbnZhbGlkIElkZW50aWZpZXIpsejaH6BG3AiIIN8zoEbcCClDSVEuTUFZIDI2LklRX1NFVFRMRU1FTlRfUFJJQ0UuMTUvMDMvMjAyNAUAAAAAAAAACAAAABQoSW52YWxpZCBJZGVudGlmaWVyKbHo2h+gRtwIiCDfM6BG3AgpQ0lRLlNFUCAyNS5JUV9TRVRUTEVNRU5UX1BSSUNFLjE1LzAzLzIwMjQFAAAAAAAAAAgAAAAUKEludmFsaWQgSWRlbnRpZmllcimx6NofoEbcCIgg3zOgRtwIKUNJUS5KQU4g</t>
  </si>
  <si>
    <t>MjUuSVFfU0VUVExFTUVOVF9QUklDRS4xNS8wMy8yMDI0BQAAAAAAAAAIAAAAFChJbnZhbGlkIElkZW50aWZpZXIpsejaH6BG3AiIIN8zoEbcCClDSVEuTUFZIDI0LklRX1NFVFRMRU1FTlRfUFJJQ0UuMTUvMDMvMjAyNAUAAAAAAAAACAAAABQoSW52YWxpZCBJZGVudGlmaWVyKbHo2h+gRtwIiCDfM6BG3AgpQ0lRLkFVRyAyOS5JUV9TRVRUTEVNRU5UX1BSSUNFLjE1LzAzLzIwMjQFAAAAAAAAAAgAAAAUKEludmFsaWQgSWRlbnRpZmllcimx6NofoEbcCIgg3zOgRtwIKUNJUS5BUFIgMjguSVFfU0VUVExFTUVOVF9QUklDRS4xNS8wMy8yMDI0BQAAAAAAAAAIAAAAFChJbnZhbGlkIElkZW50aWZpZXIpsejaH6BG3AiIIN8zoEbcCClDSVEuREVDIDI2LklRX1NFVFRMRU1FTlRfUFJJQ0UuMTUvMDMvMjAyNAUAAAAAAAAACAAAABQoSW52YWxpZCBJZGVudGlmaWVyKbHo2h+gRtwIiCDfM6BG3AgpQ0lRLkRFQyAyNC5JUV9TRVRUTEVNRU5UX1BSSUNFLjE1LzAzLzIwMjQFAAAAAAAAAAgAAAAUKEludmFsaWQgSWRlbnRpZmllcimx6NofoEbcCIgg3zOgRtwIKUNJUS5OT1YgMjguSVFfU0VUVExFTUVOVF9QUklDRS4xNS8wMy8yMDI0BQAAAAAAAAAIAAAAFChJbnZhbGlkIElkZW50aWZpZXIpsejaH6BG3AiIIN8zoEbcCClDSVEuSlVMIDI1LklRX1NFVFRMRU1FTlRfUFJJQ0UuMTUvMDMvMjAyNAUAAAAAAAAACAAA</t>
  </si>
  <si>
    <t>ABQoSW52YWxpZCBJZGVudGlmaWVyKbHo2h+gRtwIiCDfM6BG3AgpQ0lRLk5PViAyNC5JUV9TRVRUTEVNRU5UX1BSSUNFLjE1LzAzLzIwMjQFAAAAAAAAAAgAAAAUKEludmFsaWQgSWRlbnRpZmllcimx6NofoEbcCIgg3zOgRtwIKUNJUS5KVU4gMjcuSVFfU0VUVExFTUVOVF9QUklDRS4xNS8wMy8yMDI0BQAAAAAAAAAIAAAAFChJbnZhbGlkIElkZW50aWZpZXIpsejaH6BG3AiIIN8zoEbcCClDSVEuT0NUIDI2LklRX1NFVFRMRU1FTlRfUFJJQ0UuMTUvMDMvMjAyNAUAAAAAAAAACAAAABQoSW52YWxpZCBJZGVudGlmaWVyKbHo2h+gRtwIiCDfM6BG3AgpQ0lRLkZFQiAyNi5JUV9TRVRUTEVNRU5UX1BSSUNFLjE1LzAzLzIwMjQFAAAAAAAAAAgAAAAUKEludmFsaWQgSWRlbnRpZmllcimx6NofoEbcCIgg3zOgRtwIKUNJUS5PQ1QgMjQuSVFfU0VUVExFTUVOVF9QUklDRS4xNS8wMy8yMDI0BQAAAAAAAAAIAAAAFChJbnZhbGlkIElkZW50aWZpZXIpsejaH6BG3AiIIN8zoEbcCClDSVEuREVDIDI5LklRX1NFVFRMRU1FTlRfUFJJQ0UuMTUvMDMvMjAyNAUAAAAAAAAACAAAABQoSW52YWxpZCBJZGVudGlmaWVyKbHo2h+gRtwIiCDfM6BG3AgpQ0lRLkFQUiAyNy5JUV9TRVRUTEVNRU5UX1BSSUNFLjE1LzAzLzIwMjQFAAAAAAAAAAgAAAAUKEludmFsaWQgSWRlbnRpZmllcimx6NofoEbcCIgg3zOgRtwIKUNJUS5B</t>
  </si>
  <si>
    <t>UFIgMjUuSVFfU0VUVExFTUVOVF9QUklDRS4xNS8wMy8yMDI0BQAAAAAAAAAIAAAAFChJbnZhbGlkIElkZW50aWZpZXIpsejaH6BG3AiIIN8zoEbcCClDSVEuREVDIDMwLklRX1NFVFRMRU1FTlRfUFJJQ0UuMTUvMDMvMjAyNAUAAAAAAAAACAAAABQoSW52YWxpZCBJZGVudGlmaWVyKbHo2h+gRtwIiCDfM6BG3AgpQ0lRLkFVRyAyNy5JUV9TRVRUTEVNRU5UX1BSSUNFLjE1LzAzLzIwMjQFAAAAAAAAAAgAAAAUKEludmFsaWQgSWRlbnRpZmllcimx6NofoEbcCIgg3zOgRtwIKUNJUS5KVUwgMjkuSVFfU0VUVExFTUVOVF9QUklDRS4xNS8wMy8yMDI0BQAAAAAAAAAIAAAAFChJbnZhbGlkIElkZW50aWZpZXIpsejaH6BG3AiIIN8zoEbcCClDSVEuTk9WIDI2LklRX1NFVFRMRU1FTlRfUFJJQ0UuMTUvMDMvMjAyNAUAAAAAAAAACAAAABQoSW52YWxpZCBJZGVudGlmaWVyKbHo2h+gRtwIiCDfM6BG3AgpQ0lRLkFQUiAyOS5JUV9TRVRUTEVNRU5UX1BSSUNFLjE1LzAzLzIwMjQFAAAAAAAAAAgAAAAUKEludmFsaWQgSWRlbnRpZmllcimx6NofoEbcCIgg3zOgRtwIKUNJUS5OT1YgMjkuSVFfU0VUVExFTUVOVF9QUklDRS4xNS8wMy8yMDI0BQAAAAAAAAAIAAAAFChJbnZhbGlkIElkZW50aWZpZXIpsejaH6BG3AiIIN8zoEbcCClDSVEuSlVMIDI2LklRX1NFVFRMRU1FTlRfUFJJQ0UuMTUvMDMvMjAyNAUAAAAAAAAA</t>
  </si>
  <si>
    <t>CAAAABQoSW52YWxpZCBJZGVudGlmaWVyKbHo2h+gRtwIiCDfM6BG3AgpQ0lRLk1BUiAyNS5JUV9TRVRUTEVNRU5UX1BSSUNFLjE1LzAzLzIwMjQFAAAAAAAAAAgAAAAUKEludmFsaWQgSWRlbnRpZmllcimx6NofoEbcCIgg3zOgRtwIKUNJUS5NQVIgMjYuSVFfU0VUVExFTUVOVF9QUklDRS4xNS8wMy8yMDI0BQAAAAAAAAAIAAAAFChJbnZhbGlkIElkZW50aWZpZXIpsejaH6BG3AiIIN8zoEbcCClDSVEuTUFZIDI1LklRX1NFVFRMRU1FTlRfUFJJQ0UuMTUvMDMvMjAyNAUAAAAAAAAACAAAABQoSW52YWxpZCBJZGVudGlmaWVyKbHo2h+gRtwIiCDfM6BG3AgpQ0lRLlNFUCAyNC5JUV9TRVRUTEVNRU5UX1BSSUNFLjE1LzAzLzIwMjQFAAAAAAAAAAgAAAAUKEludmFsaWQgSWRlbnRpZmllcimx6NofoEbcCIgg3zOgRtwIKUNJUS5BVUcgMjguSVFfU0VUVExFTUVOVF9QUklDRS4xNS8wMy8yMDI0BQAAAAAAAAAIAAAAFChJbnZhbGlkIElkZW50aWZpZXIpsejaH6BG3AiIIN8zoEbcCClDSVEuQVVHIDI0LklRX1NFVFRMRU1FTlRfUFJJQ0UuMTUvMDMvMjAyNAUAAAAAAAAACAAAABQoSW52YWxpZCBJZGVudGlmaWVyKbHo2h+gRtwIiCDfM6BG3AgpQ0lRLkpVTCAyOC5JUV9TRVRUTEVNRU5UX1BSSUNFLjE1LzAzLzIwMjQFAAAAAAAAAAgAAAAUKEludmFsaWQgSWRlbnRpZmllcimx6NofoEbcCIgg3zOgRtwIKUNJ</t>
  </si>
  <si>
    <t>US5PQ1QgMzAuSVFfU0VUVExFTUVOVF9QUklDRS4xNS8wMy8yMDI0BQAAAAAAAAAIAAAAFChJbnZhbGlkIElkZW50aWZpZXIpsejaH6BG3AiIIN8zoEbcCClDSVEuSlVOIDI5LklRX1NFVFRMRU1FTlRfUFJJQ0UuMTUvMDMvMjAyNAUAAAAAAAAACAAAABQoSW52YWxpZCBJZGVudGlmaWVyKbHo2h+gRtwIiCDfM6BG3AgpQ0lRLk9DVCAyOC5JUV9TRVRUTEVNRU5UX1BSSUNFLjE1LzAzLzIwMjQFAAAAAAAAAAgAAAAUKEludmFsaWQgSWRlbnRpZmllcimx6NofoEbcCIgg3zOgRtwIKUNJUS5KVU4gMjUuSVFfU0VUVExFTUVOVF9QUklDRS4xNS8wMy8yMDI0BQAAAAAAAAAIAAAAFChJbnZhbGlkIElkZW50aWZpZXIpsejaH6BG3AiIIN8zoEbcCClDSVEuREVDIDI1LklRX1NFVFRMRU1FTlRfUFJJQ0UuMTUvMDMvMjAyNAUAAAAAAAAACAAAABQoSW52YWxpZCBJZGVudGlmaWVyKbHo2h+gRtwIiCDfM6BG3AgpQ0lRLk5PViAyNy5JUV9TRVRUTEVNRU5UX1BSSUNFLjE1LzAzLzIwMjQFAAAAAAAAAAgAAAAUKEludmFsaWQgSWRlbnRpZmllcimx6NofoEbcCIgg3zOgRtwIKUNJUS5TRVAgMzAuSVFfU0VUVExFTUVOVF9QUklDRS4xNS8wMy8yMDI0BQAAAAAAAAAIAAAAFChJbnZhbGlkIElkZW50aWZpZXIpsejaH6BG3AiIIN8zoEbcCClDSVEuTUFZIDI5LklRX1NFVFRMRU1FTlRfUFJJQ0UuMTUvMDMvMjAyNAUAAAAA</t>
  </si>
  <si>
    <t>AAAACAAAABQoSW52YWxpZCBJZGVudGlmaWVyKbHo2h+gRtwIiCDfM6BG3AgpQ0lRLlNFUCAyOC5JUV9TRVRUTEVNRU5UX1BSSUNFLjE1LzAzLzIwMjQFAAAAAAAAAAgAAAAUKEludmFsaWQgSWRlbnRpZmllcimx6NofoEbcCIgg3zOgRtwIKUNJUS5KQU4gMjguSVFfU0VUVExFTUVOVF9QUklDRS4xNS8wMy8yMDI0BQAAAAAAAAAIAAAAFChJbnZhbGlkIElkZW50aWZpZXIpsejaH6BG3AiIIN8zoEbcCClDSVEuTUFZIDI3LklRX1NFVFRMRU1FTlRfUFJJQ0UuMTUvMDMvMjAyNAUAAAAAAAAACAAAABQoSW52YWxpZCBJZGVudGlmaWVyKbHo2h+gRtwIiCDfM6BG3AgpQ0lRLlNFUCAyNi5JUV9TRVRUTEVNRU5UX1BSSUNFLjE1LzAzLzIwMjQFAAAAAAAAAAgAAAAUKEludmFsaWQgSWRlbnRpZmllcimx6NofoEbcCIgg3zOgRtwIKUNJUS5KQU4gMjYuSVFfU0VUVExFTUVOVF9QUklDRS4xNS8wMy8yMDI0BQAAAAAAAAAIAAAAFChJbnZhbGlkIElkZW50aWZpZXIpsejaH6BG3AiIIN8zoEbcCClDSVEuQVVHIDI2LklRX1NFVFRMRU1FTlRfUFJJQ0UuMTUvMDMvMjAyNAUAAAAAAAAACAAAABQoSW52YWxpZCBJZGVudGlmaWVyKbHo2h+gRtwIiCDfM6BG3AgfQ0lRLk1BWSAyNy5JUV9TRVRUTEVNRU5UX1BSSUNFLgUAAAAAAAAACAAAABQoSW52YWxpZCBJZGVudGlmaWVyKb6juiCgRtwIvgsRIaBG3AgfQ0lRLlNFUCAy</t>
  </si>
  <si>
    <t>Ni5JUV9TRVRUTEVNRU5UX1BSSUNFLgUAAAAAAAAACAAAABQoSW52YWxpZCBJZGVudGlmaWVyKb6juiCgRtwIvgsRIaBG3AgfQ0lRLkpBTiAyNi5JUV9TRVRUTEVNRU5UX1BSSUNFLgUAAAAAAAAACAAAABQoSW52YWxpZCBJZGVudGlmaWVyKb6juiCgRtwIvgsRIaBG3AgfQ0lRLkFVRyAyNi5JUV9TRVRUTEVNRU5UX1BSSUNFLgUAAAAAAAAACAAAABQoSW52YWxpZCBJZGVudGlmaWVyKb6juiCgRtwIvgsRIaBG3AgfQ0lRLkpBTiAzMC5JUV9TRVRUTEVNRU5UX1BSSUNFLgUAAAAAAAAACAAAABQoSW52YWxpZCBJZGVudGlmaWVyKb6juiCgRtwIvgsRIaBG3AgfQ0lRLk1BWSAyOS5JUV9TRVRUTEVNRU5UX1BSSUNFLgUAAAAAAAAACAAAABQoSW52YWxpZCBJZGVudGlmaWVyKb6juiCgRtwIvgsRIaBG3AgfQ0lRLlNFUCAyOC5JUV9TRVRUTEVNRU5UX1BSSUNFLgUAAAAAAAAACAAAABQoSW52YWxpZCBJZGVudGlmaWVyKb6juiCgRtwIvgsRIaBG3AgfQ0lRLkpBTiAyOC5JUV9TRVRUTEVNRU5UX1BSSUNFLgUAAAAAAAAACAAAABQoSW52YWxpZCBJZGVudGlmaWVyKb6juiCgRtwIvgsRIaBG3AgfQ0lRLkpVTiAyNS5JUV9TRVRUTEVNRU5UX1BSSUNFLgUAAAAAAAAACAAAABQoSW52YWxpZCBJZGVudGlmaWVyKb6juiCgRtwIvgsRIaBG3AgfQ0lRLkRFQyAyNS5JUV9TRVRUTEVNRU5UX1BSSUNFLgUAAAAAAAAACAAA</t>
  </si>
  <si>
    <t>ABQoSW52YWxpZCBJZGVudGlmaWVyKb6juiCgRtwIvgsRIaBG3AgfQ0lRLk5PViAyNy5JUV9TRVRUTEVNRU5UX1BSSUNFLgUAAAAAAAAACAAAABQoSW52YWxpZCBJZGVudGlmaWVyKb6juiCgRtwIvgsRIaBG3AgfQ0lRLlNFUCAzMC5JUV9TRVRUTEVNRU5UX1BSSUNFLgUAAAAAAAAACAAAABQoSW52YWxpZCBJZGVudGlmaWVyKb6juiCgRtwIvgsRIaBG3AgfQ0lRLk9DVCAzMC5JUV9TRVRUTEVNRU5UX1BSSUNFLgUAAAAAAAAACAAAABQoSW52YWxpZCBJZGVudGlmaWVyKb6juiCgRtwIvgsRIaBG3AgfQ0lRLkZFQiAzMC5JUV9TRVRUTEVNRU5UX1BSSUNFLgUAAAAAAAAACAAAABQoSW52YWxpZCBJZGVudGlmaWVyKb6juiCgRtwIvgsRIaBG3AgfQ0lRLkpVTiAyOS5JUV9TRVRUTEVNRU5UX1BSSUNFLgUAAAAAAAAACAAAABQoSW52YWxpZCBJZGVudGlmaWVyKb6juiCgRtwIvgsRIaBG3AgfQ0lRLk9DVCAyOC5JUV9TRVRUTEVNRU5UX1BSSUNFLgUAAAAAAAAACAAAABQoSW52YWxpZCBJZGVudGlmaWVyKb6juiCgRtwIvgsRIaBG3AgfQ0lRLlNFUCAyNC5JUV9TRVRUTEVNRU5UX1BSSUNFLgUAAAAAAAAACAAAABQoSW52YWxpZCBJZGVudGlmaWVyKb6juiCgRtwIvgsRIaBG3AgfQ0lRLkFVRyAyOC5JUV9TRVRUTEVNRU5UX1BSSUNFLgUAAAAAAAAACAAAABQoSW52YWxpZCBJZGVudGlmaWVyKb6juiCgRtwIvgsR</t>
  </si>
  <si>
    <t>IaBG3AgfQ0lRLkFVRyAyNC5JUV9TRVRUTEVNRU5UX1BSSUNFLgUAAAAAAAAACAAAABQoSW52YWxpZCBJZGVudGlmaWVyKb6juiCgRtwIvgsRIaBG3AgfQ0lRLkpVTCAyOC5JUV9TRVRUTEVNRU5UX1BSSUNFLgUAAAAAAAAACAAAABQoSW52YWxpZCBJZGVudGlmaWVyKb6juiCgRtwIvgsRIaBG3AgfQ0lRLkpVTCAyNi5JUV9TRVRUTEVNRU5UX1BSSUNFLgUAAAAAAAAACAAAABQoSW52YWxpZCBJZGVudGlmaWVyKb6juiCgRtwIvgsRIaBG3AgfQ0lRLk1BUiAyNS5JUV9TRVRUTEVNRU5UX1BSSUNFLgUAAAAAAAAACAAAABQoSW52YWxpZCBJZGVudGlmaWVyKb6juiCgRtwIvgsRIaBG3AgfQ0lRLk1BUiAyNi5JUV9TRVRUTEVNRU5UX1BSSUNFLgUAAAAAAAAACAAAABQoSW52YWxpZCBJZGVudGlmaWVyKb6juiCgRtwIvgsRIaBG3AgfQ0lRLk1BWSAyNS5JUV9TRVRUTEVNRU5UX1BSSUNFLgUAAAAAAAAACAAAABQoSW52YWxpZCBJZGVudGlmaWVyKb6juiCgRtwIvgsRIaBG3AgfQ0lRLkpVTCAyOS5JUV9TRVRUTEVNRU5UX1BSSUNFLgUAAAAAAAAACAAAABQoSW52YWxpZCBJZGVudGlmaWVyKb6juiCgRtwIvgsRIaBG3AgfQ0lRLk5PViAyNi5JUV9TRVRUTEVNRU5UX1BSSUNFLgUAAAAAAAAACAAAABQoSW52YWxpZCBJZGVudGlmaWVyKb6juiCgRtwIvgsRIaBG3AgfQ0lRLkFQUiAyOS5JUV9TRVRUTEVNRU5UX1BS</t>
  </si>
  <si>
    <t>SUNFLgUAAAAAAAAACAAAABQoSW52YWxpZCBJZGVudGlmaWVyKb6juiCgRtwIvgsRIaBG3AgfQ0lRLk5PViAyOS5JUV9TRVRUTEVNRU5UX1BSSUNFLgUAAAAAAAAACAAAABQoSW52YWxpZCBJZGVudGlmaWVyKb6juiCgRtwIvgsRIaBG3AgfQ0lRLkFQUiAyNy5JUV9TRVRUTEVNRU5UX1BSSUNFLgUAAAAAAAAACAAAABQoSW52YWxpZCBJZGVudGlmaWVyKb6juiCgRtwIvgsRIaBG3AgfQ0lRLkFQUiAyNS5JUV9TRVRUTEVNRU5UX1BSSUNFLgUAAAAAAAAACAAAABQoSW52YWxpZCBJZGVudGlmaWVyKb6juiCgRtwIvgsRIaBG3AgfQ0lRLkRFQyAzMC5JUV9TRVRUTEVNRU5UX1BSSUNFLgUAAAAAAAAACAAAABQoSW52YWxpZCBJZGVudGlmaWVyKb6juiCgRtwIvgsRIaBG3AgfQ0lRLkFVRyAyNy5JUV9TRVRUTEVNRU5UX1BSSUNFLgUAAAAAAAAACAAAABQoSW52YWxpZCBJZGVudGlmaWVyKb6juiCgRtwIvgsRIaBG3AgfQ0lRLk9DVCAyNi5JUV9TRVRUTEVNRU5UX1BSSUNFLgUAAAAAAAAACAAAABQoSW52YWxpZCBJZGVudGlmaWVyKb6juiCgRtwIvgsRIaBG3AgfQ0lRLkZFQiAyNi5JUV9TRVRUTEVNRU5UX1BSSUNFLgUAAAAAAAAACAAAABQoSW52YWxpZCBJZGVudGlmaWVyKb6juiCgRtwIvgsRIaBG3AgfQ0lRLk9DVCAyNC5JUV9TRVRUTEVNRU5UX1BSSUNFLgUAAAAAAAAACAAAABQoSW52YWxpZCBJZGVudGlm</t>
  </si>
  <si>
    <t>aWVyKb6juiCgRtwIvgsRIaBG3AgfQ0lRLkRFQyAyOS5JUV9TRVRUTEVNRU5UX1BSSUNFLgUAAAAAAAAACAAAABQoSW52YWxpZCBJZGVudGlmaWVyKb6juiCgRtwIvgsRIaBG3AgfQ0lRLk5PViAyOC5JUV9TRVRUTEVNRU5UX1BSSUNFLgUAAAAAAAAACAAAABQoSW52YWxpZCBJZGVudGlmaWVyKb6juiCgRtwIvgsRIaBG3AgfQ0lRLkpVTCAyNS5JUV9TRVRUTEVNRU5UX1BSSUNFLgUAAAAAAAAACAAAABQoSW52YWxpZCBJZGVudGlmaWVyKb6juiCgRtwIvgsRIaBG3AgfQ0lRLk5PViAyNC5JUV9TRVRUTEVNRU5UX1BSSUNFLgUAAAAAAAAACAAAABQoSW52YWxpZCBJZGVudGlmaWVyKb6juiCgRtwIvgsRIaBG3AgfQ0lRLkpVTiAyNy5JUV9TRVRUTEVNRU5UX1BSSUNFLgUAAAAAAAAACAAAABQoSW52YWxpZCBJZGVudGlmaWVyKb6juiCgRtwIvgsRIaBG3AgfQ0lRLkFQUiAyOC5JUV9TRVRUTEVNRU5UX1BSSUNFLgUAAAAAAAAACAAAABQoSW52YWxpZCBJZGVudGlmaWVyKb6juiCgRtwIvgsRIaBG3AgfQ0lRLkRFQyAyNi5JUV9TRVRUTEVNRU5UX1BSSUNFLgUAAAAAAAAACAAAABQoSW52YWxpZCBJZGVudGlmaWVyKb6juiCgRtwIvgsRIaBG3AgfQ0lRLkRFQyAyNC5JUV9TRVRUTEVNRU5UX1BSSUNFLgUAAAAAAAAACAAAABQoSW52YWxpZCBJZGVudGlmaWVyKb6juiCgRtwIvgsRIaBG3AgfQ0lRLk1BUiAzMC5J</t>
  </si>
  <si>
    <t>UV9TRVRUTEVNRU5UX1BSSUNFLgUAAAAAAAAACAAAABQoSW52YWxpZCBJZGVudGlmaWVyKb6juiCgRtwIvgsRIaBG3AgfQ0lRLlNFUCAyNS5JUV9TRVRUTEVNRU5UX1BSSUNFLgUAAAAAAAAACAAAABQoSW52YWxpZCBJZGVudGlmaWVyKb6juiCgRtwIvgsRIaBG3AgfQ0lRLkpBTiAyNS5JUV9TRVRUTEVNRU5UX1BSSUNFLgUAAAAAAAAACAAAABQoSW52YWxpZCBJZGVudGlmaWVyKb6juiCgRtwIvgsRIaBG3AgfQ0lRLk1BWSAyNC5JUV9TRVRUTEVNRU5UX1BSSUNFLgUAAAAAAAAACAAAABQoSW52YWxpZCBJZGVudGlmaWVyKb6juiCgRtwIvgsRIaBG3AgfQ0lRLkFVRyAyOS5JUV9TRVRUTEVNRU5UX1BSSUNFLgUAAAAAAAAACAAAABQoSW52YWxpZCBJZGVudGlmaWVyKb6juiCgRtwIvgsRIaBG3AgfQ0lRLk1BWSAyOC5JUV9TRVRUTEVNRU5UX1BSSUNFLgUAAAAAAAAACAAAABQoSW52YWxpZCBJZGVudGlmaWVyKb6juiCgRtwIvgsRIaBG3AgfQ0lRLlNFUCAyNy5JUV9TRVRUTEVNRU5UX1BSSUNFLgUAAAAAAAAACAAAABQoSW52YWxpZCBJZGVudGlmaWVyKb6juiCgRtwIvgsRIaBG3AgfQ0lRLkpBTiAyNy5JUV9TRVRUTEVNRU5UX1BSSUNFLgUAAAAAAAAACAAAABQoSW52YWxpZCBJZGVudGlmaWVyKb6juiCgRtwIvgsRIaBG3AgfQ0lRLk1BWSAyNi5JUV9TRVRUTEVNRU5UX1BSSUNFLgUAAAAAAAAACAAAABQo</t>
  </si>
  <si>
    <t>SW52YWxpZCBJZGVudGlmaWVyKb6juiCgRtwIvgsRIaBG3AgfQ0lRLk1BWSAzMC5JUV9TRVRUTEVNRU5UX1BSSUNFLgUAAAAAAAAACAAAABQoSW52YWxpZCBJZGVudGlmaWVyKb6juiCgRtwIwMYQIaBG3AgfQ0lRLlNFUCAyOS5JUV9TRVRUTEVNRU5UX1BSSUNFLgUAAAAAAAAACAAAABQoSW52YWxpZCBJZGVudGlmaWVyKb6juiCgRtwIwMYQIaBG3AgfQ0lRLkpBTiAyOS5JUV9TRVRUTEVNRU5UX1BSSUNFLgUAAAAAAAAACAAAABQoSW52YWxpZCBJZGVudGlmaWVyKb6juiCgRtwIvgsRIaBG3AgfQ0lRLk1BUiAyOS5JUV9TRVRUTEVNRU5UX1BSSUNFLgUAAAAAAAAACAAAABQoSW52YWxpZCBJZGVudGlmaWVyKb6juiCgRtwIwMYQIaBG3AgfQ0lRLk1BUiAyNy5JUV9TRVRUTEVNRU5UX1BSSUNFLgUAAAAAAAAACAAAABQoSW52YWxpZCBJZGVudGlmaWVyKb6juiCgRtwIwMYQIaBG3AgfQ0lRLk5PViAyNS5JUV9TRVRUTEVNRU5UX1BSSUNFLgUAAAAAAAAACAAAABQoSW52YWxpZCBJZGVudGlmaWVyKb6juiCgRtwIwMYQIaBG3AgfQ0lRLkpVTCAyNC5JUV9TRVRUTEVNRU5UX1BSSUNFLgUAAAAAAAAACAAAABQoSW52YWxpZCBJZGVudGlmaWVyKb6juiCgRtwIwMYQIaBG3AgfQ0lRLkZFQiAyOC5JUV9TRVRUTEVNRU5UX1BSSUNFLgUAAAAAAAAACAAAABQoSW52YWxpZCBJZGVudGlmaWVyKb6juiCgRtwIXuwPIaBG</t>
  </si>
  <si>
    <t>3AgfQ0lRLkFVRyAzMC5JUV9TRVRUTEVNRU5UX1BSSUNFLgUAAAAAAAAACAAAABQoSW52YWxpZCBJZGVudGlmaWVyKb6juiCgRtwIXuwPIaBG3AgfQ0lRLkRFQyAyNy5JUV9TRVRUTEVNRU5UX1BSSUNFLgUAAAAAAAAACAAAABQoSW52YWxpZCBJZGVudGlmaWVyKb6juiCgRtwIXuwPIaBG3AgfQ0lRLkpVTCAzMC5JUV9TRVRUTEVNRU5UX1BSSUNFLgUAAAAAAAAACAAAABQoSW52YWxpZCBJZGVudGlmaWVyKb6juiCgRtwIwMYQIaBG3AgfQ0lRLkFQUiAyNC5JUV9TRVRUTEVNRU5UX1BSSUNFLgUAAAAAAAAACAAAABQoSW52YWxpZCBJZGVudGlmaWVyKb6juiCgRtwIXuwPIaBG3AgfQ0lRLk5PViAzMC5JUV9TRVRUTEVNRU5UX1BSSUNFLgUAAAAAAAAACAAAABQoSW52YWxpZCBJZGVudGlmaWVyKb6juiCgRtwIXuwPIaBG3AgfQ0lRLk1BUiAyOC5JUV9TRVRUTEVNRU5UX1BSSUNFLgUAAAAAAAAACAAAABQoSW52YWxpZCBJZGVudGlmaWVyKb6juiCgRtwIXuwPIaBG3AgfQ0lRLkpVTCAyNy5JUV9TRVRUTEVNRU5UX1BSSUNFLgUAAAAAAAAACAAAABQoSW52YWxpZCBJZGVudGlmaWVyKb6juiCgRtwIXuwPIaBG3AgfQ0lRLkFQUiAzMC5JUV9TRVRUTEVNRU5UX1BSSUNFLgUAAAAAAAAACAAAABQoSW52YWxpZCBJZGVudGlmaWVyKb6juiCgRtwIXuwPIaBG3AgfQ0lRLkRFQyAyOC5JUV9TRVRUTEVNRU5UX1BSSUNF</t>
  </si>
  <si>
    <t>LgUAAAAAAAAACAAAABQoSW52YWxpZCBJZGVudGlmaWVyKb6juiCgRtwIXuwPIaBG3AgfQ0lRLkFQUiAyNi5JUV9TRVRUTEVNRU5UX1BSSUNFLgUAAAAAAAAACAAAABQoSW52YWxpZCBJZGVudGlmaWVyKb6juiCgRtwIXuwPIaBG3AgfQ0lRLkFVRyAyNS5JUV9TRVRUTEVNRU5UX1BSSUNFLgUAAAAAAAAACAAAABQoSW52YWxpZCBJZGVudGlmaWVyKb6juiCgRtwIXuwPIaBG3AgfQ0lRLkpVTiAyNi5JUV9TRVRUTEVNRU5UX1BSSUNFLgUAAAAAAAAACAAAABQoSW52YWxpZCBJZGVudGlmaWVyKb6juiCgRtwIXuwPIaBG3AgfQ0lRLk9DVCAyNS5JUV9TRVRUTEVNRU5UX1BSSUNFLgUAAAAAAAAACAAAABQoSW52YWxpZCBJZGVudGlmaWVyKb6juiCgRtwIXuwPIaBG3AgfQ0lRLkZFQiAyNS5JUV9TRVRUTEVNRU5UX1BSSUNFLgUAAAAAAAAACAAAABQoSW52YWxpZCBJZGVudGlmaWVyKb6juiCgRtwIXuwPIaBG3AgfQ0lRLkpVTiAyNC5JUV9TRVRUTEVNRU5UX1BSSUNFLgUAAAAAAAAACAAAABQoSW52YWxpZCBJZGVudGlmaWVyKb6juiCgRtwIXuwPIaBG3AgfQ0lRLkZFQiAyOS5JUV9TRVRUTEVNRU5UX1BSSUNFLgUAAAAAAAAACAAAABQoSW52YWxpZCBJZGVudGlmaWVyKb6juiCgRtwIXuwPIaBG3AgfQ0lRLkpVTiAyOC5JUV9TRVRUTEVNRU5UX1BSSUNFLgUAAAAAAAAACAAAABQoSW52YWxpZCBJZGVudGlmaWVy</t>
  </si>
  <si>
    <t>Kb6juiCgRtwIXuwPIaBG3AgfQ0lRLk9DVCAyNy5JUV9TRVRUTEVNRU5UX1BSSUNFLgUAAAAAAAAACAAAABQoSW52YWxpZCBJZGVudGlmaWVyKb6juiCgRtwIXuwPIaBG3AgfQ0lRLkZFQiAyNy5JUV9TRVRUTEVNRU5UX1BSSUNFLgUAAAAAAAAACAAAABQoSW52YWxpZCBJZGVudGlmaWVyKb6juiCgRtwIXuwPIaBG3AgfQ0lRLkpVTiAzMC5JUV9TRVRUTEVNRU5UX1BSSUNFLgUAAAAAAAAACAAAABQoSW52YWxpZCBJZGVudGlmaWVyKb6juiCgRtwIXuwPIaBG3AgfQ0lRLk9DVCAyOS5JUV9TRVRUTEVNRU5UX1BSSUNFLgUAAAAAAAAACAAAABQoSW52YWxpZCBJZGVudGlmaWVyKb6juiCgRtwIXuwPIaBG3Ag=</t>
  </si>
  <si>
    <t>Spread Títulos Americanos</t>
  </si>
  <si>
    <t>Taxa de Juros Média das Dívidas da PRIO (%)</t>
  </si>
  <si>
    <t>Petrorio ON</t>
  </si>
  <si>
    <t>Economatica</t>
  </si>
  <si>
    <t>Em R$ Real em milhares</t>
  </si>
  <si>
    <t>Consolidado</t>
  </si>
  <si>
    <t>DIVERSOS</t>
  </si>
  <si>
    <t xml:space="preserve"> Metodo Contabil</t>
  </si>
  <si>
    <t>L.S.</t>
  </si>
  <si>
    <t>IFRS</t>
  </si>
  <si>
    <t xml:space="preserve"> Link notas explicativas</t>
  </si>
  <si>
    <t>not copied</t>
  </si>
  <si>
    <t>ATIVO</t>
  </si>
  <si>
    <t xml:space="preserve"> Ativo total</t>
  </si>
  <si>
    <t xml:space="preserve"> Ativo Circulante</t>
  </si>
  <si>
    <t xml:space="preserve"> Caixa e equivalentes de caixa</t>
  </si>
  <si>
    <t>-</t>
  </si>
  <si>
    <t xml:space="preserve"> Aplicacoes financeiras</t>
  </si>
  <si>
    <t xml:space="preserve"> Apl fin avali vlr jus CP</t>
  </si>
  <si>
    <t xml:space="preserve"> Aplicacoes financeiras avaliadas a valor justo atraves do resultado CP</t>
  </si>
  <si>
    <t xml:space="preserve"> Titulos para negociacao CP</t>
  </si>
  <si>
    <t xml:space="preserve"> Titulos designados a valor justo CP</t>
  </si>
  <si>
    <t xml:space="preserve"> Outros</t>
  </si>
  <si>
    <t xml:space="preserve"> Aplicacoes financeiras avaliadas a valor justo atraves de outros resultados abrangentes CP</t>
  </si>
  <si>
    <t xml:space="preserve"> Apl fi aval custo amo CP</t>
  </si>
  <si>
    <t xml:space="preserve"> Contas a receber CP</t>
  </si>
  <si>
    <t xml:space="preserve"> Clientes CP</t>
  </si>
  <si>
    <t xml:space="preserve"> Outras contas a receb CP</t>
  </si>
  <si>
    <t xml:space="preserve"> Estoques</t>
  </si>
  <si>
    <t xml:space="preserve"> Ativos Biologicos CP</t>
  </si>
  <si>
    <t xml:space="preserve"> Impostos a Recuperar</t>
  </si>
  <si>
    <t xml:space="preserve"> Tributos cor a recuperar</t>
  </si>
  <si>
    <t xml:space="preserve"> Despesas pagas antecip</t>
  </si>
  <si>
    <t xml:space="preserve"> Outros ativos circulante</t>
  </si>
  <si>
    <t xml:space="preserve"> Atvs naocor mant p/venda</t>
  </si>
  <si>
    <t xml:space="preserve"> Operacoes Descon CP</t>
  </si>
  <si>
    <t xml:space="preserve"> Outros Ativos</t>
  </si>
  <si>
    <t xml:space="preserve"> Ativo nao circulante</t>
  </si>
  <si>
    <t xml:space="preserve"> Realizavel LP</t>
  </si>
  <si>
    <t xml:space="preserve"> Aplicacao financeira avaliada a valor justo LP</t>
  </si>
  <si>
    <t xml:space="preserve"> Aplicacoes financeiras avaliadas a valor justo atraves do resultado LP</t>
  </si>
  <si>
    <t xml:space="preserve"> Titulos designados a valor justo LP</t>
  </si>
  <si>
    <t xml:space="preserve"> Aplicacoes financeiras avaliadas a valor justo atraves de outros resultados abrangentes LP</t>
  </si>
  <si>
    <t xml:space="preserve"> Aplicacao financeira avaliada a custo amortizado LP</t>
  </si>
  <si>
    <t xml:space="preserve"> Contas a receber LP</t>
  </si>
  <si>
    <t xml:space="preserve"> Clientes LP</t>
  </si>
  <si>
    <t xml:space="preserve"> Out contas a cobrar LP</t>
  </si>
  <si>
    <t xml:space="preserve"> Estoques LP</t>
  </si>
  <si>
    <t xml:space="preserve"> Ativos Biologicos LP</t>
  </si>
  <si>
    <t xml:space="preserve"> Impostos Diferidos</t>
  </si>
  <si>
    <t xml:space="preserve"> IR e contr social difer</t>
  </si>
  <si>
    <t xml:space="preserve"> Despesas antecipadas</t>
  </si>
  <si>
    <t xml:space="preserve"> A receb de partes relaci</t>
  </si>
  <si>
    <t xml:space="preserve"> de Coligadas</t>
  </si>
  <si>
    <t xml:space="preserve"> de Controladas</t>
  </si>
  <si>
    <t xml:space="preserve"> Creditos com controlador</t>
  </si>
  <si>
    <t xml:space="preserve"> A rec de outr part relac</t>
  </si>
  <si>
    <t xml:space="preserve"> Outros ativos nao circul</t>
  </si>
  <si>
    <t xml:space="preserve"> Atv ncor mant p/venda LP</t>
  </si>
  <si>
    <t xml:space="preserve"> Operacoes Descontin LP</t>
  </si>
  <si>
    <t xml:space="preserve"> Investimentos</t>
  </si>
  <si>
    <t xml:space="preserve"> Inv em subsid e outros</t>
  </si>
  <si>
    <t xml:space="preserve"> Investim em coligadas</t>
  </si>
  <si>
    <t xml:space="preserve"> Investim em controladas</t>
  </si>
  <si>
    <t xml:space="preserve"> Inves em control em conj</t>
  </si>
  <si>
    <t xml:space="preserve"> Outr invest em empr rela</t>
  </si>
  <si>
    <t xml:space="preserve"> Propriedades p/ investim</t>
  </si>
  <si>
    <t xml:space="preserve"> Imobilizado</t>
  </si>
  <si>
    <t xml:space="preserve"> Em operacao</t>
  </si>
  <si>
    <t xml:space="preserve"> Arrendado</t>
  </si>
  <si>
    <t xml:space="preserve"> Imobilizacoes em Curso</t>
  </si>
  <si>
    <t xml:space="preserve"> Intangiveis liquido</t>
  </si>
  <si>
    <t xml:space="preserve"> Intangiveis</t>
  </si>
  <si>
    <t xml:space="preserve"> Contrato de concessao LP</t>
  </si>
  <si>
    <t xml:space="preserve"> Goodwill</t>
  </si>
  <si>
    <t>PASSIVO</t>
  </si>
  <si>
    <t xml:space="preserve"> Passivo e patrimonio liq</t>
  </si>
  <si>
    <t xml:space="preserve"> Passivo Circulante</t>
  </si>
  <si>
    <t xml:space="preserve"> Obrig sociais e trabalh</t>
  </si>
  <si>
    <t xml:space="preserve"> Obrigacoes sociais</t>
  </si>
  <si>
    <t xml:space="preserve"> Obrigac trabalhistas CP</t>
  </si>
  <si>
    <t xml:space="preserve"> Fornecedores CP</t>
  </si>
  <si>
    <t xml:space="preserve"> Nacionais</t>
  </si>
  <si>
    <t xml:space="preserve"> Estrangeiros</t>
  </si>
  <si>
    <t xml:space="preserve"> Impostos a pagar</t>
  </si>
  <si>
    <t xml:space="preserve"> Federais</t>
  </si>
  <si>
    <t xml:space="preserve"> IR e contrib social a pg</t>
  </si>
  <si>
    <t xml:space="preserve"> Estaduais</t>
  </si>
  <si>
    <t xml:space="preserve"> Municipais</t>
  </si>
  <si>
    <t xml:space="preserve"> Total empres e financ CP</t>
  </si>
  <si>
    <t xml:space="preserve"> Financiamento CP</t>
  </si>
  <si>
    <t xml:space="preserve"> Financ moeda nacion CP</t>
  </si>
  <si>
    <t xml:space="preserve"> Financ moeda estrg CP</t>
  </si>
  <si>
    <t xml:space="preserve"> Debentures CP</t>
  </si>
  <si>
    <t xml:space="preserve"> Financ por arrend financ</t>
  </si>
  <si>
    <t xml:space="preserve"> Outras obrigacoes CP</t>
  </si>
  <si>
    <t xml:space="preserve"> Passivos com partes relacionadas CP</t>
  </si>
  <si>
    <t xml:space="preserve"> A pagar a coligadas CP</t>
  </si>
  <si>
    <t xml:space="preserve"> A pagar a controladas CP</t>
  </si>
  <si>
    <t xml:space="preserve"> A pag a controladores CP</t>
  </si>
  <si>
    <t xml:space="preserve"> A pag a out part rela CP</t>
  </si>
  <si>
    <t xml:space="preserve"> Outros CP</t>
  </si>
  <si>
    <t xml:space="preserve"> Dividendos a Pagar CP</t>
  </si>
  <si>
    <t xml:space="preserve"> Dividendo min obrig a pg</t>
  </si>
  <si>
    <t xml:space="preserve"> Obr p/pg bas em acoes CP</t>
  </si>
  <si>
    <t xml:space="preserve"> Provisoes CP</t>
  </si>
  <si>
    <t xml:space="preserve"> Prov fis,pre,trab&amp;civ CP</t>
  </si>
  <si>
    <t xml:space="preserve"> Provisoes Para Impostos</t>
  </si>
  <si>
    <t xml:space="preserve"> Prov previd e trabalh CP</t>
  </si>
  <si>
    <t xml:space="preserve"> Provisao por beneficios aos empregados CP</t>
  </si>
  <si>
    <t xml:space="preserve"> Provisoes civeis CP</t>
  </si>
  <si>
    <t xml:space="preserve"> Outras provisoes a curto prazo</t>
  </si>
  <si>
    <t xml:space="preserve"> Provisoes p/garantias CP</t>
  </si>
  <si>
    <t xml:space="preserve"> Prov para reestrutur CP</t>
  </si>
  <si>
    <t xml:space="preserve"> Prov pas ambi e desat CP</t>
  </si>
  <si>
    <t xml:space="preserve"> Pa s/at ncor a ve+des CP</t>
  </si>
  <si>
    <t xml:space="preserve"> Pas s/ ativ ncor a ve CP</t>
  </si>
  <si>
    <t xml:space="preserve"> Pas s/ativ oper desco CP</t>
  </si>
  <si>
    <t xml:space="preserve"> Passivo nao circulante</t>
  </si>
  <si>
    <t xml:space="preserve"> Total empres e financ LP</t>
  </si>
  <si>
    <t xml:space="preserve"> Financiamento LP</t>
  </si>
  <si>
    <t xml:space="preserve"> Financ moeda nacion LP</t>
  </si>
  <si>
    <t xml:space="preserve"> Financ moeda estrg LP</t>
  </si>
  <si>
    <t xml:space="preserve"> Debentures LP</t>
  </si>
  <si>
    <t xml:space="preserve"> Financ por arrend fin LP</t>
  </si>
  <si>
    <t xml:space="preserve"> Outras obrigacoes</t>
  </si>
  <si>
    <t xml:space="preserve"> Passivos com partes relacionadas LP</t>
  </si>
  <si>
    <t xml:space="preserve"> A pagar a coligadas LP</t>
  </si>
  <si>
    <t xml:space="preserve"> A pagar a controladas LP</t>
  </si>
  <si>
    <t xml:space="preserve"> A pag a controladores LP</t>
  </si>
  <si>
    <t xml:space="preserve"> A pag a out part rela LP</t>
  </si>
  <si>
    <t xml:space="preserve"> Outros LP</t>
  </si>
  <si>
    <t xml:space="preserve"> Obr p/pg bas em acoes LP</t>
  </si>
  <si>
    <t xml:space="preserve"> Adi p/fut aum d cap pass</t>
  </si>
  <si>
    <t xml:space="preserve"> Impostos Diferidos LP</t>
  </si>
  <si>
    <t xml:space="preserve"> IR e contri social difer</t>
  </si>
  <si>
    <t xml:space="preserve"> Provisoes LP</t>
  </si>
  <si>
    <t xml:space="preserve"> Prv fis,pre,trab&amp;civ LP</t>
  </si>
  <si>
    <t xml:space="preserve"> Provisoes fiscais LP</t>
  </si>
  <si>
    <t xml:space="preserve"> Prov previd e trabalh LP</t>
  </si>
  <si>
    <t xml:space="preserve"> Provisao por beneficio a empregados</t>
  </si>
  <si>
    <t xml:space="preserve"> Provisoes civeis LP</t>
  </si>
  <si>
    <t xml:space="preserve"> Outras provisoes a longo prazo</t>
  </si>
  <si>
    <t xml:space="preserve"> Provisoes p/garantias LP</t>
  </si>
  <si>
    <t xml:space="preserve"> Prov para reestrutur LP</t>
  </si>
  <si>
    <t xml:space="preserve"> Prov pas ambi e desat LP</t>
  </si>
  <si>
    <t xml:space="preserve"> Pa s/at ncor a ve+des LP</t>
  </si>
  <si>
    <t xml:space="preserve"> Pas s/ ativ ncor a ve LP</t>
  </si>
  <si>
    <t xml:space="preserve"> Pas s/ativ oper desco LP</t>
  </si>
  <si>
    <t xml:space="preserve"> Lucros e receit a apropr</t>
  </si>
  <si>
    <t xml:space="preserve"> Lucros a apropriar</t>
  </si>
  <si>
    <t xml:space="preserve"> Receitas a apropriar</t>
  </si>
  <si>
    <t xml:space="preserve"> Subvenc de invest a apro</t>
  </si>
  <si>
    <t xml:space="preserve"> Patrim liq consolidado</t>
  </si>
  <si>
    <t xml:space="preserve"> Part acionistas minorit</t>
  </si>
  <si>
    <t xml:space="preserve"> Patrimonio liquido</t>
  </si>
  <si>
    <t xml:space="preserve"> Capital social</t>
  </si>
  <si>
    <t xml:space="preserve"> Reservas de Capital</t>
  </si>
  <si>
    <t xml:space="preserve"> Agio na emissao de acoes</t>
  </si>
  <si>
    <t xml:space="preserve"> Res esp de agio na incor</t>
  </si>
  <si>
    <t xml:space="preserve"> Alien de bonus de subscr</t>
  </si>
  <si>
    <t xml:space="preserve"> Opcoes outorgadas</t>
  </si>
  <si>
    <t xml:space="preserve"> Acoes em tesour (re cap)</t>
  </si>
  <si>
    <t xml:space="preserve"> Adiant p fut aum de cap</t>
  </si>
  <si>
    <t xml:space="preserve"> Reservas de Reavaliacao</t>
  </si>
  <si>
    <t xml:space="preserve"> Reserva de Lucros</t>
  </si>
  <si>
    <t xml:space="preserve"> Reserva Legal</t>
  </si>
  <si>
    <t xml:space="preserve"> Reserva Estatutaria</t>
  </si>
  <si>
    <t xml:space="preserve"> Reserva p/ Contingencias</t>
  </si>
  <si>
    <t xml:space="preserve"> Reservas de Luc a Realz</t>
  </si>
  <si>
    <t xml:space="preserve"> Resv de Retencao de Luc</t>
  </si>
  <si>
    <t xml:space="preserve"> Resv Esp p/ Div nao Dist</t>
  </si>
  <si>
    <t xml:space="preserve"> Reserva de incen fiscais</t>
  </si>
  <si>
    <t xml:space="preserve"> Dividendo adicional prop</t>
  </si>
  <si>
    <t xml:space="preserve"> Acoes em tesour (re luc)</t>
  </si>
  <si>
    <t xml:space="preserve"> Lucros acumulados</t>
  </si>
  <si>
    <t xml:space="preserve"> Ajustes de aval patrimon</t>
  </si>
  <si>
    <t xml:space="preserve"> Ajustes acumul de conver</t>
  </si>
  <si>
    <t xml:space="preserve"> Outr result abrangentes</t>
  </si>
  <si>
    <t>DEM RESULT</t>
  </si>
  <si>
    <t xml:space="preserve"> Meses</t>
  </si>
  <si>
    <t>+Receita liquida operac</t>
  </si>
  <si>
    <t>-Custo Produtos Vendidos</t>
  </si>
  <si>
    <t>=Lucro Bruto</t>
  </si>
  <si>
    <t>-Desp (receit) operac</t>
  </si>
  <si>
    <t>+Despesas com Vendas</t>
  </si>
  <si>
    <t>+Despesas administrativ</t>
  </si>
  <si>
    <t>+Per p/ nao recuper de at</t>
  </si>
  <si>
    <t>-Outras rec operacionais</t>
  </si>
  <si>
    <t>+Outras Despesas Operac</t>
  </si>
  <si>
    <t>-Equivalenc patrimonial</t>
  </si>
  <si>
    <t>=Lucro antes jur&amp;imp EBIT</t>
  </si>
  <si>
    <t>+Resultado financeiro</t>
  </si>
  <si>
    <t>+Receitas Financeiras</t>
  </si>
  <si>
    <t>-Despesas Financeiras</t>
  </si>
  <si>
    <t>=LAIR</t>
  </si>
  <si>
    <t>-Imp renda e contrib soc</t>
  </si>
  <si>
    <t xml:space="preserve"> Provisao impost de rend</t>
  </si>
  <si>
    <t xml:space="preserve"> IR Diferido</t>
  </si>
  <si>
    <t>=Lucro oper continuadas</t>
  </si>
  <si>
    <t>+Operac descontinuadas</t>
  </si>
  <si>
    <t xml:space="preserve"> Lu ou prej liq oper desc</t>
  </si>
  <si>
    <t xml:space="preserve"> Ga ou pe liq s/atv op de</t>
  </si>
  <si>
    <t>=Lucro Consolidado</t>
  </si>
  <si>
    <t>-Partic acion minoritar</t>
  </si>
  <si>
    <t>=Lucro liquido</t>
  </si>
  <si>
    <t>FLX CAIXA</t>
  </si>
  <si>
    <t>+Caixa gerado por operac</t>
  </si>
  <si>
    <t xml:space="preserve"> Caixa gerado nas operac</t>
  </si>
  <si>
    <t xml:space="preserve"> Lucro liquido</t>
  </si>
  <si>
    <t xml:space="preserve"> Deprec, amortiz e exaust</t>
  </si>
  <si>
    <t xml:space="preserve"> Perd(gan) var monet&amp;camb</t>
  </si>
  <si>
    <t xml:space="preserve"> Perd(gan) venda atv perm</t>
  </si>
  <si>
    <t xml:space="preserve"> Valor contab bem vendido</t>
  </si>
  <si>
    <t xml:space="preserve"> Perd(gan) na equival pat</t>
  </si>
  <si>
    <t xml:space="preserve"> Impostos diferidos</t>
  </si>
  <si>
    <t xml:space="preserve"> Gan(perd) dos minorit</t>
  </si>
  <si>
    <t xml:space="preserve"> Out perd(gan) nao caixa</t>
  </si>
  <si>
    <t xml:space="preserve"> Redu(aum) em ativ e pass</t>
  </si>
  <si>
    <t xml:space="preserve"> Redu(aum) dupl a receber</t>
  </si>
  <si>
    <t xml:space="preserve"> Redu(aum) estoques</t>
  </si>
  <si>
    <t xml:space="preserve"> Redu(aum) outros ativos</t>
  </si>
  <si>
    <t xml:space="preserve"> Aum(redu) fornecedores</t>
  </si>
  <si>
    <t xml:space="preserve"> Aum(redu) imp e obr trab</t>
  </si>
  <si>
    <t xml:space="preserve"> Aum(redu) outr passivos</t>
  </si>
  <si>
    <t xml:space="preserve"> Out Itens do Flx Cx Oper</t>
  </si>
  <si>
    <t>+Caixa gerado por invest</t>
  </si>
  <si>
    <t xml:space="preserve"> Compra liq de ativo perm</t>
  </si>
  <si>
    <t xml:space="preserve"> Compra de invest perman</t>
  </si>
  <si>
    <t xml:space="preserve"> Compra ativos fix e dif</t>
  </si>
  <si>
    <t xml:space="preserve"> Venda de ativo permanent</t>
  </si>
  <si>
    <t xml:space="preserve"> Dividendos recebidos</t>
  </si>
  <si>
    <t xml:space="preserve"> Resg (aplic) financ liq</t>
  </si>
  <si>
    <t xml:space="preserve"> Cx gerado(aplic) out inv</t>
  </si>
  <si>
    <t>+Caixa gerado por financ</t>
  </si>
  <si>
    <t xml:space="preserve"> Financiament obtidos liq</t>
  </si>
  <si>
    <t xml:space="preserve"> Financiamentos obtidos</t>
  </si>
  <si>
    <t xml:space="preserve"> Financiamentos pagos</t>
  </si>
  <si>
    <t xml:space="preserve"> Aumento liq de capital</t>
  </si>
  <si>
    <t xml:space="preserve"> Aumento de capital</t>
  </si>
  <si>
    <t xml:space="preserve"> Reducao de capital</t>
  </si>
  <si>
    <t xml:space="preserve"> Dividendos pagos</t>
  </si>
  <si>
    <t xml:space="preserve"> Cx gerado(aplic) out fin</t>
  </si>
  <si>
    <t>+Efeito Cambial</t>
  </si>
  <si>
    <t>+Outras variacoes</t>
  </si>
  <si>
    <t>=Variac liquida de caixa</t>
  </si>
  <si>
    <t xml:space="preserve"> Disponivel e Inv CP</t>
  </si>
  <si>
    <t xml:space="preserve"> Creditos Comerciais CP</t>
  </si>
  <si>
    <t xml:space="preserve"> Creditos diversos</t>
  </si>
  <si>
    <t xml:space="preserve"> Aplicacoes Financ CP</t>
  </si>
  <si>
    <t xml:space="preserve"> Outros Creditos CP</t>
  </si>
  <si>
    <t xml:space="preserve"> Outros Ativos CP</t>
  </si>
  <si>
    <t xml:space="preserve"> Creditos Comerciais LP</t>
  </si>
  <si>
    <t xml:space="preserve"> A Receber de Control LP</t>
  </si>
  <si>
    <t xml:space="preserve"> de Outras Pessoas Ligads</t>
  </si>
  <si>
    <t xml:space="preserve"> Outros Ativos LP</t>
  </si>
  <si>
    <t xml:space="preserve"> Permanente</t>
  </si>
  <si>
    <t xml:space="preserve"> Inv em coligadas</t>
  </si>
  <si>
    <t xml:space="preserve"> Inv em coligadas - agio</t>
  </si>
  <si>
    <t xml:space="preserve"> Invest em Subsidiarias</t>
  </si>
  <si>
    <t xml:space="preserve"> Inv em subsid - agio</t>
  </si>
  <si>
    <t xml:space="preserve"> Outros Investimentos</t>
  </si>
  <si>
    <t xml:space="preserve"> Intangiveis e agio</t>
  </si>
  <si>
    <t xml:space="preserve"> Diferido</t>
  </si>
  <si>
    <t xml:space="preserve"> Impostos a Pagar CP</t>
  </si>
  <si>
    <t xml:space="preserve"> A Pagar a Controlad CP</t>
  </si>
  <si>
    <t xml:space="preserve"> Outros Passivos CP</t>
  </si>
  <si>
    <t xml:space="preserve"> Exigivel LP</t>
  </si>
  <si>
    <t xml:space="preserve"> A Pagar a Controlad LP</t>
  </si>
  <si>
    <t xml:space="preserve"> Outros Passivos LP</t>
  </si>
  <si>
    <t xml:space="preserve"> Resultados de Exer Futur</t>
  </si>
  <si>
    <t xml:space="preserve"> Ativos Proprios</t>
  </si>
  <si>
    <t xml:space="preserve"> Ativos de Contr/Colig</t>
  </si>
  <si>
    <t xml:space="preserve"> Outras reservas</t>
  </si>
  <si>
    <t xml:space="preserve"> Ajuste titulos val mobil</t>
  </si>
  <si>
    <t xml:space="preserve"> Ajustes de comb de negoc</t>
  </si>
  <si>
    <t xml:space="preserve"> Divida Fin Moeda Estrang</t>
  </si>
  <si>
    <t>+Receita Bruta</t>
  </si>
  <si>
    <t>-Impostos sobre Vendas</t>
  </si>
  <si>
    <t>=Receita liquida operac</t>
  </si>
  <si>
    <t>-Despesas operac proprias</t>
  </si>
  <si>
    <t xml:space="preserve"> Despesas com Vendas</t>
  </si>
  <si>
    <t xml:space="preserve"> Despesas administrativ</t>
  </si>
  <si>
    <t>+Outras rec(desp)operac</t>
  </si>
  <si>
    <t>+Outras receitas operac</t>
  </si>
  <si>
    <t>-Outras despesas operac</t>
  </si>
  <si>
    <t>=Lucro operac (antigo)</t>
  </si>
  <si>
    <t>+Result Financ (antigo)</t>
  </si>
  <si>
    <t>-Desp Fin e Juros s/ Patr</t>
  </si>
  <si>
    <t xml:space="preserve"> Despesas Financeiras</t>
  </si>
  <si>
    <t xml:space="preserve"> Juros s/Patrim Liquido</t>
  </si>
  <si>
    <t>+Equivalenc patrimonial</t>
  </si>
  <si>
    <t>=Lucro Operacional</t>
  </si>
  <si>
    <t>+Resultado nao Operac</t>
  </si>
  <si>
    <t>+Receitas Nao Operac</t>
  </si>
  <si>
    <t>-Despesas Nao Operac</t>
  </si>
  <si>
    <t>-Provisao impost de rend</t>
  </si>
  <si>
    <t>-IR Diferido</t>
  </si>
  <si>
    <t>-Partic/Contrib Estatut</t>
  </si>
  <si>
    <t xml:space="preserve"> Participacoes Estatut</t>
  </si>
  <si>
    <t xml:space="preserve"> Contribuicoes Estatut</t>
  </si>
  <si>
    <t>+Rever Juros s/Patr Liqui</t>
  </si>
  <si>
    <t>DOAR</t>
  </si>
  <si>
    <t>+Tot de Recursos Obtidos</t>
  </si>
  <si>
    <t xml:space="preserve"> Das Operacoes</t>
  </si>
  <si>
    <t xml:space="preserve"> Lucro Liquido</t>
  </si>
  <si>
    <t xml:space="preserve"> Itens q nao Afet CapCir</t>
  </si>
  <si>
    <t xml:space="preserve"> Deprec, amort e exaust</t>
  </si>
  <si>
    <t xml:space="preserve"> Variacoes Monetar LP</t>
  </si>
  <si>
    <t xml:space="preserve"> Provis Itens nao Circ</t>
  </si>
  <si>
    <t xml:space="preserve"> Venda de ativos fixos</t>
  </si>
  <si>
    <t xml:space="preserve"> Ganhos part societ diver</t>
  </si>
  <si>
    <t xml:space="preserve"> Equivalencia Patrimon</t>
  </si>
  <si>
    <t xml:space="preserve"> Ajustes de exerc anter</t>
  </si>
  <si>
    <t xml:space="preserve"> Credito Tribut a Recup</t>
  </si>
  <si>
    <t xml:space="preserve"> Imposto Renda Diferido</t>
  </si>
  <si>
    <t xml:space="preserve"> Mutuo c/Control/Coligada</t>
  </si>
  <si>
    <t xml:space="preserve"> Provis Perdas em Invest</t>
  </si>
  <si>
    <t xml:space="preserve"> Gan(perd) dos minoritar</t>
  </si>
  <si>
    <t xml:space="preserve"> Provisoes diversas</t>
  </si>
  <si>
    <t xml:space="preserve"> Outros fluxos operacion</t>
  </si>
  <si>
    <t xml:space="preserve"> Integralizacao de capit</t>
  </si>
  <si>
    <t xml:space="preserve"> De Terceiros</t>
  </si>
  <si>
    <t xml:space="preserve"> Venda/Baixa Bens Permane</t>
  </si>
  <si>
    <t xml:space="preserve"> Incentivos Fiscais</t>
  </si>
  <si>
    <t xml:space="preserve"> Aumento do Passivo LP</t>
  </si>
  <si>
    <t xml:space="preserve"> Reducao do Realiz LP</t>
  </si>
  <si>
    <t xml:space="preserve"> Cap Circ Incor Cont/Coli</t>
  </si>
  <si>
    <t xml:space="preserve"> Transf Perm para Circ</t>
  </si>
  <si>
    <t xml:space="preserve"> Aumto de Acoes Tesour</t>
  </si>
  <si>
    <t xml:space="preserve"> Financmtos e Debent</t>
  </si>
  <si>
    <t xml:space="preserve"> Outras Origens</t>
  </si>
  <si>
    <t>-Tot Recurs Aplicados</t>
  </si>
  <si>
    <t xml:space="preserve"> Aplic no Ativo Permanent</t>
  </si>
  <si>
    <t xml:space="preserve"> Aumento invest permanen</t>
  </si>
  <si>
    <t xml:space="preserve"> Compra de ativos fixos</t>
  </si>
  <si>
    <t xml:space="preserve"> Aumento do Diferido</t>
  </si>
  <si>
    <t xml:space="preserve"> Aumento do Realiz LP</t>
  </si>
  <si>
    <t xml:space="preserve"> Diminuicao de Pasv LP</t>
  </si>
  <si>
    <t xml:space="preserve"> Dividendos</t>
  </si>
  <si>
    <t xml:space="preserve"> Transf do Circ p/ Perm</t>
  </si>
  <si>
    <t xml:space="preserve"> Adiant p Comp de Acoes</t>
  </si>
  <si>
    <t xml:space="preserve"> Aquis acoes proprias</t>
  </si>
  <si>
    <t xml:space="preserve"> Controladas/Incorporadas</t>
  </si>
  <si>
    <t xml:space="preserve"> Incorporacoes</t>
  </si>
  <si>
    <t xml:space="preserve"> Particip Minoritarias</t>
  </si>
  <si>
    <t xml:space="preserve"> Outros Recursos Aplic</t>
  </si>
  <si>
    <t>=Aumento Cap de Giro</t>
  </si>
  <si>
    <t>QTD ACOES</t>
  </si>
  <si>
    <t xml:space="preserve"> Total de acoes outstand</t>
  </si>
  <si>
    <t xml:space="preserve"> Data do Balanco</t>
  </si>
  <si>
    <t xml:space="preserve"> Data da Moeda</t>
  </si>
  <si>
    <t xml:space="preserve"> Data de divulgacao (desta apresentacao)</t>
  </si>
  <si>
    <t xml:space="preserve"> Ultimo processamento feito pela Economatica</t>
  </si>
  <si>
    <t xml:space="preserve"> Indice usado para gerar valores de 3 e 12 meses</t>
  </si>
  <si>
    <t>ICBB&lt;BraNa&gt;</t>
  </si>
  <si>
    <t xml:space="preserve"> Formato do balanco</t>
  </si>
  <si>
    <t>Ind&amp;ComBr</t>
  </si>
  <si>
    <t xml:space="preserve"> Consolidado</t>
  </si>
  <si>
    <t>Sim</t>
  </si>
  <si>
    <t xml:space="preserve"> Reclassif (inibe subtrac</t>
  </si>
  <si>
    <t>Não</t>
  </si>
  <si>
    <t>Plataforma e Sonda - Polvo A</t>
  </si>
  <si>
    <t>FPSO Valente - Frade</t>
  </si>
  <si>
    <t>FPSO Bravo - Tubarão Martelo</t>
  </si>
  <si>
    <t>FPSO Forte – Albacora Leste ******</t>
  </si>
  <si>
    <t>Ativos de Óleo e Gás - Frade</t>
  </si>
  <si>
    <t>Ativos de Óleo e Gás - Polvo &amp; TBMT</t>
  </si>
  <si>
    <t>Revitalização de Poços (workover)</t>
  </si>
  <si>
    <t>Máquinas e equipamentos</t>
  </si>
  <si>
    <t>Móveis e utensílios</t>
  </si>
  <si>
    <t>Equipamentos de comunicação</t>
  </si>
  <si>
    <t>Equipamentos de informática</t>
  </si>
  <si>
    <t>Benfeitorias em imóveis de terceiros</t>
  </si>
  <si>
    <t>Em andamento</t>
  </si>
  <si>
    <t>Imobilizado em andamento ***</t>
  </si>
  <si>
    <t>Revitalização de Poços (workover) ****</t>
  </si>
  <si>
    <t>Gastos com Desenvolvimento *******</t>
  </si>
  <si>
    <t>Material para revitalização/reentradas poços – Frade *****</t>
  </si>
  <si>
    <t>Imobilizado líquido</t>
  </si>
  <si>
    <t>Taxa de Depreciação</t>
  </si>
  <si>
    <t>UOP**</t>
  </si>
  <si>
    <t>Produção Total em barril de óleo equivalente</t>
  </si>
  <si>
    <t>Reserva total estimada - implícito na premissa</t>
  </si>
  <si>
    <t>Depreciação estimada - UOP</t>
  </si>
  <si>
    <t>Em operação</t>
  </si>
  <si>
    <t>Linear</t>
  </si>
  <si>
    <t>Depreciação do Período</t>
  </si>
  <si>
    <t>Depreciação linear - premissa</t>
  </si>
  <si>
    <t>CAPEX de produção - relatório de reservas</t>
  </si>
  <si>
    <t>CAPEX de manutenção - 100% da depreciação linear</t>
  </si>
  <si>
    <t>Imobilizado oriundos de explorações e desenvolvimento de produção</t>
  </si>
  <si>
    <t>Outros ativos imobilizados</t>
  </si>
  <si>
    <t>Adições do Período - CAPEX</t>
  </si>
  <si>
    <t>Intangível líquido</t>
  </si>
  <si>
    <t>Ativos de Óleo e Gás - Albacora Leste</t>
  </si>
  <si>
    <t>Ativos de Óleo e Gás - Wahoo</t>
  </si>
  <si>
    <t>Ativos de Óleo e Gás - Itaipu</t>
  </si>
  <si>
    <t>Bônus de assinatura - FZA-M-254</t>
  </si>
  <si>
    <t>Bônus de assinatura - FZA-Z-539</t>
  </si>
  <si>
    <t>Softwares e outros</t>
  </si>
  <si>
    <t>Ágio na aquisição do controle da Forte (anteriormente Dommo Energia S.A.)</t>
  </si>
  <si>
    <t>Vendas Total - BOE</t>
  </si>
  <si>
    <t>Pagamentos de Passivos de Arrendamento - Ajuste pós 2023</t>
  </si>
  <si>
    <t>Passivo Total + Patrimônio Líquido</t>
  </si>
  <si>
    <t>Cronograma de amortizações da dívida atual em dólar</t>
  </si>
  <si>
    <t>Cronograma de amortizações da dívida atual em real</t>
  </si>
  <si>
    <t>Ajuste de conversão</t>
  </si>
  <si>
    <t>Margem EBITDA</t>
  </si>
  <si>
    <t>Em número índice</t>
  </si>
  <si>
    <t>Treasury Constant Maturity (Nominal) - 14/03/2024</t>
  </si>
  <si>
    <t>Cronograma de Amortização de Dívidas da Empresa</t>
  </si>
  <si>
    <t>2028+</t>
  </si>
  <si>
    <t>7,6 (valor real)</t>
  </si>
  <si>
    <t>Percentual da receita</t>
  </si>
  <si>
    <t>Preço atual: 15/03/2023</t>
  </si>
  <si>
    <t>Receita Líquida Petróleo</t>
  </si>
  <si>
    <t>Receita Líquida Gás Natural</t>
  </si>
  <si>
    <t>Drivers de Outras Abas</t>
  </si>
  <si>
    <t>Drivers de outras abas</t>
  </si>
  <si>
    <t>Variação no Patrimônio Líquido</t>
  </si>
  <si>
    <t>check</t>
  </si>
  <si>
    <t>Impostos Sobre Receita</t>
  </si>
  <si>
    <t>Amortização estimada - UOP</t>
  </si>
  <si>
    <t>Amortização linear - premissa</t>
  </si>
  <si>
    <t>Amortização do Período</t>
  </si>
  <si>
    <t>Fluxo de Caixa para os Acionistas</t>
  </si>
  <si>
    <t>0,00%</t>
  </si>
  <si>
    <t>-0,74%</t>
  </si>
  <si>
    <t>0,53%</t>
  </si>
  <si>
    <t>0,57%</t>
  </si>
  <si>
    <t>1,28%</t>
  </si>
  <si>
    <t>0,70%</t>
  </si>
  <si>
    <t>-0,84%</t>
  </si>
  <si>
    <t>0,16%</t>
  </si>
  <si>
    <t>0,20%</t>
  </si>
  <si>
    <t>-0,06%</t>
  </si>
  <si>
    <t>-0,85%</t>
  </si>
  <si>
    <t>-0,05%</t>
  </si>
  <si>
    <t>1,06%</t>
  </si>
  <si>
    <t>0,15%</t>
  </si>
  <si>
    <t>-0,36%</t>
  </si>
  <si>
    <t>0,04%</t>
  </si>
  <si>
    <t>-0,10%</t>
  </si>
  <si>
    <t>-2,17%</t>
  </si>
  <si>
    <t>0,60%</t>
  </si>
  <si>
    <t>-1,80%</t>
  </si>
  <si>
    <t>1,36%</t>
  </si>
  <si>
    <t>1,26%</t>
  </si>
  <si>
    <t>0,22%</t>
  </si>
  <si>
    <t>0,72%</t>
  </si>
  <si>
    <t>0,81%</t>
  </si>
  <si>
    <t>0,10%</t>
  </si>
  <si>
    <t>0,08%</t>
  </si>
  <si>
    <t>0,23%</t>
  </si>
  <si>
    <t>0,42%</t>
  </si>
  <si>
    <t>0,38%</t>
  </si>
  <si>
    <t>-0,43%</t>
  </si>
  <si>
    <t>-0,46%</t>
  </si>
  <si>
    <t>0,13%</t>
  </si>
  <si>
    <t>-0,65%</t>
  </si>
  <si>
    <t>0,47%</t>
  </si>
  <si>
    <t>30,37M</t>
  </si>
  <si>
    <t>-1,50%</t>
  </si>
  <si>
    <t>47,45M</t>
  </si>
  <si>
    <t>-1,21%</t>
  </si>
  <si>
    <t>23,83M</t>
  </si>
  <si>
    <t>2,08%</t>
  </si>
  <si>
    <t>22,21M</t>
  </si>
  <si>
    <t>8,74M</t>
  </si>
  <si>
    <t>-0,56%</t>
  </si>
  <si>
    <t>20,30M</t>
  </si>
  <si>
    <t>9,26M</t>
  </si>
  <si>
    <t>-0,96%</t>
  </si>
  <si>
    <t>59,80M</t>
  </si>
  <si>
    <t>11,64M</t>
  </si>
  <si>
    <t>-1,28%</t>
  </si>
  <si>
    <t>38,19M</t>
  </si>
  <si>
    <t>11,77M</t>
  </si>
  <si>
    <t>0,82%</t>
  </si>
  <si>
    <t>42,46M</t>
  </si>
  <si>
    <t>11,09M</t>
  </si>
  <si>
    <t>-0,22%</t>
  </si>
  <si>
    <t>24,65M</t>
  </si>
  <si>
    <t>9,54M</t>
  </si>
  <si>
    <t>1,44%</t>
  </si>
  <si>
    <t>19,42M</t>
  </si>
  <si>
    <t>8,95M</t>
  </si>
  <si>
    <t>0,49%</t>
  </si>
  <si>
    <t>19,36M</t>
  </si>
  <si>
    <t>10,29M</t>
  </si>
  <si>
    <t>1,11%</t>
  </si>
  <si>
    <t>30,20M</t>
  </si>
  <si>
    <t>8,97M</t>
  </si>
  <si>
    <t>17,98M</t>
  </si>
  <si>
    <t>9,39M</t>
  </si>
  <si>
    <t>0,52%</t>
  </si>
  <si>
    <t>33,96M</t>
  </si>
  <si>
    <t>7,22M</t>
  </si>
  <si>
    <t>0,07%</t>
  </si>
  <si>
    <t>18,11M</t>
  </si>
  <si>
    <t>7,89M</t>
  </si>
  <si>
    <t>0,11%</t>
  </si>
  <si>
    <t>19,19M</t>
  </si>
  <si>
    <t>7,95M</t>
  </si>
  <si>
    <t>-0,87%</t>
  </si>
  <si>
    <t>23,48M</t>
  </si>
  <si>
    <t>8,57M</t>
  </si>
  <si>
    <t>17,37M</t>
  </si>
  <si>
    <t>9,37M</t>
  </si>
  <si>
    <t>0,48%</t>
  </si>
  <si>
    <t>47,64M</t>
  </si>
  <si>
    <t>10,68M</t>
  </si>
  <si>
    <t>-0,77%</t>
  </si>
  <si>
    <t>37,86M</t>
  </si>
  <si>
    <t>12,38M</t>
  </si>
  <si>
    <t>42,68M</t>
  </si>
  <si>
    <t>12,07M</t>
  </si>
  <si>
    <t>0,28%</t>
  </si>
  <si>
    <t>26,29M</t>
  </si>
  <si>
    <t>10,97M</t>
  </si>
  <si>
    <t>1,43%</t>
  </si>
  <si>
    <t>21,44M</t>
  </si>
  <si>
    <t>8,72M</t>
  </si>
  <si>
    <t>-0,12%</t>
  </si>
  <si>
    <t>44,44M</t>
  </si>
  <si>
    <t>11,63M</t>
  </si>
  <si>
    <t>-0,23%</t>
  </si>
  <si>
    <t>33,79M</t>
  </si>
  <si>
    <t>8,70M</t>
  </si>
  <si>
    <t>0,24%</t>
  </si>
  <si>
    <t>37,64M</t>
  </si>
  <si>
    <t>8,10M</t>
  </si>
  <si>
    <t>1,01%</t>
  </si>
  <si>
    <t>25,92M</t>
  </si>
  <si>
    <t>8,21M</t>
  </si>
  <si>
    <t>0,06%</t>
  </si>
  <si>
    <t>22,27M</t>
  </si>
  <si>
    <t>8,62M</t>
  </si>
  <si>
    <t>1,09%</t>
  </si>
  <si>
    <t>24,22M</t>
  </si>
  <si>
    <t>7,91M</t>
  </si>
  <si>
    <t>42,03M</t>
  </si>
  <si>
    <t>8,64M</t>
  </si>
  <si>
    <t>0,17%</t>
  </si>
  <si>
    <t>38,81M</t>
  </si>
  <si>
    <t>7,57M</t>
  </si>
  <si>
    <t>0,50%</t>
  </si>
  <si>
    <t>16,89M</t>
  </si>
  <si>
    <t>7,66M</t>
  </si>
  <si>
    <t>40,23M</t>
  </si>
  <si>
    <t>8,33M</t>
  </si>
  <si>
    <t>50,11M</t>
  </si>
  <si>
    <t>10,72M</t>
  </si>
  <si>
    <t>33,69M</t>
  </si>
  <si>
    <t>10,40M</t>
  </si>
  <si>
    <t>-0,16%</t>
  </si>
  <si>
    <t>37,03M</t>
  </si>
  <si>
    <t>21,77M</t>
  </si>
  <si>
    <t>0,97%</t>
  </si>
  <si>
    <t>28,05M</t>
  </si>
  <si>
    <t>15,17M</t>
  </si>
  <si>
    <t>0,39%</t>
  </si>
  <si>
    <t>38,75M</t>
  </si>
  <si>
    <t>11,40M</t>
  </si>
  <si>
    <t>-0,31%</t>
  </si>
  <si>
    <t>38,14M</t>
  </si>
  <si>
    <t>12,47M</t>
  </si>
  <si>
    <t>47,69M</t>
  </si>
  <si>
    <t>14,62M</t>
  </si>
  <si>
    <t>0,59%</t>
  </si>
  <si>
    <t>51,01M</t>
  </si>
  <si>
    <t>11,24M</t>
  </si>
  <si>
    <t>52,43M</t>
  </si>
  <si>
    <t>14,82M</t>
  </si>
  <si>
    <t>0,76%</t>
  </si>
  <si>
    <t>43,11M</t>
  </si>
  <si>
    <t>15,14M</t>
  </si>
  <si>
    <t>0,34%</t>
  </si>
  <si>
    <t>40,08M</t>
  </si>
  <si>
    <t>14,22M</t>
  </si>
  <si>
    <t>-0,14%</t>
  </si>
  <si>
    <t>42,50M</t>
  </si>
  <si>
    <t>13,25M</t>
  </si>
  <si>
    <t>39,44M</t>
  </si>
  <si>
    <t>13,70M</t>
  </si>
  <si>
    <t>27,98M</t>
  </si>
  <si>
    <t>12,14M</t>
  </si>
  <si>
    <t>-0,83%</t>
  </si>
  <si>
    <t>22,09M</t>
  </si>
  <si>
    <t>12,51M</t>
  </si>
  <si>
    <t>25,66M</t>
  </si>
  <si>
    <t>12,09M</t>
  </si>
  <si>
    <t>-0,89%</t>
  </si>
  <si>
    <t>37,38M</t>
  </si>
  <si>
    <t>8,11M</t>
  </si>
  <si>
    <t>0,35%</t>
  </si>
  <si>
    <t>46,97M</t>
  </si>
  <si>
    <t>8,22M</t>
  </si>
  <si>
    <t>0,65%</t>
  </si>
  <si>
    <t>56,97M</t>
  </si>
  <si>
    <t>7,80M</t>
  </si>
  <si>
    <t>0,93%</t>
  </si>
  <si>
    <t>27,39M</t>
  </si>
  <si>
    <t>9,43M</t>
  </si>
  <si>
    <t>-0,60%</t>
  </si>
  <si>
    <t>33,85M</t>
  </si>
  <si>
    <t>9,92M</t>
  </si>
  <si>
    <t>-1,12%</t>
  </si>
  <si>
    <t>12,34M</t>
  </si>
  <si>
    <t>-1,76%</t>
  </si>
  <si>
    <t>37,49M</t>
  </si>
  <si>
    <t>8,16M</t>
  </si>
  <si>
    <t>0,55%</t>
  </si>
  <si>
    <t>47,19M</t>
  </si>
  <si>
    <t>8,30M</t>
  </si>
  <si>
    <t>1,60%</t>
  </si>
  <si>
    <t>27,80M</t>
  </si>
  <si>
    <t>9,83M</t>
  </si>
  <si>
    <t>-0,15%</t>
  </si>
  <si>
    <t>29,21M</t>
  </si>
  <si>
    <t>10,31M</t>
  </si>
  <si>
    <t>-0,19%</t>
  </si>
  <si>
    <t>35,71M</t>
  </si>
  <si>
    <t>8,66M</t>
  </si>
  <si>
    <t>-0,61%</t>
  </si>
  <si>
    <t>23,49M</t>
  </si>
  <si>
    <t>7,46M</t>
  </si>
  <si>
    <t>1,07%</t>
  </si>
  <si>
    <t>20,60M</t>
  </si>
  <si>
    <t>8,14M</t>
  </si>
  <si>
    <t>0,03%</t>
  </si>
  <si>
    <t>30,59M</t>
  </si>
  <si>
    <t>10,66M</t>
  </si>
  <si>
    <t>0,79%</t>
  </si>
  <si>
    <t>25,70M</t>
  </si>
  <si>
    <t>8,02M</t>
  </si>
  <si>
    <t>-0,03%</t>
  </si>
  <si>
    <t>26,82M</t>
  </si>
  <si>
    <t>7,25M</t>
  </si>
  <si>
    <t>24,34M</t>
  </si>
  <si>
    <t>6,80M</t>
  </si>
  <si>
    <t>33,95M</t>
  </si>
  <si>
    <t>8,54M</t>
  </si>
  <si>
    <t>0,29%</t>
  </si>
  <si>
    <t>38,86M</t>
  </si>
  <si>
    <t>8,78M</t>
  </si>
  <si>
    <t>26,44M</t>
  </si>
  <si>
    <t>7,74M</t>
  </si>
  <si>
    <t>0,21%</t>
  </si>
  <si>
    <t>29,28M</t>
  </si>
  <si>
    <t>7,00M</t>
  </si>
  <si>
    <t>24,30M</t>
  </si>
  <si>
    <t>8,98M</t>
  </si>
  <si>
    <t>-0,44%</t>
  </si>
  <si>
    <t>27,47M</t>
  </si>
  <si>
    <t>10,08M</t>
  </si>
  <si>
    <t>28,91M</t>
  </si>
  <si>
    <t>0,12%</t>
  </si>
  <si>
    <t>21,94M</t>
  </si>
  <si>
    <t>21,24M</t>
  </si>
  <si>
    <t>10,03M</t>
  </si>
  <si>
    <t>-0,17%</t>
  </si>
  <si>
    <t>16,70M</t>
  </si>
  <si>
    <t>7,81M</t>
  </si>
  <si>
    <t>0,36%</t>
  </si>
  <si>
    <t>18,24M</t>
  </si>
  <si>
    <t>8,60M</t>
  </si>
  <si>
    <t>21,54M</t>
  </si>
  <si>
    <t>7,62M</t>
  </si>
  <si>
    <t>19,52M</t>
  </si>
  <si>
    <t>7,10M</t>
  </si>
  <si>
    <t>-0,09%</t>
  </si>
  <si>
    <t>19,81M</t>
  </si>
  <si>
    <t>8,36M</t>
  </si>
  <si>
    <t>-0,29%</t>
  </si>
  <si>
    <t>17,11M</t>
  </si>
  <si>
    <t>9,08M</t>
  </si>
  <si>
    <t>-0,40%</t>
  </si>
  <si>
    <t>34,59M</t>
  </si>
  <si>
    <t>8,50M</t>
  </si>
  <si>
    <t>-1,41%</t>
  </si>
  <si>
    <t>18,55M</t>
  </si>
  <si>
    <t>0,95%</t>
  </si>
  <si>
    <t>16,07M</t>
  </si>
  <si>
    <t>8,89M</t>
  </si>
  <si>
    <t>0,64%</t>
  </si>
  <si>
    <t>13,96M</t>
  </si>
  <si>
    <t>8,77M</t>
  </si>
  <si>
    <t>15,10M</t>
  </si>
  <si>
    <t>9,06M</t>
  </si>
  <si>
    <t>0,51%</t>
  </si>
  <si>
    <t>10,14M</t>
  </si>
  <si>
    <t>10,20M</t>
  </si>
  <si>
    <t>8,87M</t>
  </si>
  <si>
    <t>0,01%</t>
  </si>
  <si>
    <t>14,02M</t>
  </si>
  <si>
    <t>10,58M</t>
  </si>
  <si>
    <t>7,99M</t>
  </si>
  <si>
    <t>-0,24%</t>
  </si>
  <si>
    <t>9,98M</t>
  </si>
  <si>
    <t>9,41M</t>
  </si>
  <si>
    <t>6,03M</t>
  </si>
  <si>
    <t>9,36M</t>
  </si>
  <si>
    <t>7,56M</t>
  </si>
  <si>
    <t>7,41M</t>
  </si>
  <si>
    <t>8,17M</t>
  </si>
  <si>
    <t>7,84M</t>
  </si>
  <si>
    <t>16,81M</t>
  </si>
  <si>
    <t>8,83M</t>
  </si>
  <si>
    <t>-0,90%</t>
  </si>
  <si>
    <t>7,28M</t>
  </si>
  <si>
    <t>1,02%</t>
  </si>
  <si>
    <t>6,75M</t>
  </si>
  <si>
    <t>9,49M</t>
  </si>
  <si>
    <t>17,81M</t>
  </si>
  <si>
    <t>8,19M</t>
  </si>
  <si>
    <t>8,91M</t>
  </si>
  <si>
    <t>-0,02%</t>
  </si>
  <si>
    <t>8,26M</t>
  </si>
  <si>
    <t>-0,49%</t>
  </si>
  <si>
    <t>13,78M</t>
  </si>
  <si>
    <t>13,14M</t>
  </si>
  <si>
    <t>-0,62%</t>
  </si>
  <si>
    <t>15,01M</t>
  </si>
  <si>
    <t>8,85M</t>
  </si>
  <si>
    <t>-1,62%</t>
  </si>
  <si>
    <t>13,81M</t>
  </si>
  <si>
    <t>5,95M</t>
  </si>
  <si>
    <t>13,71M</t>
  </si>
  <si>
    <t>12,50M</t>
  </si>
  <si>
    <t>1,03%</t>
  </si>
  <si>
    <t>10,78M</t>
  </si>
  <si>
    <t>12,78M</t>
  </si>
  <si>
    <t>0,33%</t>
  </si>
  <si>
    <t>11,32M</t>
  </si>
  <si>
    <t>9,81M</t>
  </si>
  <si>
    <t>0,85%</t>
  </si>
  <si>
    <t>7,61M</t>
  </si>
  <si>
    <t>9,66M</t>
  </si>
  <si>
    <t>0,26%</t>
  </si>
  <si>
    <t>6,26M</t>
  </si>
  <si>
    <t>10,35M</t>
  </si>
  <si>
    <t>-0,37%</t>
  </si>
  <si>
    <t>11,50M</t>
  </si>
  <si>
    <t>9,84M</t>
  </si>
  <si>
    <t>0,02%</t>
  </si>
  <si>
    <t>16,56M</t>
  </si>
  <si>
    <t>8,53M</t>
  </si>
  <si>
    <t>0,66%</t>
  </si>
  <si>
    <t>10,41M</t>
  </si>
  <si>
    <t>7,75M</t>
  </si>
  <si>
    <t>-0,67%</t>
  </si>
  <si>
    <t>14,44M</t>
  </si>
  <si>
    <t>12,43M</t>
  </si>
  <si>
    <t>7,21M</t>
  </si>
  <si>
    <t>7,64M</t>
  </si>
  <si>
    <t>12,88M</t>
  </si>
  <si>
    <t>6,01M</t>
  </si>
  <si>
    <t>7,69M</t>
  </si>
  <si>
    <t>-0,13%</t>
  </si>
  <si>
    <t>6,07M</t>
  </si>
  <si>
    <t>7,33M</t>
  </si>
  <si>
    <t>13,61M</t>
  </si>
  <si>
    <t>9,33M</t>
  </si>
  <si>
    <t>9,16M</t>
  </si>
  <si>
    <t>10,51M</t>
  </si>
  <si>
    <t>7,24M</t>
  </si>
  <si>
    <t>0,19%</t>
  </si>
  <si>
    <t>0,30%</t>
  </si>
  <si>
    <t>27,44M</t>
  </si>
  <si>
    <t>20,72M</t>
  </si>
  <si>
    <t>7,78M</t>
  </si>
  <si>
    <t>-0,70%</t>
  </si>
  <si>
    <t>14,66M</t>
  </si>
  <si>
    <t>9,10M</t>
  </si>
  <si>
    <t>-0,71%</t>
  </si>
  <si>
    <t>17,89M</t>
  </si>
  <si>
    <t>9,29M</t>
  </si>
  <si>
    <t>-0,48%</t>
  </si>
  <si>
    <t>19,51M</t>
  </si>
  <si>
    <t>7,43M</t>
  </si>
  <si>
    <t>10,39M</t>
  </si>
  <si>
    <t>5,26M</t>
  </si>
  <si>
    <t>9,63M</t>
  </si>
  <si>
    <t>7,65M</t>
  </si>
  <si>
    <t>13,48M</t>
  </si>
  <si>
    <t>8,15M</t>
  </si>
  <si>
    <t>10,63M</t>
  </si>
  <si>
    <t>8,88M</t>
  </si>
  <si>
    <t>-0,50%</t>
  </si>
  <si>
    <t>18,04M</t>
  </si>
  <si>
    <t>7,42M</t>
  </si>
  <si>
    <t>0,75%</t>
  </si>
  <si>
    <t>12,62M</t>
  </si>
  <si>
    <t>7,15M</t>
  </si>
  <si>
    <t>0,41%</t>
  </si>
  <si>
    <t>20,83M</t>
  </si>
  <si>
    <t>9,21M</t>
  </si>
  <si>
    <t>12,08M</t>
  </si>
  <si>
    <t>7,36M</t>
  </si>
  <si>
    <t>0,31%</t>
  </si>
  <si>
    <t>7,58M</t>
  </si>
  <si>
    <t>7,63M</t>
  </si>
  <si>
    <t>0,18%</t>
  </si>
  <si>
    <t>-0,34%</t>
  </si>
  <si>
    <t>20,76M</t>
  </si>
  <si>
    <t>6,48M</t>
  </si>
  <si>
    <t>-0,38%</t>
  </si>
  <si>
    <t>6,05M</t>
  </si>
  <si>
    <t>-0,35%</t>
  </si>
  <si>
    <t>6,94M</t>
  </si>
  <si>
    <t>6,33M</t>
  </si>
  <si>
    <t>-0,45%</t>
  </si>
  <si>
    <t>10,11M</t>
  </si>
  <si>
    <t>7,31M</t>
  </si>
  <si>
    <t>11,29M</t>
  </si>
  <si>
    <t>9,04M</t>
  </si>
  <si>
    <t>-0,32%</t>
  </si>
  <si>
    <t>7,49M</t>
  </si>
  <si>
    <t>0,37%</t>
  </si>
  <si>
    <t>13,09M</t>
  </si>
  <si>
    <t>9,40M</t>
  </si>
  <si>
    <t>17,08M</t>
  </si>
  <si>
    <t>-1,63%</t>
  </si>
  <si>
    <t>14,43M</t>
  </si>
  <si>
    <t>24,63M</t>
  </si>
  <si>
    <t>10,91M</t>
  </si>
  <si>
    <t>13,62M</t>
  </si>
  <si>
    <t>7,50M</t>
  </si>
  <si>
    <t>1,04%</t>
  </si>
  <si>
    <t>10,34M</t>
  </si>
  <si>
    <t>7,17M</t>
  </si>
  <si>
    <t>9,07M</t>
  </si>
  <si>
    <t>-0,26%</t>
  </si>
  <si>
    <t>12,26M</t>
  </si>
  <si>
    <t>8,69M</t>
  </si>
  <si>
    <t>-2,03%</t>
  </si>
  <si>
    <t>11,07M</t>
  </si>
  <si>
    <t>24,45M</t>
  </si>
  <si>
    <t>10,64M</t>
  </si>
  <si>
    <t>-0,73%</t>
  </si>
  <si>
    <t>17,18M</t>
  </si>
  <si>
    <t>9,74M</t>
  </si>
  <si>
    <t>0,54%</t>
  </si>
  <si>
    <t>11,68M</t>
  </si>
  <si>
    <t>11,22M</t>
  </si>
  <si>
    <t>-0,99%</t>
  </si>
  <si>
    <t>13,93M</t>
  </si>
  <si>
    <t>11,75M</t>
  </si>
  <si>
    <t>0,78%</t>
  </si>
  <si>
    <t>11,31M</t>
  </si>
  <si>
    <t>10,52M</t>
  </si>
  <si>
    <t>-0,01%</t>
  </si>
  <si>
    <t>10,50M</t>
  </si>
  <si>
    <t>8,93M</t>
  </si>
  <si>
    <t>11,23M</t>
  </si>
  <si>
    <t>7,85M</t>
  </si>
  <si>
    <t>22,72M</t>
  </si>
  <si>
    <t>9,18M</t>
  </si>
  <si>
    <t>13,88M</t>
  </si>
  <si>
    <t>7,52M</t>
  </si>
  <si>
    <t>7,48M</t>
  </si>
  <si>
    <t>8,43M</t>
  </si>
  <si>
    <t>11,85M</t>
  </si>
  <si>
    <t>7,32M</t>
  </si>
  <si>
    <t>1,50%</t>
  </si>
  <si>
    <t>15,26M</t>
  </si>
  <si>
    <t>6,39M</t>
  </si>
  <si>
    <t>32,86M</t>
  </si>
  <si>
    <t>11,54M</t>
  </si>
  <si>
    <t>7,90M</t>
  </si>
  <si>
    <t>9,52M</t>
  </si>
  <si>
    <t>0,71%</t>
  </si>
  <si>
    <t>14,13M</t>
  </si>
  <si>
    <t>9,86M</t>
  </si>
  <si>
    <t>31,08M</t>
  </si>
  <si>
    <t>12,52M</t>
  </si>
  <si>
    <t>14,83M</t>
  </si>
  <si>
    <t>5,11M</t>
  </si>
  <si>
    <t>-0,04%</t>
  </si>
  <si>
    <t>15,27M</t>
  </si>
  <si>
    <t>12,32M</t>
  </si>
  <si>
    <t>17,93M</t>
  </si>
  <si>
    <t>13,89M</t>
  </si>
  <si>
    <t>29,96M</t>
  </si>
  <si>
    <t>11,16M</t>
  </si>
  <si>
    <t>16,05M</t>
  </si>
  <si>
    <t>9,25M</t>
  </si>
  <si>
    <t>0,87%</t>
  </si>
  <si>
    <t>22,43M</t>
  </si>
  <si>
    <t>9,03M</t>
  </si>
  <si>
    <t>35,77M</t>
  </si>
  <si>
    <t>9,46M</t>
  </si>
  <si>
    <t>24,75M</t>
  </si>
  <si>
    <t>10,69M</t>
  </si>
  <si>
    <t>24,39M</t>
  </si>
  <si>
    <t>28,37M</t>
  </si>
  <si>
    <t>32,54M</t>
  </si>
  <si>
    <t>11,25M</t>
  </si>
  <si>
    <t>27,12M</t>
  </si>
  <si>
    <t>12,16M</t>
  </si>
  <si>
    <t>25,71M</t>
  </si>
  <si>
    <t>11,48M</t>
  </si>
  <si>
    <t>-0,30%</t>
  </si>
  <si>
    <t>18,53M</t>
  </si>
  <si>
    <t>9,12M</t>
  </si>
  <si>
    <t>-0,81%</t>
  </si>
  <si>
    <t>50,62M</t>
  </si>
  <si>
    <t>10,74M</t>
  </si>
  <si>
    <t>37,26M</t>
  </si>
  <si>
    <t>13,19M</t>
  </si>
  <si>
    <t>0,68%</t>
  </si>
  <si>
    <t>24,10M</t>
  </si>
  <si>
    <t>11,37M</t>
  </si>
  <si>
    <t>30,06M</t>
  </si>
  <si>
    <t>13,16M</t>
  </si>
  <si>
    <t>34,87M</t>
  </si>
  <si>
    <t>-0,28%</t>
  </si>
  <si>
    <t>31,58M</t>
  </si>
  <si>
    <t>11,81M</t>
  </si>
  <si>
    <t>24,20M</t>
  </si>
  <si>
    <t>10,38M</t>
  </si>
  <si>
    <t>-0,20%</t>
  </si>
  <si>
    <t>27,34M</t>
  </si>
  <si>
    <t>13,28M</t>
  </si>
  <si>
    <t>-0,57%</t>
  </si>
  <si>
    <t>35,45M</t>
  </si>
  <si>
    <t>10,65M</t>
  </si>
  <si>
    <t>26,70M</t>
  </si>
  <si>
    <t>12,87M</t>
  </si>
  <si>
    <t>23,42M</t>
  </si>
  <si>
    <t>10,28M</t>
  </si>
  <si>
    <t>0,14%</t>
  </si>
  <si>
    <t>21,82M</t>
  </si>
  <si>
    <t>11,73M</t>
  </si>
  <si>
    <t>-2,20%</t>
  </si>
  <si>
    <t>23,37M</t>
  </si>
  <si>
    <t>8,96M</t>
  </si>
  <si>
    <t>16,27M</t>
  </si>
  <si>
    <t>11,17M</t>
  </si>
  <si>
    <t>-1,71%</t>
  </si>
  <si>
    <t>31,81M</t>
  </si>
  <si>
    <t>11,20M</t>
  </si>
  <si>
    <t>39,65M</t>
  </si>
  <si>
    <t>18,78M</t>
  </si>
  <si>
    <t>11,74M</t>
  </si>
  <si>
    <t>-0,79%</t>
  </si>
  <si>
    <t>15,95M</t>
  </si>
  <si>
    <t>16,51M</t>
  </si>
  <si>
    <t>1,00%</t>
  </si>
  <si>
    <t>26,81M</t>
  </si>
  <si>
    <t>21,17M</t>
  </si>
  <si>
    <t>2,14%</t>
  </si>
  <si>
    <t>35,28M</t>
  </si>
  <si>
    <t>11,51M</t>
  </si>
  <si>
    <t>23,28M</t>
  </si>
  <si>
    <t>10,76M</t>
  </si>
  <si>
    <t>-0,75%</t>
  </si>
  <si>
    <t>16,88M</t>
  </si>
  <si>
    <t>10,83M</t>
  </si>
  <si>
    <t>23,47M</t>
  </si>
  <si>
    <t>-0,82%</t>
  </si>
  <si>
    <t>23,08M</t>
  </si>
  <si>
    <t>12,60M</t>
  </si>
  <si>
    <t>-0,76%</t>
  </si>
  <si>
    <t>52,06M</t>
  </si>
  <si>
    <t>10,73M</t>
  </si>
  <si>
    <t>1,18%</t>
  </si>
  <si>
    <t>20,92M</t>
  </si>
  <si>
    <t>14,70M</t>
  </si>
  <si>
    <t>-0,25%</t>
  </si>
  <si>
    <t>21,14M</t>
  </si>
  <si>
    <t>20,44M</t>
  </si>
  <si>
    <t>12,59M</t>
  </si>
  <si>
    <t>-1,25%</t>
  </si>
  <si>
    <t>1,67%</t>
  </si>
  <si>
    <t>19,65M</t>
  </si>
  <si>
    <t>11,02M</t>
  </si>
  <si>
    <t>0,99%</t>
  </si>
  <si>
    <t>15,98M</t>
  </si>
  <si>
    <t>12,28M</t>
  </si>
  <si>
    <t>18,68M</t>
  </si>
  <si>
    <t>12,66M</t>
  </si>
  <si>
    <t>17,41M</t>
  </si>
  <si>
    <t>0,96%</t>
  </si>
  <si>
    <t>21,08M</t>
  </si>
  <si>
    <t>11,58M</t>
  </si>
  <si>
    <t>0,05%</t>
  </si>
  <si>
    <t>19,76M</t>
  </si>
  <si>
    <t>12,83M</t>
  </si>
  <si>
    <t>21,33M</t>
  </si>
  <si>
    <t>-0,21%</t>
  </si>
  <si>
    <t>16,14M</t>
  </si>
  <si>
    <t>11,10M</t>
  </si>
  <si>
    <t>15,33M</t>
  </si>
  <si>
    <t>40,80M</t>
  </si>
  <si>
    <t>13,03M</t>
  </si>
  <si>
    <t>20,81M</t>
  </si>
  <si>
    <t>10,47M</t>
  </si>
  <si>
    <t>-1,39%</t>
  </si>
  <si>
    <t>22,95M</t>
  </si>
  <si>
    <t>21,47M</t>
  </si>
  <si>
    <t>23,19M</t>
  </si>
  <si>
    <t>20,48M</t>
  </si>
  <si>
    <t>18,20M</t>
  </si>
  <si>
    <t>0,86%</t>
  </si>
  <si>
    <t>15,46M</t>
  </si>
  <si>
    <t>13,76M</t>
  </si>
  <si>
    <t>14,85M</t>
  </si>
  <si>
    <t>-1,00%</t>
  </si>
  <si>
    <t>23,02M</t>
  </si>
  <si>
    <t>14,58M</t>
  </si>
  <si>
    <t>9,89M</t>
  </si>
  <si>
    <t>11,13M</t>
  </si>
  <si>
    <t>-1,64%</t>
  </si>
  <si>
    <t>15,34M</t>
  </si>
  <si>
    <t>13,17M</t>
  </si>
  <si>
    <t>11,97M</t>
  </si>
  <si>
    <t>11,08M</t>
  </si>
  <si>
    <t>-0,53%</t>
  </si>
  <si>
    <t>15,12M</t>
  </si>
  <si>
    <t>-1,85%</t>
  </si>
  <si>
    <t>18,66M</t>
  </si>
  <si>
    <t>16,74M</t>
  </si>
  <si>
    <t>11,60M</t>
  </si>
  <si>
    <t>14,97M</t>
  </si>
  <si>
    <t>13,75M</t>
  </si>
  <si>
    <t>13,91M</t>
  </si>
  <si>
    <t>14,93M</t>
  </si>
  <si>
    <t>1,70%</t>
  </si>
  <si>
    <t>16,28M</t>
  </si>
  <si>
    <t>10,57M</t>
  </si>
  <si>
    <t>1,78%</t>
  </si>
  <si>
    <t>13,36M</t>
  </si>
  <si>
    <t>0,90%</t>
  </si>
  <si>
    <t>15,42M</t>
  </si>
  <si>
    <t>8,05M</t>
  </si>
  <si>
    <t>0,88%</t>
  </si>
  <si>
    <t>-1,97%</t>
  </si>
  <si>
    <t>13,26M</t>
  </si>
  <si>
    <t>7,59M</t>
  </si>
  <si>
    <t>14,27M</t>
  </si>
  <si>
    <t>7,51M</t>
  </si>
  <si>
    <t>-0,07%</t>
  </si>
  <si>
    <t>16,38M</t>
  </si>
  <si>
    <t>6,59M</t>
  </si>
  <si>
    <t>0,58%</t>
  </si>
  <si>
    <t>34,45M</t>
  </si>
  <si>
    <t>11,14M</t>
  </si>
  <si>
    <t>1,55%</t>
  </si>
  <si>
    <t>25,19M</t>
  </si>
  <si>
    <t>-1,18%</t>
  </si>
  <si>
    <t>23,66M</t>
  </si>
  <si>
    <t>11,49M</t>
  </si>
  <si>
    <t>-1,58%</t>
  </si>
  <si>
    <t>17,15M</t>
  </si>
  <si>
    <t>-0,91%</t>
  </si>
  <si>
    <t>19,57M</t>
  </si>
  <si>
    <t>1,42%</t>
  </si>
  <si>
    <t>21,90M</t>
  </si>
  <si>
    <t>24,55M</t>
  </si>
  <si>
    <t>10,26M</t>
  </si>
  <si>
    <t>-1,67%</t>
  </si>
  <si>
    <t>22,42M</t>
  </si>
  <si>
    <t>12,42M</t>
  </si>
  <si>
    <t>13,79M</t>
  </si>
  <si>
    <t>30,73M</t>
  </si>
  <si>
    <t>11,71M</t>
  </si>
  <si>
    <t>-0,88%</t>
  </si>
  <si>
    <t>20,67M</t>
  </si>
  <si>
    <t>11,46M</t>
  </si>
  <si>
    <t>-1,37%</t>
  </si>
  <si>
    <t>6,92M</t>
  </si>
  <si>
    <t>26,21M</t>
  </si>
  <si>
    <t>2,56%</t>
  </si>
  <si>
    <t>21,42M</t>
  </si>
  <si>
    <t>-0,08%</t>
  </si>
  <si>
    <t>22,33M</t>
  </si>
  <si>
    <t>13,63M</t>
  </si>
  <si>
    <t>22,54M</t>
  </si>
  <si>
    <t>13,41M</t>
  </si>
  <si>
    <t>1,14%</t>
  </si>
  <si>
    <t>23,57M</t>
  </si>
  <si>
    <t>12,70M</t>
  </si>
  <si>
    <t>16,69M</t>
  </si>
  <si>
    <t>-1,56%</t>
  </si>
  <si>
    <t>18,05M</t>
  </si>
  <si>
    <t>15,51M</t>
  </si>
  <si>
    <t>-2,66%</t>
  </si>
  <si>
    <t>14,81M</t>
  </si>
  <si>
    <t>18,26M</t>
  </si>
  <si>
    <t>13,52M</t>
  </si>
  <si>
    <t>3,01%</t>
  </si>
  <si>
    <t>15,21M</t>
  </si>
  <si>
    <t>12,19M</t>
  </si>
  <si>
    <t>-1,10%</t>
  </si>
  <si>
    <t>15,94M</t>
  </si>
  <si>
    <t>15,06M</t>
  </si>
  <si>
    <t>11,04M</t>
  </si>
  <si>
    <t>1,39%</t>
  </si>
  <si>
    <t>14,35M</t>
  </si>
  <si>
    <t>2,46%</t>
  </si>
  <si>
    <t>29,33M</t>
  </si>
  <si>
    <t>10,67M</t>
  </si>
  <si>
    <t>1,53%</t>
  </si>
  <si>
    <t>26,98M</t>
  </si>
  <si>
    <t>10,16M</t>
  </si>
  <si>
    <t>0,98%</t>
  </si>
  <si>
    <t>22,82M</t>
  </si>
  <si>
    <t>25,79M</t>
  </si>
  <si>
    <t>13,27M</t>
  </si>
  <si>
    <t>25,38M</t>
  </si>
  <si>
    <t>18,60M</t>
  </si>
  <si>
    <t>21,58M</t>
  </si>
  <si>
    <t>11,65M</t>
  </si>
  <si>
    <t>0,25%</t>
  </si>
  <si>
    <t>13,35M</t>
  </si>
  <si>
    <t>12,05M</t>
  </si>
  <si>
    <t>26,97M</t>
  </si>
  <si>
    <t>10,81M</t>
  </si>
  <si>
    <t>1,61%</t>
  </si>
  <si>
    <t>11,30M</t>
  </si>
  <si>
    <t>28,42M</t>
  </si>
  <si>
    <t>7,86M</t>
  </si>
  <si>
    <t>102,39M</t>
  </si>
  <si>
    <t>12,71M</t>
  </si>
  <si>
    <t>31,83M</t>
  </si>
  <si>
    <t>12,12M</t>
  </si>
  <si>
    <t>0,80%</t>
  </si>
  <si>
    <t>31,31M</t>
  </si>
  <si>
    <t>16,79M</t>
  </si>
  <si>
    <t>-1,04%</t>
  </si>
  <si>
    <t>23,71M</t>
  </si>
  <si>
    <t>17,56M</t>
  </si>
  <si>
    <t>-1,22%</t>
  </si>
  <si>
    <t>32,92M</t>
  </si>
  <si>
    <t>10,70M</t>
  </si>
  <si>
    <t>43,03M</t>
  </si>
  <si>
    <t>49,41M</t>
  </si>
  <si>
    <t>-1,32%</t>
  </si>
  <si>
    <t>27,73M</t>
  </si>
  <si>
    <t>14,06M</t>
  </si>
  <si>
    <t>-0,42%</t>
  </si>
  <si>
    <t>22,58M</t>
  </si>
  <si>
    <t>15,70M</t>
  </si>
  <si>
    <t>22,50M</t>
  </si>
  <si>
    <t>14,71M</t>
  </si>
  <si>
    <t>12,98M</t>
  </si>
  <si>
    <t>21,80M</t>
  </si>
  <si>
    <t>12,48M</t>
  </si>
  <si>
    <t>24,57M</t>
  </si>
  <si>
    <t>10,48M</t>
  </si>
  <si>
    <t>17,72M</t>
  </si>
  <si>
    <t>13,65M</t>
  </si>
  <si>
    <t>13,21M</t>
  </si>
  <si>
    <t>-1,16%</t>
  </si>
  <si>
    <t>12,45M</t>
  </si>
  <si>
    <t>14,41M</t>
  </si>
  <si>
    <t>-2,62%</t>
  </si>
  <si>
    <t>22,64M</t>
  </si>
  <si>
    <t>19,55M</t>
  </si>
  <si>
    <t>16,20M</t>
  </si>
  <si>
    <t>-2,32%</t>
  </si>
  <si>
    <t>25,93M</t>
  </si>
  <si>
    <t>11,38M</t>
  </si>
  <si>
    <t>18,42M</t>
  </si>
  <si>
    <t>1,92%</t>
  </si>
  <si>
    <t>13,47M</t>
  </si>
  <si>
    <t>-2,30%</t>
  </si>
  <si>
    <t>12,84M</t>
  </si>
  <si>
    <t>27,04M</t>
  </si>
  <si>
    <t>9,17M</t>
  </si>
  <si>
    <t>17,84M</t>
  </si>
  <si>
    <t>12,93M</t>
  </si>
  <si>
    <t>1,94%</t>
  </si>
  <si>
    <t>11,33M</t>
  </si>
  <si>
    <t>10,89M</t>
  </si>
  <si>
    <t>-2,80%</t>
  </si>
  <si>
    <t>11,86M</t>
  </si>
  <si>
    <t>43,26M</t>
  </si>
  <si>
    <t>-3,27%</t>
  </si>
  <si>
    <t>17,07M</t>
  </si>
  <si>
    <t>8,81M</t>
  </si>
  <si>
    <t>13,02M</t>
  </si>
  <si>
    <t>11,79M</t>
  </si>
  <si>
    <t>-0,92%</t>
  </si>
  <si>
    <t>11,19M</t>
  </si>
  <si>
    <t>11,52M</t>
  </si>
  <si>
    <t>2,33%</t>
  </si>
  <si>
    <t>15,48M</t>
  </si>
  <si>
    <t>-0,27%</t>
  </si>
  <si>
    <t>13,33M</t>
  </si>
  <si>
    <t>9,56M</t>
  </si>
  <si>
    <t>1,96%</t>
  </si>
  <si>
    <t>11,41M</t>
  </si>
  <si>
    <t>-2,98%</t>
  </si>
  <si>
    <t>10,59M</t>
  </si>
  <si>
    <t>-0,51%</t>
  </si>
  <si>
    <t>20,34M</t>
  </si>
  <si>
    <t>10,37M</t>
  </si>
  <si>
    <t>8,40M</t>
  </si>
  <si>
    <t>1,74%</t>
  </si>
  <si>
    <t>17,35M</t>
  </si>
  <si>
    <t>10,54M</t>
  </si>
  <si>
    <t>21,11M</t>
  </si>
  <si>
    <t>10,75M</t>
  </si>
  <si>
    <t>0,73%</t>
  </si>
  <si>
    <t>10,88M</t>
  </si>
  <si>
    <t>1,62%</t>
  </si>
  <si>
    <t>41,00M</t>
  </si>
  <si>
    <t>44,39M</t>
  </si>
  <si>
    <t>0,43%</t>
  </si>
  <si>
    <t>21,91M</t>
  </si>
  <si>
    <t>21,40M</t>
  </si>
  <si>
    <t>13,66M</t>
  </si>
  <si>
    <t>1,57%</t>
  </si>
  <si>
    <t>17,13M</t>
  </si>
  <si>
    <t>11,94M</t>
  </si>
  <si>
    <t>-1,24%</t>
  </si>
  <si>
    <t>11,93M</t>
  </si>
  <si>
    <t>9,94M</t>
  </si>
  <si>
    <t>22,22M</t>
  </si>
  <si>
    <t>14,56M</t>
  </si>
  <si>
    <t>0,56%</t>
  </si>
  <si>
    <t>9,59M</t>
  </si>
  <si>
    <t>13,83M</t>
  </si>
  <si>
    <t>15,28M</t>
  </si>
  <si>
    <t>14,14M</t>
  </si>
  <si>
    <t>-2,21%</t>
  </si>
  <si>
    <t>16,44M</t>
  </si>
  <si>
    <t>13,20M</t>
  </si>
  <si>
    <t>-2,95%</t>
  </si>
  <si>
    <t>18,06M</t>
  </si>
  <si>
    <t>13,51M</t>
  </si>
  <si>
    <t>-3,66%</t>
  </si>
  <si>
    <t>13,12M</t>
  </si>
  <si>
    <t>13,43M</t>
  </si>
  <si>
    <t>14,00M</t>
  </si>
  <si>
    <t>1,22%</t>
  </si>
  <si>
    <t>24,29M</t>
  </si>
  <si>
    <t>12,37M</t>
  </si>
  <si>
    <t>-2,59%</t>
  </si>
  <si>
    <t>19,88M</t>
  </si>
  <si>
    <t>10,60M</t>
  </si>
  <si>
    <t>27,41M</t>
  </si>
  <si>
    <t>16,50M</t>
  </si>
  <si>
    <t>15,57M</t>
  </si>
  <si>
    <t>14,75M</t>
  </si>
  <si>
    <t>20,27M</t>
  </si>
  <si>
    <t>11,43M</t>
  </si>
  <si>
    <t>9,99M</t>
  </si>
  <si>
    <t>0,46%</t>
  </si>
  <si>
    <t>16,68M</t>
  </si>
  <si>
    <t>2,76%</t>
  </si>
  <si>
    <t>11,72M</t>
  </si>
  <si>
    <t>15,69M</t>
  </si>
  <si>
    <t>-1,48%</t>
  </si>
  <si>
    <t>25,25M</t>
  </si>
  <si>
    <t>13,08M</t>
  </si>
  <si>
    <t>14,94M</t>
  </si>
  <si>
    <t>15,22M</t>
  </si>
  <si>
    <t>15,81M</t>
  </si>
  <si>
    <t>9,79M</t>
  </si>
  <si>
    <t>-0,54%</t>
  </si>
  <si>
    <t>9,09M</t>
  </si>
  <si>
    <t>10,05M</t>
  </si>
  <si>
    <t>11,80M</t>
  </si>
  <si>
    <t>8,76M</t>
  </si>
  <si>
    <t>1,59%</t>
  </si>
  <si>
    <t>16,09M</t>
  </si>
  <si>
    <t>9,47M</t>
  </si>
  <si>
    <t>-1,20%</t>
  </si>
  <si>
    <t>17,10M</t>
  </si>
  <si>
    <t>16,02M</t>
  </si>
  <si>
    <t>11,96M</t>
  </si>
  <si>
    <t>14,68M</t>
  </si>
  <si>
    <t>-0,93%</t>
  </si>
  <si>
    <t>38,74M</t>
  </si>
  <si>
    <t>13,84M</t>
  </si>
  <si>
    <t>1,89%</t>
  </si>
  <si>
    <t>30,41M</t>
  </si>
  <si>
    <t>11,56M</t>
  </si>
  <si>
    <t>15,97M</t>
  </si>
  <si>
    <t>2,36%</t>
  </si>
  <si>
    <t>18,93M</t>
  </si>
  <si>
    <t>25,91M</t>
  </si>
  <si>
    <t>10,90M</t>
  </si>
  <si>
    <t>20,28M</t>
  </si>
  <si>
    <t>17,90M</t>
  </si>
  <si>
    <t>22,20M</t>
  </si>
  <si>
    <t>12,41M</t>
  </si>
  <si>
    <t>-1,01%</t>
  </si>
  <si>
    <t>20,41M</t>
  </si>
  <si>
    <t>1,93%</t>
  </si>
  <si>
    <t>31,30M</t>
  </si>
  <si>
    <t>9,90M</t>
  </si>
  <si>
    <t>1,30%</t>
  </si>
  <si>
    <t>10,49M</t>
  </si>
  <si>
    <t>1,35%</t>
  </si>
  <si>
    <t>10,45M</t>
  </si>
  <si>
    <t>21,45M</t>
  </si>
  <si>
    <t>14,59M</t>
  </si>
  <si>
    <t>21,69M</t>
  </si>
  <si>
    <t>11,61M</t>
  </si>
  <si>
    <t>21,83M</t>
  </si>
  <si>
    <t>6,28M</t>
  </si>
  <si>
    <t>11,01M</t>
  </si>
  <si>
    <t>13,59M</t>
  </si>
  <si>
    <t>25,08M</t>
  </si>
  <si>
    <t>-0,55%</t>
  </si>
  <si>
    <t>9,73M</t>
  </si>
  <si>
    <t>2,18%</t>
  </si>
  <si>
    <t>29,12M</t>
  </si>
  <si>
    <t>19,50M</t>
  </si>
  <si>
    <t>12,57M</t>
  </si>
  <si>
    <t>1,15%</t>
  </si>
  <si>
    <t>18,89M</t>
  </si>
  <si>
    <t>12,21M</t>
  </si>
  <si>
    <t>14,80M</t>
  </si>
  <si>
    <t>12,58M</t>
  </si>
  <si>
    <t>11,35M</t>
  </si>
  <si>
    <t>17,67M</t>
  </si>
  <si>
    <t>9,96M</t>
  </si>
  <si>
    <t>10,30M</t>
  </si>
  <si>
    <t>12,89M</t>
  </si>
  <si>
    <t>12,94M</t>
  </si>
  <si>
    <t>12,56M</t>
  </si>
  <si>
    <t>10,06M</t>
  </si>
  <si>
    <t>12,11M</t>
  </si>
  <si>
    <t>1,19%</t>
  </si>
  <si>
    <t>9,14M</t>
  </si>
  <si>
    <t>-2,67%</t>
  </si>
  <si>
    <t>11,98M</t>
  </si>
  <si>
    <t>14,64M</t>
  </si>
  <si>
    <t>-0,68%</t>
  </si>
  <si>
    <t>17,16M</t>
  </si>
  <si>
    <t>10,12M</t>
  </si>
  <si>
    <t>17,39M</t>
  </si>
  <si>
    <t>-0,33%</t>
  </si>
  <si>
    <t>15,50M</t>
  </si>
  <si>
    <t>12,25M</t>
  </si>
  <si>
    <t>12,95M</t>
  </si>
  <si>
    <t>1,13%</t>
  </si>
  <si>
    <t>13,23M</t>
  </si>
  <si>
    <t>12,67M</t>
  </si>
  <si>
    <t>0,84%</t>
  </si>
  <si>
    <t>12,15M</t>
  </si>
  <si>
    <t>1,77%</t>
  </si>
  <si>
    <t>12,01M</t>
  </si>
  <si>
    <t>13,38M</t>
  </si>
  <si>
    <t>15,63M</t>
  </si>
  <si>
    <t>15,71M</t>
  </si>
  <si>
    <t>18,70M</t>
  </si>
  <si>
    <t>15,55M</t>
  </si>
  <si>
    <t>12,99M</t>
  </si>
  <si>
    <t>17,32M</t>
  </si>
  <si>
    <t>14,65M</t>
  </si>
  <si>
    <t>0,44%</t>
  </si>
  <si>
    <t>18,59M</t>
  </si>
  <si>
    <t>-1,03%</t>
  </si>
  <si>
    <t>17,76M</t>
  </si>
  <si>
    <t>12,68M</t>
  </si>
  <si>
    <t>-1,47%</t>
  </si>
  <si>
    <t>-1,08%</t>
  </si>
  <si>
    <t>11,89M</t>
  </si>
  <si>
    <t>-2,04%</t>
  </si>
  <si>
    <t>17,63M</t>
  </si>
  <si>
    <t>-1,23%</t>
  </si>
  <si>
    <t>15,43M</t>
  </si>
  <si>
    <t>11,84M</t>
  </si>
  <si>
    <t>1,45%</t>
  </si>
  <si>
    <t>9,80M</t>
  </si>
  <si>
    <t>-1,54%</t>
  </si>
  <si>
    <t>24,26M</t>
  </si>
  <si>
    <t>-0,94%</t>
  </si>
  <si>
    <t>24,88M</t>
  </si>
  <si>
    <t>14,79M</t>
  </si>
  <si>
    <t>2,16%</t>
  </si>
  <si>
    <t>15,15M</t>
  </si>
  <si>
    <t>14,48M</t>
  </si>
  <si>
    <t>3,37%</t>
  </si>
  <si>
    <t>25,14M</t>
  </si>
  <si>
    <t>17,12M</t>
  </si>
  <si>
    <t>14,15M</t>
  </si>
  <si>
    <t>14,30M</t>
  </si>
  <si>
    <t>-2,45%</t>
  </si>
  <si>
    <t>10,25M</t>
  </si>
  <si>
    <t>12,79M</t>
  </si>
  <si>
    <t>12,61M</t>
  </si>
  <si>
    <t>1,86%</t>
  </si>
  <si>
    <t>-1,45%</t>
  </si>
  <si>
    <t>6,97M</t>
  </si>
  <si>
    <t>11,62M</t>
  </si>
  <si>
    <t>2,32%</t>
  </si>
  <si>
    <t>18,84M</t>
  </si>
  <si>
    <t>12,75M</t>
  </si>
  <si>
    <t>22,08M</t>
  </si>
  <si>
    <t>-0,41%</t>
  </si>
  <si>
    <t>12,31M</t>
  </si>
  <si>
    <t>14,73M</t>
  </si>
  <si>
    <t>1,37%</t>
  </si>
  <si>
    <t>15,68M</t>
  </si>
  <si>
    <t>1,24%</t>
  </si>
  <si>
    <t>19,33M</t>
  </si>
  <si>
    <t>13,54M</t>
  </si>
  <si>
    <t>13,13M</t>
  </si>
  <si>
    <t>8,71M</t>
  </si>
  <si>
    <t>14,52M</t>
  </si>
  <si>
    <t>12,33M</t>
  </si>
  <si>
    <t>1,48%</t>
  </si>
  <si>
    <t>-0,52%</t>
  </si>
  <si>
    <t>17,65M</t>
  </si>
  <si>
    <t>16,54M</t>
  </si>
  <si>
    <t>9,32M</t>
  </si>
  <si>
    <t>20,98M</t>
  </si>
  <si>
    <t>-1,83%</t>
  </si>
  <si>
    <t>16,08M</t>
  </si>
  <si>
    <t>11,03M</t>
  </si>
  <si>
    <t>13,56M</t>
  </si>
  <si>
    <t>11,67M</t>
  </si>
  <si>
    <t>1,05%</t>
  </si>
  <si>
    <t>-1,77%</t>
  </si>
  <si>
    <t>6,53M</t>
  </si>
  <si>
    <t>5,05%</t>
  </si>
  <si>
    <t>13,10M</t>
  </si>
  <si>
    <t>9,58M</t>
  </si>
  <si>
    <t>0,92%</t>
  </si>
  <si>
    <t>9,67M</t>
  </si>
  <si>
    <t>14,74M</t>
  </si>
  <si>
    <t>5,14M</t>
  </si>
  <si>
    <t>12,73M</t>
  </si>
  <si>
    <t>16,92M</t>
  </si>
  <si>
    <t>0,63%</t>
  </si>
  <si>
    <t>18,58M</t>
  </si>
  <si>
    <t>-0,69%</t>
  </si>
  <si>
    <t>1,33%</t>
  </si>
  <si>
    <t>6,77M</t>
  </si>
  <si>
    <t>0,32%</t>
  </si>
  <si>
    <t>22,36M</t>
  </si>
  <si>
    <t>15,53M</t>
  </si>
  <si>
    <t>14,39M</t>
  </si>
  <si>
    <t>-1,30%</t>
  </si>
  <si>
    <t>21,64M</t>
  </si>
  <si>
    <t>17,97M</t>
  </si>
  <si>
    <t>0,74%</t>
  </si>
  <si>
    <t>16,11M</t>
  </si>
  <si>
    <t>16,21M</t>
  </si>
  <si>
    <t>14,01M</t>
  </si>
  <si>
    <t>-1,34%</t>
  </si>
  <si>
    <t>14,24M</t>
  </si>
  <si>
    <t>-1,27%</t>
  </si>
  <si>
    <t>20,53M</t>
  </si>
  <si>
    <t>20,82M</t>
  </si>
  <si>
    <t>26,03M</t>
  </si>
  <si>
    <t>21,67M</t>
  </si>
  <si>
    <t>25,04M</t>
  </si>
  <si>
    <t>18,50M</t>
  </si>
  <si>
    <t>15,08M</t>
  </si>
  <si>
    <t>16,01M</t>
  </si>
  <si>
    <t>18,35M</t>
  </si>
  <si>
    <t>23,12M</t>
  </si>
  <si>
    <t>18,77M</t>
  </si>
  <si>
    <t>-2,53%</t>
  </si>
  <si>
    <t>16,65M</t>
  </si>
  <si>
    <t>-1,17%</t>
  </si>
  <si>
    <t>10,61M</t>
  </si>
  <si>
    <t>0,27%</t>
  </si>
  <si>
    <t>1,31%</t>
  </si>
  <si>
    <t>16,83M</t>
  </si>
  <si>
    <t>11,70M</t>
  </si>
  <si>
    <t>7,29M</t>
  </si>
  <si>
    <t>14,72M</t>
  </si>
  <si>
    <t>7,38M</t>
  </si>
  <si>
    <t>19,70M</t>
  </si>
  <si>
    <t>15,19M</t>
  </si>
  <si>
    <t>22,03M</t>
  </si>
  <si>
    <t>9,61M</t>
  </si>
  <si>
    <t>13,44M</t>
  </si>
  <si>
    <t>13,98M</t>
  </si>
  <si>
    <t>14,92M</t>
  </si>
  <si>
    <t>19,39M</t>
  </si>
  <si>
    <t>-1,13%</t>
  </si>
  <si>
    <t>9,11M</t>
  </si>
  <si>
    <t>2,12%</t>
  </si>
  <si>
    <t>14,96M</t>
  </si>
  <si>
    <t>17,70M</t>
  </si>
  <si>
    <t>24,92M</t>
  </si>
  <si>
    <t>12,80M</t>
  </si>
  <si>
    <t>10,71M</t>
  </si>
  <si>
    <t>13,67M</t>
  </si>
  <si>
    <t>16,77M</t>
  </si>
  <si>
    <t>7,40M</t>
  </si>
  <si>
    <t>19,13M</t>
  </si>
  <si>
    <t>4,15M</t>
  </si>
  <si>
    <t>12,63M</t>
  </si>
  <si>
    <t>12,85M</t>
  </si>
  <si>
    <t>5,22M</t>
  </si>
  <si>
    <t>1,49%</t>
  </si>
  <si>
    <t>6,58M</t>
  </si>
  <si>
    <t>1,08%</t>
  </si>
  <si>
    <t>12,92M</t>
  </si>
  <si>
    <t>13,39M</t>
  </si>
  <si>
    <t>8,13M</t>
  </si>
  <si>
    <t>9,95M</t>
  </si>
  <si>
    <t>14,47M</t>
  </si>
  <si>
    <t>8,45M</t>
  </si>
  <si>
    <t>14,45M</t>
  </si>
  <si>
    <t>-0,95%</t>
  </si>
  <si>
    <t>6,25M</t>
  </si>
  <si>
    <t>18,63M</t>
  </si>
  <si>
    <t>8,61M</t>
  </si>
  <si>
    <t>6,64M</t>
  </si>
  <si>
    <t>4,59M</t>
  </si>
  <si>
    <t>14,46M</t>
  </si>
  <si>
    <t>11,90M</t>
  </si>
  <si>
    <t>19,84M</t>
  </si>
  <si>
    <t>-0,66%</t>
  </si>
  <si>
    <t>12,91M</t>
  </si>
  <si>
    <t>14,36M</t>
  </si>
  <si>
    <t>15,36M</t>
  </si>
  <si>
    <t>0,94%</t>
  </si>
  <si>
    <t>11,21M</t>
  </si>
  <si>
    <t>15,59M</t>
  </si>
  <si>
    <t>0,09%</t>
  </si>
  <si>
    <t>15,44M</t>
  </si>
  <si>
    <t>11,55M</t>
  </si>
  <si>
    <t>-0,39%</t>
  </si>
  <si>
    <t>5,87M</t>
  </si>
  <si>
    <t>10,92M</t>
  </si>
  <si>
    <t>11,18M</t>
  </si>
  <si>
    <t>11,27M</t>
  </si>
  <si>
    <t>9,05M</t>
  </si>
  <si>
    <t>12,90M</t>
  </si>
  <si>
    <t>-1,11%</t>
  </si>
  <si>
    <t>8,92M</t>
  </si>
  <si>
    <t>17,82M</t>
  </si>
  <si>
    <t>8,08M</t>
  </si>
  <si>
    <t>15,24M</t>
  </si>
  <si>
    <t>13,24M</t>
  </si>
  <si>
    <t>6,96M</t>
  </si>
  <si>
    <t>9,76M</t>
  </si>
  <si>
    <t>12,96M</t>
  </si>
  <si>
    <t>1,41%</t>
  </si>
  <si>
    <t>10,42M</t>
  </si>
  <si>
    <t>-1,44%</t>
  </si>
  <si>
    <t>8,56M</t>
  </si>
  <si>
    <t>8,07M</t>
  </si>
  <si>
    <t>9,97M</t>
  </si>
  <si>
    <t>13,00M</t>
  </si>
  <si>
    <t>1,16%</t>
  </si>
  <si>
    <t>7,19M</t>
  </si>
  <si>
    <t>43,31M</t>
  </si>
  <si>
    <t>42,64M</t>
  </si>
  <si>
    <t>10,22M</t>
  </si>
  <si>
    <t>0,83%</t>
  </si>
  <si>
    <t>30,38M</t>
  </si>
  <si>
    <t>9,57M</t>
  </si>
  <si>
    <t>1,25%</t>
  </si>
  <si>
    <t>15,49M</t>
  </si>
  <si>
    <t>15,67M</t>
  </si>
  <si>
    <t>10,02M</t>
  </si>
  <si>
    <t>19,85M</t>
  </si>
  <si>
    <t>0,40%</t>
  </si>
  <si>
    <t>15,38M</t>
  </si>
  <si>
    <t>14,28M</t>
  </si>
  <si>
    <t>15,90M</t>
  </si>
  <si>
    <t>19,17M</t>
  </si>
  <si>
    <t>17,95M</t>
  </si>
  <si>
    <t>26,02M</t>
  </si>
  <si>
    <t>16,36M</t>
  </si>
  <si>
    <t>15,25M</t>
  </si>
  <si>
    <t>11,88M</t>
  </si>
  <si>
    <t>1,21%</t>
  </si>
  <si>
    <t>15,66M</t>
  </si>
  <si>
    <t>6,95M</t>
  </si>
  <si>
    <t>13,50M</t>
  </si>
  <si>
    <t>21,61M</t>
  </si>
  <si>
    <t>12,46M</t>
  </si>
  <si>
    <t>35,07M</t>
  </si>
  <si>
    <t>14,90M</t>
  </si>
  <si>
    <t>18,86M</t>
  </si>
  <si>
    <t>6,74M</t>
  </si>
  <si>
    <t>12,30M</t>
  </si>
  <si>
    <t>9,82M</t>
  </si>
  <si>
    <t>11,78M</t>
  </si>
  <si>
    <t>18,73M</t>
  </si>
  <si>
    <t>15,07M</t>
  </si>
  <si>
    <t>12,18M</t>
  </si>
  <si>
    <t>17,31M</t>
  </si>
  <si>
    <t>1,54%</t>
  </si>
  <si>
    <t>8,28M</t>
  </si>
  <si>
    <t>10,09M</t>
  </si>
  <si>
    <t>10,93M</t>
  </si>
  <si>
    <t>10,85M</t>
  </si>
  <si>
    <t>10,94M</t>
  </si>
  <si>
    <t>10,87M</t>
  </si>
  <si>
    <t>9,28M</t>
  </si>
  <si>
    <t>25,10M</t>
  </si>
  <si>
    <t>14,11M</t>
  </si>
  <si>
    <t>12,02M</t>
  </si>
  <si>
    <t>11,69M</t>
  </si>
  <si>
    <t>13,64M</t>
  </si>
  <si>
    <t>14,84M</t>
  </si>
  <si>
    <t>5,68M</t>
  </si>
  <si>
    <t>13,53M</t>
  </si>
  <si>
    <t>13,58M</t>
  </si>
  <si>
    <t>4,96M</t>
  </si>
  <si>
    <t>12,77M</t>
  </si>
  <si>
    <t>7,87M</t>
  </si>
  <si>
    <t>11,92M</t>
  </si>
  <si>
    <t>16,90M</t>
  </si>
  <si>
    <t>1,47%</t>
  </si>
  <si>
    <t>14,31M</t>
  </si>
  <si>
    <t>13,99M</t>
  </si>
  <si>
    <t>-0,11%</t>
  </si>
  <si>
    <t>8,99M</t>
  </si>
  <si>
    <t>34,43M</t>
  </si>
  <si>
    <t>8,94M</t>
  </si>
  <si>
    <t>20,31M</t>
  </si>
  <si>
    <t>5,91M</t>
  </si>
  <si>
    <t>0,91%</t>
  </si>
  <si>
    <t>11,59M</t>
  </si>
  <si>
    <t>15,86M</t>
  </si>
  <si>
    <t>7,53M</t>
  </si>
  <si>
    <t>14,67M</t>
  </si>
  <si>
    <t>14,55M</t>
  </si>
  <si>
    <t>21,78M</t>
  </si>
  <si>
    <t>15,03M</t>
  </si>
  <si>
    <t>18,67M</t>
  </si>
  <si>
    <t>15,74M</t>
  </si>
  <si>
    <t>12,39M</t>
  </si>
  <si>
    <t>13,55M</t>
  </si>
  <si>
    <t>16,94M</t>
  </si>
  <si>
    <t>1,12%</t>
  </si>
  <si>
    <t>6,15M</t>
  </si>
  <si>
    <t>21,05M</t>
  </si>
  <si>
    <t>6,78M</t>
  </si>
  <si>
    <t>9,88M</t>
  </si>
  <si>
    <t>11,83M</t>
  </si>
  <si>
    <t>19,61M</t>
  </si>
  <si>
    <t>6,86M</t>
  </si>
  <si>
    <t>10,46M</t>
  </si>
  <si>
    <t>5,30M</t>
  </si>
  <si>
    <t>14,34M</t>
  </si>
  <si>
    <t>11,06M</t>
  </si>
  <si>
    <t>9,20M</t>
  </si>
  <si>
    <t>13,82M</t>
  </si>
  <si>
    <t>10,27M</t>
  </si>
  <si>
    <t>6,56M</t>
  </si>
  <si>
    <t>10,96M</t>
  </si>
  <si>
    <t>7,04M</t>
  </si>
  <si>
    <t>14,25M</t>
  </si>
  <si>
    <t>16,34M</t>
  </si>
  <si>
    <t>0,77%</t>
  </si>
  <si>
    <t>7,34M</t>
  </si>
  <si>
    <t>8,20M</t>
  </si>
  <si>
    <t>8,58M</t>
  </si>
  <si>
    <t>17,23M</t>
  </si>
  <si>
    <t>5,33M</t>
  </si>
  <si>
    <t>5,65M</t>
  </si>
  <si>
    <t>8,46M</t>
  </si>
  <si>
    <t>11,76M</t>
  </si>
  <si>
    <t>6,79M</t>
  </si>
  <si>
    <t>0,45%</t>
  </si>
  <si>
    <t>5,46M</t>
  </si>
  <si>
    <t>5,81M</t>
  </si>
  <si>
    <t>8,73M</t>
  </si>
  <si>
    <t>6,29M</t>
  </si>
  <si>
    <t>-1,07%</t>
  </si>
  <si>
    <t>5,98M</t>
  </si>
  <si>
    <t>12,69M</t>
  </si>
  <si>
    <t>14,04M</t>
  </si>
  <si>
    <t>11,87M</t>
  </si>
  <si>
    <t>8,23M</t>
  </si>
  <si>
    <t>-0,18%</t>
  </si>
  <si>
    <t>6,44M</t>
  </si>
  <si>
    <t>5,45M</t>
  </si>
  <si>
    <t>-0,59%</t>
  </si>
  <si>
    <t>4,78M</t>
  </si>
  <si>
    <t>5,70M</t>
  </si>
  <si>
    <t>4,80M</t>
  </si>
  <si>
    <t>8,52M</t>
  </si>
  <si>
    <t>4,71M</t>
  </si>
  <si>
    <t>9,60M</t>
  </si>
  <si>
    <t>3,46M</t>
  </si>
  <si>
    <t>6,11M</t>
  </si>
  <si>
    <t>5,53M</t>
  </si>
  <si>
    <t>6,40M</t>
  </si>
  <si>
    <t>6,60M</t>
  </si>
  <si>
    <t>5,13M</t>
  </si>
  <si>
    <t>8,79M</t>
  </si>
  <si>
    <t>9,19M</t>
  </si>
  <si>
    <t>10,53M</t>
  </si>
  <si>
    <t>6,36M</t>
  </si>
  <si>
    <t>-1,38%</t>
  </si>
  <si>
    <t>6,31M</t>
  </si>
  <si>
    <t>11,45M</t>
  </si>
  <si>
    <t>14,17M</t>
  </si>
  <si>
    <t>9,24M</t>
  </si>
  <si>
    <t>6,63M</t>
  </si>
  <si>
    <t>4,17M</t>
  </si>
  <si>
    <t>9,44M</t>
  </si>
  <si>
    <t>9,53M</t>
  </si>
  <si>
    <t>12,24M</t>
  </si>
  <si>
    <t>7,16M</t>
  </si>
  <si>
    <t>9,51M</t>
  </si>
  <si>
    <t>21,89M</t>
  </si>
  <si>
    <t>15,58M</t>
  </si>
  <si>
    <t>8,27M</t>
  </si>
  <si>
    <t>1,97%</t>
  </si>
  <si>
    <t>9,65M</t>
  </si>
  <si>
    <t>1,10%</t>
  </si>
  <si>
    <t>6,93M</t>
  </si>
  <si>
    <t>12,29M</t>
  </si>
  <si>
    <t>10,56M</t>
  </si>
  <si>
    <t>2,02%</t>
  </si>
  <si>
    <t>8,59M</t>
  </si>
  <si>
    <t>13,90M</t>
  </si>
  <si>
    <t>4,89M</t>
  </si>
  <si>
    <t>10,17M</t>
  </si>
  <si>
    <t>16,39M</t>
  </si>
  <si>
    <t>20,73M</t>
  </si>
  <si>
    <t>19,43M</t>
  </si>
  <si>
    <t>14,50M</t>
  </si>
  <si>
    <t>18,36M</t>
  </si>
  <si>
    <t>15,72M</t>
  </si>
  <si>
    <t>6,42M</t>
  </si>
  <si>
    <t>11,11M</t>
  </si>
  <si>
    <t>9,91M</t>
  </si>
  <si>
    <t>10,79M</t>
  </si>
  <si>
    <t>3,66M</t>
  </si>
  <si>
    <t>5,07M</t>
  </si>
  <si>
    <t>7,82M</t>
  </si>
  <si>
    <t>19,24M</t>
  </si>
  <si>
    <t>13,32M</t>
  </si>
  <si>
    <t>10,84M</t>
  </si>
  <si>
    <t>16,67M</t>
  </si>
  <si>
    <t>6,09M</t>
  </si>
  <si>
    <t>7,09M</t>
  </si>
  <si>
    <t>13,68M</t>
  </si>
  <si>
    <t>26,75M</t>
  </si>
  <si>
    <t>15,82M</t>
  </si>
  <si>
    <t>4,21M</t>
  </si>
  <si>
    <t>6,99M</t>
  </si>
  <si>
    <t>6,30M</t>
  </si>
  <si>
    <t>8,68M</t>
  </si>
  <si>
    <t>7,60M</t>
  </si>
  <si>
    <t>5,15M</t>
  </si>
  <si>
    <t>14/06/2024</t>
  </si>
  <si>
    <t>6,17M</t>
  </si>
  <si>
    <t>13/06/2024</t>
  </si>
  <si>
    <t>17,02M</t>
  </si>
  <si>
    <t>12/06/2024</t>
  </si>
  <si>
    <t>8,44M</t>
  </si>
  <si>
    <t>11/06/2024</t>
  </si>
  <si>
    <t>10/06/2024</t>
  </si>
  <si>
    <t>07/06/2024</t>
  </si>
  <si>
    <t>06/06/2024</t>
  </si>
  <si>
    <t>21,86M</t>
  </si>
  <si>
    <t>05/06/2024</t>
  </si>
  <si>
    <t>04/06/2024</t>
  </si>
  <si>
    <t>03/06/2024</t>
  </si>
  <si>
    <t>5,51M</t>
  </si>
  <si>
    <t>31/05/2024</t>
  </si>
  <si>
    <t>29/05/2024</t>
  </si>
  <si>
    <t>5,75M</t>
  </si>
  <si>
    <t>15,31M</t>
  </si>
  <si>
    <t>28/05/2024</t>
  </si>
  <si>
    <t>11,91M</t>
  </si>
  <si>
    <t>27/05/2024</t>
  </si>
  <si>
    <t>4,26M</t>
  </si>
  <si>
    <t>24/05/2024</t>
  </si>
  <si>
    <t>5,36M</t>
  </si>
  <si>
    <t>23/05/2024</t>
  </si>
  <si>
    <t>22/05/2024</t>
  </si>
  <si>
    <t>0,62%</t>
  </si>
  <si>
    <t>5,27M</t>
  </si>
  <si>
    <t>21/05/2024</t>
  </si>
  <si>
    <t>20/05/2024</t>
  </si>
  <si>
    <t>8,82M</t>
  </si>
  <si>
    <t>-0,97%</t>
  </si>
  <si>
    <t>17/05/2024</t>
  </si>
  <si>
    <t>0,67%</t>
  </si>
  <si>
    <t>16/05/2024</t>
  </si>
  <si>
    <t>8,51M</t>
  </si>
  <si>
    <t>15/05/2024</t>
  </si>
  <si>
    <t>14/05/2024</t>
  </si>
  <si>
    <t>10,04M</t>
  </si>
  <si>
    <t>13/05/2024</t>
  </si>
  <si>
    <t>15,65M</t>
  </si>
  <si>
    <t>10/05/2024</t>
  </si>
  <si>
    <t>10,23M</t>
  </si>
  <si>
    <t>09/05/2024</t>
  </si>
  <si>
    <t>10,98M</t>
  </si>
  <si>
    <t>9,00M</t>
  </si>
  <si>
    <t>08/05/2024</t>
  </si>
  <si>
    <t>9,64M</t>
  </si>
  <si>
    <t>07/05/2024</t>
  </si>
  <si>
    <t>6,45M</t>
  </si>
  <si>
    <t>06/05/2024</t>
  </si>
  <si>
    <t>03/05/2024</t>
  </si>
  <si>
    <t>02/05/2024</t>
  </si>
  <si>
    <t>16,30M</t>
  </si>
  <si>
    <t>30/04/2024</t>
  </si>
  <si>
    <t>29/04/2024</t>
  </si>
  <si>
    <t>4,92M</t>
  </si>
  <si>
    <t>26/04/2024</t>
  </si>
  <si>
    <t>25/04/2024</t>
  </si>
  <si>
    <t>5,80M</t>
  </si>
  <si>
    <t>1,76%</t>
  </si>
  <si>
    <t>9,34M</t>
  </si>
  <si>
    <t>24/04/2024</t>
  </si>
  <si>
    <t>23/04/2024</t>
  </si>
  <si>
    <t>22/04/2024</t>
  </si>
  <si>
    <t>10,77M</t>
  </si>
  <si>
    <t>4,39M</t>
  </si>
  <si>
    <t>19/04/2024</t>
  </si>
  <si>
    <t>9,23M</t>
  </si>
  <si>
    <t>18/04/2024</t>
  </si>
  <si>
    <t>7,44M</t>
  </si>
  <si>
    <t>17/04/2024</t>
  </si>
  <si>
    <t>16/04/2024</t>
  </si>
  <si>
    <t>4,75M</t>
  </si>
  <si>
    <t>15/04/2024</t>
  </si>
  <si>
    <t>12,00M</t>
  </si>
  <si>
    <t>3,57M</t>
  </si>
  <si>
    <t>12/04/2024</t>
  </si>
  <si>
    <t>9,77M</t>
  </si>
  <si>
    <t>4,63M</t>
  </si>
  <si>
    <t>11/04/2024</t>
  </si>
  <si>
    <t>7,97M</t>
  </si>
  <si>
    <t>10/04/2024</t>
  </si>
  <si>
    <t>9,69M</t>
  </si>
  <si>
    <t>4,49M</t>
  </si>
  <si>
    <t>09/04/2024</t>
  </si>
  <si>
    <t>08/04/2024</t>
  </si>
  <si>
    <t>7,35M</t>
  </si>
  <si>
    <t>05/04/2024</t>
  </si>
  <si>
    <t>16,42M</t>
  </si>
  <si>
    <t>04/04/2024</t>
  </si>
  <si>
    <t>8,90M</t>
  </si>
  <si>
    <t>03/04/2024</t>
  </si>
  <si>
    <t>9,48M</t>
  </si>
  <si>
    <t>-0,58%</t>
  </si>
  <si>
    <t>02/04/2024</t>
  </si>
  <si>
    <t>8,84M</t>
  </si>
  <si>
    <t>01/04/2024</t>
  </si>
  <si>
    <t>28/03/2024</t>
  </si>
  <si>
    <t>14,99M</t>
  </si>
  <si>
    <t>7,76M</t>
  </si>
  <si>
    <t>27/03/2024</t>
  </si>
  <si>
    <t>14,86M</t>
  </si>
  <si>
    <t>26/03/2024</t>
  </si>
  <si>
    <t>9,70M</t>
  </si>
  <si>
    <t>25/03/2024</t>
  </si>
  <si>
    <t>10,82M</t>
  </si>
  <si>
    <t>4,74M</t>
  </si>
  <si>
    <t>22/03/2024</t>
  </si>
  <si>
    <t>21/03/2024</t>
  </si>
  <si>
    <t>7,83M</t>
  </si>
  <si>
    <t>20/03/2024</t>
  </si>
  <si>
    <t>8,06M</t>
  </si>
  <si>
    <t>7,23M</t>
  </si>
  <si>
    <t>19/03/2024</t>
  </si>
  <si>
    <t>4,84M</t>
  </si>
  <si>
    <t>18/03/2024</t>
  </si>
  <si>
    <t>8,63M</t>
  </si>
  <si>
    <t>15/03/2024</t>
  </si>
  <si>
    <t>4,73M</t>
  </si>
  <si>
    <t>14/03/2024</t>
  </si>
  <si>
    <t>13/03/2024</t>
  </si>
  <si>
    <t>12/03/2024</t>
  </si>
  <si>
    <t>11/03/2024</t>
  </si>
  <si>
    <t>08/03/2024</t>
  </si>
  <si>
    <t>07/03/2024</t>
  </si>
  <si>
    <t>6,76M</t>
  </si>
  <si>
    <t>06/03/2024</t>
  </si>
  <si>
    <t>8,49M</t>
  </si>
  <si>
    <t>05/03/2024</t>
  </si>
  <si>
    <t>7,70M</t>
  </si>
  <si>
    <t>04/03/2024</t>
  </si>
  <si>
    <t>01/03/2024</t>
  </si>
  <si>
    <t>29/02/2024</t>
  </si>
  <si>
    <t>28/02/2024</t>
  </si>
  <si>
    <t>27/02/2024</t>
  </si>
  <si>
    <t>26/02/2024</t>
  </si>
  <si>
    <t>10,13M</t>
  </si>
  <si>
    <t>23/02/2024</t>
  </si>
  <si>
    <t>13,60M</t>
  </si>
  <si>
    <t>1,23%</t>
  </si>
  <si>
    <t>22/02/2024</t>
  </si>
  <si>
    <t>8,39M</t>
  </si>
  <si>
    <t>21/02/2024</t>
  </si>
  <si>
    <t>11,26M</t>
  </si>
  <si>
    <t>20/02/2024</t>
  </si>
  <si>
    <t>19/02/2024</t>
  </si>
  <si>
    <t>6,20M</t>
  </si>
  <si>
    <t>16/02/2024</t>
  </si>
  <si>
    <t>15/02/2024</t>
  </si>
  <si>
    <t>14/02/2024</t>
  </si>
  <si>
    <t>8,80M</t>
  </si>
  <si>
    <t>09/02/2024</t>
  </si>
  <si>
    <t>08/02/2024</t>
  </si>
  <si>
    <t>07/02/2024</t>
  </si>
  <si>
    <t>06/02/2024</t>
  </si>
  <si>
    <t>10,18M</t>
  </si>
  <si>
    <t>05/02/2024</t>
  </si>
  <si>
    <t>02/02/2024</t>
  </si>
  <si>
    <t>13,37M</t>
  </si>
  <si>
    <t>5,94M</t>
  </si>
  <si>
    <t>01/02/2024</t>
  </si>
  <si>
    <t>6,22M</t>
  </si>
  <si>
    <t>31/01/2024</t>
  </si>
  <si>
    <t>30/01/2024</t>
  </si>
  <si>
    <t>29/01/2024</t>
  </si>
  <si>
    <t>10,86M</t>
  </si>
  <si>
    <t>26/01/2024</t>
  </si>
  <si>
    <t>25/01/2024</t>
  </si>
  <si>
    <t>24/01/2024</t>
  </si>
  <si>
    <t>23/01/2024</t>
  </si>
  <si>
    <t>22/01/2024</t>
  </si>
  <si>
    <t>12,40M</t>
  </si>
  <si>
    <t>19/01/2024</t>
  </si>
  <si>
    <t>18/01/2024</t>
  </si>
  <si>
    <t>17/01/2024</t>
  </si>
  <si>
    <t>4,33M</t>
  </si>
  <si>
    <t>16/01/2024</t>
  </si>
  <si>
    <t>7,20M</t>
  </si>
  <si>
    <t>15/01/2024</t>
  </si>
  <si>
    <t>9,85M</t>
  </si>
  <si>
    <t>12/01/2024</t>
  </si>
  <si>
    <t>15,92M</t>
  </si>
  <si>
    <t>11/01/2024</t>
  </si>
  <si>
    <t>5,78M</t>
  </si>
  <si>
    <t>10/01/2024</t>
  </si>
  <si>
    <t>09/01/2024</t>
  </si>
  <si>
    <t>13,69M</t>
  </si>
  <si>
    <t>08/01/2024</t>
  </si>
  <si>
    <t>05/01/2024</t>
  </si>
  <si>
    <t>04/01/2024</t>
  </si>
  <si>
    <t>6,57M</t>
  </si>
  <si>
    <t>03/01/2024</t>
  </si>
  <si>
    <t>02/01/2024</t>
  </si>
  <si>
    <t>11,28M</t>
  </si>
  <si>
    <t>PU Base Manhã</t>
  </si>
  <si>
    <t>PU Venda Manhã</t>
  </si>
  <si>
    <t>PU Compra Manhã</t>
  </si>
  <si>
    <t>Taxa Venda Manhã</t>
  </si>
  <si>
    <t>Taxa Compra Manhã</t>
  </si>
  <si>
    <t>Dia</t>
  </si>
  <si>
    <t>Var%</t>
  </si>
  <si>
    <t>Vol.</t>
  </si>
  <si>
    <t>Mínima</t>
  </si>
  <si>
    <t>Máxima</t>
  </si>
  <si>
    <t>Abertura</t>
  </si>
  <si>
    <t>Último</t>
  </si>
  <si>
    <t>15/05/2055</t>
  </si>
  <si>
    <t>IBOVESPA Index: (Fonte Investing)</t>
  </si>
  <si>
    <t>USD/BRL: (Fonte Investing)</t>
  </si>
  <si>
    <t>MSCI Index: (Fonte Investing)</t>
  </si>
  <si>
    <t>PRIO Cotação  (Fonte: Investing)</t>
  </si>
  <si>
    <t>Equity Risk Premium</t>
  </si>
  <si>
    <t>Beta Local</t>
  </si>
  <si>
    <t>Inflação</t>
  </si>
  <si>
    <t>Beta Global</t>
  </si>
  <si>
    <t>Risk Free Rate:</t>
  </si>
  <si>
    <t>Ke Local</t>
  </si>
  <si>
    <t>Ke Global</t>
  </si>
  <si>
    <t>Variação Diária IBOVESPA Index</t>
  </si>
  <si>
    <t>IBOVESPA Index</t>
  </si>
  <si>
    <t>Variação Diári MSCI Index</t>
  </si>
  <si>
    <t>MSCI Index</t>
  </si>
  <si>
    <t>Variação Diária PRIO USD</t>
  </si>
  <si>
    <t>PRIO USD</t>
  </si>
  <si>
    <t>Variação Diária BRL</t>
  </si>
  <si>
    <t>PRIO BRL</t>
  </si>
  <si>
    <t xml:space="preserve"> Tesouro Direto NTNB</t>
  </si>
  <si>
    <t>Preço com Ke Alternativos</t>
  </si>
  <si>
    <t>FCFE Descontado</t>
  </si>
  <si>
    <t>FCFE dos novos investimentos</t>
  </si>
  <si>
    <t>FCFE - Premissa de Reinvestimentos</t>
  </si>
  <si>
    <t>FCFE Desconto - Novos Investimentos</t>
  </si>
  <si>
    <t>FCFE Desconto - Premissa Reinvestimentos Total</t>
  </si>
  <si>
    <t>Fluxo de Caixa para os Acionistas BRL</t>
  </si>
  <si>
    <t>Teste com Ke Local</t>
  </si>
  <si>
    <t>Teste com Ke Global</t>
  </si>
  <si>
    <t>Fluxo de Caixa para os Acionistas USD</t>
  </si>
  <si>
    <t>Equity Value USD</t>
  </si>
  <si>
    <t>USD/ação</t>
  </si>
  <si>
    <t>Dólar: 15/03/2023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</si>
</sst>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2" formatCode="_-&quot;R$&quot;\ * #,##0_-;\-&quot;R$&quot;\ * #,##0_-;_-&quot;R$&quot;\ * &quot;-&quot;_-;_-@_-"/>
    <numFmt numFmtId="41" formatCode="_-* #,##0_-;\-* #,##0_-;_-* &quot;-&quot;_-;_-@_-"/>
    <numFmt numFmtId="44" formatCode="_-&quot;R$&quot;\ * #,##0.00_-;\-&quot;R$&quot;\ * #,##0.00_-;_-&quot;R$&quot;\ * &quot;-&quot;??_-;_-@_-"/>
    <numFmt numFmtId="43" formatCode="_-* #,##0.00_-;\-* #,##0.00_-;_-* &quot;-&quot;??_-;_-@_-"/>
    <numFmt numFmtId="164" formatCode="0.0%"/>
    <numFmt numFmtId="165" formatCode="_(* #,##0.00_);_(* \(#,##0.00\);_(* &quot; - &quot;??_);_(@_)"/>
    <numFmt numFmtId="166" formatCode="#,##0.0"/>
    <numFmt numFmtId="167" formatCode="0.0000"/>
    <numFmt numFmtId="168" formatCode="#,##0.00\x"/>
    <numFmt numFmtId="169" formatCode="#,##0.000"/>
    <numFmt numFmtId="170" formatCode="0.0"/>
    <numFmt numFmtId="171" formatCode="_-* #,##0_-;\-* #,##0_-;_-* &quot;-&quot;??_-;_-@_-"/>
    <numFmt numFmtId="172" formatCode="#,##0.0000"/>
    <numFmt numFmtId="173" formatCode="0.000000"/>
  </numFmts>
  <fonts count="55" x14ac:knownFonts="1">
    <font>
      <sz val="11"/>
      <color theme="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sz val="11"/>
      <color rgb="FFFA7D00"/>
      <name val="Calibri"/>
      <family val="2"/>
      <scheme val="minor"/>
    </font>
    <font>
      <sz val="7"/>
      <color theme="1"/>
      <name val="Calibri"/>
      <family val="2"/>
      <scheme val="minor"/>
    </font>
    <font>
      <sz val="10"/>
      <color theme="1"/>
      <name val="Calibri"/>
      <family val="2"/>
      <scheme val="minor"/>
    </font>
    <font>
      <b/>
      <sz val="10"/>
      <color theme="0"/>
      <name val="Calibri"/>
      <family val="2"/>
      <scheme val="minor"/>
    </font>
    <font>
      <b/>
      <sz val="10"/>
      <color theme="1"/>
      <name val="Calibri"/>
      <family val="2"/>
      <scheme val="minor"/>
    </font>
    <font>
      <b/>
      <sz val="11"/>
      <color rgb="FFFF0000"/>
      <name val="Calibri"/>
      <family val="2"/>
      <scheme val="minor"/>
    </font>
    <font>
      <b/>
      <sz val="10"/>
      <color rgb="FFC00000"/>
      <name val="Calibri"/>
      <family val="2"/>
      <scheme val="minor"/>
    </font>
    <font>
      <sz val="11"/>
      <color theme="1"/>
      <name val="Arial"/>
      <family val="2"/>
    </font>
    <font>
      <b/>
      <sz val="11"/>
      <name val="Arial"/>
      <family val="2"/>
    </font>
    <font>
      <b/>
      <sz val="11"/>
      <color theme="1"/>
      <name val="Calibri"/>
      <family val="2"/>
      <scheme val="minor"/>
    </font>
    <font>
      <sz val="7"/>
      <color theme="1"/>
      <name val="Helvetica"/>
      <family val="2"/>
    </font>
    <font>
      <b/>
      <sz val="11"/>
      <color rgb="FFC00000"/>
      <name val="Calibri"/>
      <family val="2"/>
      <scheme val="minor"/>
    </font>
    <font>
      <sz val="11"/>
      <color rgb="FFC00000"/>
      <name val="Calibri"/>
      <family val="2"/>
      <scheme val="minor"/>
    </font>
    <font>
      <b/>
      <sz val="11"/>
      <color theme="7" tint="-0.499984740745262"/>
      <name val="Calibri"/>
      <family val="2"/>
      <scheme val="minor"/>
    </font>
    <font>
      <sz val="11"/>
      <color theme="7" tint="-0.499984740745262"/>
      <name val="Calibri"/>
      <family val="2"/>
      <scheme val="minor"/>
    </font>
    <font>
      <sz val="8"/>
      <name val="Calibri"/>
      <family val="2"/>
      <scheme val="minor"/>
    </font>
    <font>
      <sz val="8"/>
      <color theme="1"/>
      <name val="Calibri"/>
      <family val="2"/>
      <scheme val="minor"/>
    </font>
    <font>
      <b/>
      <sz val="11"/>
      <color theme="0"/>
      <name val="Calibri"/>
      <family val="2"/>
      <scheme val="minor"/>
    </font>
    <font>
      <sz val="9"/>
      <color indexed="81"/>
      <name val="Segoe UI"/>
      <family val="2"/>
    </font>
    <font>
      <b/>
      <sz val="9"/>
      <color indexed="81"/>
      <name val="Segoe UI"/>
      <family val="2"/>
    </font>
    <font>
      <sz val="11"/>
      <color theme="1"/>
      <name val="Calibri"/>
      <family val="2"/>
    </font>
    <font>
      <b/>
      <sz val="10"/>
      <color rgb="FF333333"/>
      <name val="Times New Roman"/>
      <family val="1"/>
    </font>
    <font>
      <sz val="10"/>
      <color rgb="FF333333"/>
      <name val="Times New Roman"/>
      <family val="1"/>
    </font>
    <font>
      <b/>
      <sz val="10"/>
      <name val="Arial"/>
      <family val="2"/>
    </font>
    <font>
      <b/>
      <i/>
      <sz val="10"/>
      <name val="Verdana"/>
      <family val="2"/>
    </font>
    <font>
      <sz val="8"/>
      <name val="Arial"/>
      <family val="2"/>
    </font>
    <font>
      <sz val="11"/>
      <color rgb="FFE00AA8"/>
      <name val="Calibri"/>
      <family val="2"/>
      <scheme val="minor"/>
    </font>
    <font>
      <b/>
      <sz val="10"/>
      <color rgb="FFE00AA8"/>
      <name val="Calibri"/>
      <family val="2"/>
      <scheme val="minor"/>
    </font>
    <font>
      <i/>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rgb="FF3F3F3F"/>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1"/>
      <color theme="1"/>
      <name val="Arial"/>
      <family val="2"/>
    </font>
    <font>
      <b/>
      <vertAlign val="superscript"/>
      <sz val="11"/>
      <color theme="1"/>
      <name val="Arial"/>
      <family val="2"/>
    </font>
    <font>
      <sz val="11"/>
      <color rgb="FFFFFFFF"/>
      <name val="Arial"/>
      <family val="2"/>
    </font>
    <font>
      <b/>
      <i/>
      <sz val="10"/>
      <color theme="1"/>
      <name val="Verdana"/>
      <family val="2"/>
    </font>
    <font>
      <sz val="10"/>
      <name val="Verdana"/>
      <family val="2"/>
    </font>
    <font>
      <sz val="9"/>
      <color rgb="FF000000"/>
      <name val="Arial"/>
      <family val="2"/>
    </font>
    <font>
      <sz val="9"/>
      <color theme="1"/>
      <name val="Arial"/>
      <family val="2"/>
    </font>
    <font>
      <sz val="9"/>
      <color rgb="FF333333"/>
      <name val="Arial"/>
      <family val="2"/>
    </font>
    <font>
      <sz val="9"/>
      <color rgb="FF0015AA"/>
      <name val="Arial"/>
      <family val="2"/>
    </font>
    <font>
      <sz val="9"/>
      <color rgb="FF3297D3"/>
      <name val="Arial"/>
      <family val="2"/>
    </font>
    <font>
      <i/>
      <sz val="11"/>
      <color theme="7" tint="-0.499984740745262"/>
      <name val="Calibri"/>
      <family val="2"/>
      <scheme val="minor"/>
    </font>
  </fonts>
  <fills count="51">
    <fill>
      <patternFill patternType="none"/>
    </fill>
    <fill>
      <patternFill patternType="gray125"/>
    </fill>
    <fill>
      <patternFill patternType="solid">
        <fgColor rgb="FFFFCC99"/>
      </patternFill>
    </fill>
    <fill>
      <patternFill patternType="solid">
        <fgColor rgb="FFF2F2F2"/>
      </patternFill>
    </fill>
    <fill>
      <patternFill patternType="solid">
        <fgColor theme="4" tint="0.79998168889431442"/>
        <bgColor indexed="64"/>
      </patternFill>
    </fill>
    <fill>
      <patternFill patternType="solid">
        <fgColor theme="4" tint="-0.49998474074526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4" tint="0.39997558519241921"/>
        <bgColor indexed="65"/>
      </patternFill>
    </fill>
    <fill>
      <patternFill patternType="solid">
        <fgColor theme="9" tint="0.79998168889431442"/>
        <bgColor indexed="64"/>
      </patternFill>
    </fill>
    <fill>
      <patternFill patternType="solid">
        <fgColor theme="9" tint="0.79998168889431442"/>
        <bgColor indexed="65"/>
      </patternFill>
    </fill>
    <fill>
      <patternFill patternType="solid">
        <fgColor theme="0" tint="-4.9989318521683403E-2"/>
        <bgColor indexed="64"/>
      </patternFill>
    </fill>
    <fill>
      <patternFill patternType="solid">
        <fgColor theme="1"/>
        <bgColor indexed="64"/>
      </patternFill>
    </fill>
    <fill>
      <patternFill patternType="solid">
        <fgColor rgb="FFFFFFFF"/>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0" tint="-0.14999847407452621"/>
        <bgColor theme="0" tint="-0.14999847407452621"/>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theme="0" tint="-0.14999847407452621"/>
      </patternFill>
    </fill>
    <fill>
      <patternFill patternType="solid">
        <fgColor rgb="FFEEEEEE"/>
        <bgColor auto="1"/>
      </patternFill>
    </fill>
    <fill>
      <patternFill patternType="solid">
        <fgColor rgb="FFFFFFFF"/>
        <bgColor auto="1"/>
      </patternFill>
    </fill>
    <fill>
      <patternFill patternType="solid">
        <fgColor rgb="FFFEE6F8"/>
        <bgColor indexed="64"/>
      </patternFill>
    </fill>
  </fills>
  <borders count="22">
    <border>
      <left/>
      <right/>
      <top/>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style="thin">
        <color theme="2" tint="-9.9948118533890809E-2"/>
      </top>
      <bottom/>
      <diagonal/>
    </border>
    <border>
      <left/>
      <right style="thin">
        <color theme="2" tint="-9.9948118533890809E-2"/>
      </right>
      <top style="thin">
        <color theme="2" tint="-9.9948118533890809E-2"/>
      </top>
      <bottom/>
      <diagonal/>
    </border>
    <border>
      <left style="thin">
        <color theme="2" tint="-9.9917600024414813E-2"/>
      </left>
      <right style="thin">
        <color theme="2" tint="-9.9917600024414813E-2"/>
      </right>
      <top style="thin">
        <color theme="2" tint="-9.9917600024414813E-2"/>
      </top>
      <bottom/>
      <diagonal/>
    </border>
    <border>
      <left style="thin">
        <color theme="2" tint="-9.9948118533890809E-2"/>
      </left>
      <right style="thin">
        <color theme="2" tint="-9.9948118533890809E-2"/>
      </right>
      <top style="thin">
        <color theme="2" tint="-9.9948118533890809E-2"/>
      </top>
      <bottom style="thin">
        <color theme="2" tint="-9.9917600024414813E-2"/>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D0D7E5"/>
      </left>
      <right style="thin">
        <color rgb="FFD0D7E5"/>
      </right>
      <top style="thin">
        <color rgb="FFD0D7E5"/>
      </top>
      <bottom style="thin">
        <color rgb="FFD0D7E5"/>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8">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8" borderId="0" applyNumberFormat="0" applyBorder="0" applyAlignment="0" applyProtection="0"/>
    <xf numFmtId="0" fontId="1" fillId="10" borderId="0" applyNumberFormat="0" applyBorder="0" applyAlignment="0" applyProtection="0"/>
    <xf numFmtId="41"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0" fontId="33" fillId="0" borderId="0" applyNumberFormat="0" applyFill="0" applyBorder="0" applyAlignment="0" applyProtection="0"/>
    <xf numFmtId="0" fontId="34" fillId="0" borderId="11" applyNumberFormat="0" applyFill="0" applyAlignment="0" applyProtection="0"/>
    <xf numFmtId="0" fontId="35" fillId="0" borderId="12" applyNumberFormat="0" applyFill="0" applyAlignment="0" applyProtection="0"/>
    <xf numFmtId="0" fontId="36" fillId="0" borderId="13" applyNumberFormat="0" applyFill="0" applyAlignment="0" applyProtection="0"/>
    <xf numFmtId="0" fontId="36" fillId="0" borderId="0" applyNumberFormat="0" applyFill="0" applyBorder="0" applyAlignment="0" applyProtection="0"/>
    <xf numFmtId="0" fontId="37" fillId="20" borderId="0" applyNumberFormat="0" applyBorder="0" applyAlignment="0" applyProtection="0"/>
    <xf numFmtId="0" fontId="38" fillId="21" borderId="0" applyNumberFormat="0" applyBorder="0" applyAlignment="0" applyProtection="0"/>
    <xf numFmtId="0" fontId="39" fillId="22" borderId="0" applyNumberFormat="0" applyBorder="0" applyAlignment="0" applyProtection="0"/>
    <xf numFmtId="0" fontId="2" fillId="2" borderId="1" applyNumberFormat="0" applyAlignment="0" applyProtection="0"/>
    <xf numFmtId="0" fontId="40" fillId="3" borderId="14" applyNumberFormat="0" applyAlignment="0" applyProtection="0"/>
    <xf numFmtId="0" fontId="3" fillId="3" borderId="1" applyNumberFormat="0" applyAlignment="0" applyProtection="0"/>
    <xf numFmtId="0" fontId="4" fillId="0" borderId="15" applyNumberFormat="0" applyFill="0" applyAlignment="0" applyProtection="0"/>
    <xf numFmtId="0" fontId="21" fillId="23" borderId="16" applyNumberFormat="0" applyAlignment="0" applyProtection="0"/>
    <xf numFmtId="0" fontId="41" fillId="0" borderId="0" applyNumberFormat="0" applyFill="0" applyBorder="0" applyAlignment="0" applyProtection="0"/>
    <xf numFmtId="0" fontId="1" fillId="24" borderId="17" applyNumberFormat="0" applyFont="0" applyAlignment="0" applyProtection="0"/>
    <xf numFmtId="0" fontId="42" fillId="0" borderId="0" applyNumberFormat="0" applyFill="0" applyBorder="0" applyAlignment="0" applyProtection="0"/>
    <xf numFmtId="0" fontId="13" fillId="0" borderId="18" applyNumberFormat="0" applyFill="0" applyAlignment="0" applyProtection="0"/>
    <xf numFmtId="0" fontId="43"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43"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3"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43"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43"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43"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9" fontId="1" fillId="0" borderId="0" applyFont="0" applyFill="0" applyBorder="0" applyAlignment="0" applyProtection="0"/>
  </cellStyleXfs>
  <cellXfs count="298">
    <xf numFmtId="0" fontId="0" fillId="0" borderId="0" xfId="0"/>
    <xf numFmtId="3" fontId="0" fillId="0" borderId="0" xfId="0" applyNumberFormat="1"/>
    <xf numFmtId="0" fontId="6" fillId="0" borderId="0" xfId="0" applyFont="1"/>
    <xf numFmtId="0" fontId="7" fillId="5" borderId="0" xfId="0" applyFont="1" applyFill="1"/>
    <xf numFmtId="0" fontId="8" fillId="0" borderId="0" xfId="0" applyFont="1"/>
    <xf numFmtId="0" fontId="6" fillId="0" borderId="0" xfId="0" applyFont="1" applyAlignment="1">
      <alignment horizontal="left" indent="1"/>
    </xf>
    <xf numFmtId="0" fontId="8" fillId="0" borderId="0" xfId="0" applyFont="1" applyAlignment="1">
      <alignment horizontal="left"/>
    </xf>
    <xf numFmtId="0" fontId="8" fillId="0" borderId="0" xfId="0" applyFont="1" applyAlignment="1">
      <alignment horizontal="left" indent="1"/>
    </xf>
    <xf numFmtId="0" fontId="11" fillId="0" borderId="0" xfId="0" applyFont="1"/>
    <xf numFmtId="37" fontId="12" fillId="0" borderId="0" xfId="0" applyNumberFormat="1" applyFont="1" applyAlignment="1">
      <alignment horizontal="center"/>
    </xf>
    <xf numFmtId="0" fontId="12" fillId="0" borderId="2" xfId="0" quotePrefix="1" applyFont="1" applyBorder="1" applyAlignment="1">
      <alignment horizontal="center"/>
    </xf>
    <xf numFmtId="0" fontId="5" fillId="0" borderId="0" xfId="0" applyFont="1" applyAlignment="1">
      <alignment horizontal="center"/>
    </xf>
    <xf numFmtId="43" fontId="9" fillId="6" borderId="0" xfId="0" applyNumberFormat="1" applyFont="1" applyFill="1" applyAlignment="1">
      <alignment horizontal="center"/>
    </xf>
    <xf numFmtId="164" fontId="11" fillId="0" borderId="0" xfId="0" applyNumberFormat="1" applyFont="1"/>
    <xf numFmtId="0" fontId="0" fillId="0" borderId="0" xfId="0" applyAlignment="1">
      <alignment horizontal="centerContinuous"/>
    </xf>
    <xf numFmtId="0" fontId="0" fillId="0" borderId="2" xfId="0" applyBorder="1" applyAlignment="1">
      <alignment horizontal="centerContinuous"/>
    </xf>
    <xf numFmtId="0" fontId="0" fillId="0" borderId="0" xfId="0" applyAlignment="1">
      <alignment horizontal="center"/>
    </xf>
    <xf numFmtId="37" fontId="0" fillId="0" borderId="0" xfId="0" applyNumberFormat="1"/>
    <xf numFmtId="165" fontId="0" fillId="0" borderId="0" xfId="0" applyNumberFormat="1"/>
    <xf numFmtId="37" fontId="0" fillId="0" borderId="2" xfId="0" applyNumberFormat="1" applyBorder="1"/>
    <xf numFmtId="0" fontId="0" fillId="0" borderId="0" xfId="0" applyAlignment="1">
      <alignment horizontal="right"/>
    </xf>
    <xf numFmtId="0" fontId="6" fillId="0" borderId="0" xfId="0" applyFont="1" applyAlignment="1">
      <alignment horizontal="left" indent="2"/>
    </xf>
    <xf numFmtId="0" fontId="6" fillId="0" borderId="0" xfId="0" applyFont="1" applyAlignment="1">
      <alignment horizontal="left"/>
    </xf>
    <xf numFmtId="3" fontId="8" fillId="0" borderId="0" xfId="0" applyNumberFormat="1" applyFont="1"/>
    <xf numFmtId="3" fontId="6" fillId="0" borderId="0" xfId="0" applyNumberFormat="1" applyFont="1"/>
    <xf numFmtId="0" fontId="1" fillId="0" borderId="0" xfId="0" applyFont="1"/>
    <xf numFmtId="4" fontId="6" fillId="0" borderId="0" xfId="0" applyNumberFormat="1" applyFont="1"/>
    <xf numFmtId="10" fontId="6" fillId="0" borderId="0" xfId="0" applyNumberFormat="1" applyFont="1"/>
    <xf numFmtId="4" fontId="8" fillId="0" borderId="0" xfId="0" applyNumberFormat="1" applyFont="1"/>
    <xf numFmtId="164" fontId="6" fillId="0" borderId="0" xfId="0" applyNumberFormat="1" applyFont="1"/>
    <xf numFmtId="3" fontId="14" fillId="0" borderId="0" xfId="0" applyNumberFormat="1" applyFont="1" applyAlignment="1">
      <alignment horizontal="right"/>
    </xf>
    <xf numFmtId="164" fontId="10" fillId="6" borderId="0" xfId="0" applyNumberFormat="1" applyFont="1" applyFill="1"/>
    <xf numFmtId="9" fontId="1" fillId="0" borderId="0" xfId="0" applyNumberFormat="1" applyFont="1"/>
    <xf numFmtId="10" fontId="1" fillId="0" borderId="0" xfId="0" applyNumberFormat="1" applyFont="1"/>
    <xf numFmtId="0" fontId="13" fillId="0" borderId="0" xfId="0" applyFont="1"/>
    <xf numFmtId="49" fontId="0" fillId="0" borderId="0" xfId="0" applyNumberFormat="1"/>
    <xf numFmtId="2" fontId="0" fillId="0" borderId="0" xfId="0" applyNumberFormat="1"/>
    <xf numFmtId="3" fontId="0" fillId="7" borderId="0" xfId="0" applyNumberFormat="1" applyFill="1"/>
    <xf numFmtId="3" fontId="13" fillId="0" borderId="0" xfId="0" applyNumberFormat="1" applyFont="1"/>
    <xf numFmtId="3" fontId="0" fillId="4" borderId="0" xfId="0" applyNumberFormat="1" applyFill="1"/>
    <xf numFmtId="3" fontId="13" fillId="4" borderId="0" xfId="0" applyNumberFormat="1" applyFont="1" applyFill="1"/>
    <xf numFmtId="0" fontId="13" fillId="9" borderId="0" xfId="0" applyFont="1" applyFill="1"/>
    <xf numFmtId="3" fontId="0" fillId="0" borderId="0" xfId="0" applyNumberFormat="1" applyAlignment="1">
      <alignment horizontal="left" indent="1"/>
    </xf>
    <xf numFmtId="0" fontId="0" fillId="0" borderId="0" xfId="0" applyAlignment="1">
      <alignment horizontal="left" indent="1"/>
    </xf>
    <xf numFmtId="0" fontId="0" fillId="0" borderId="0" xfId="0" applyAlignment="1">
      <alignment horizontal="left" indent="2"/>
    </xf>
    <xf numFmtId="0" fontId="0" fillId="9" borderId="0" xfId="0" applyFill="1"/>
    <xf numFmtId="166" fontId="0" fillId="0" borderId="0" xfId="0" applyNumberFormat="1"/>
    <xf numFmtId="3" fontId="0" fillId="0" borderId="0" xfId="0" applyNumberFormat="1" applyAlignment="1">
      <alignment horizontal="left" indent="2"/>
    </xf>
    <xf numFmtId="3" fontId="17" fillId="11" borderId="4" xfId="0" applyNumberFormat="1" applyFont="1" applyFill="1" applyBorder="1" applyAlignment="1">
      <alignment horizontal="right"/>
    </xf>
    <xf numFmtId="3" fontId="16" fillId="9" borderId="5" xfId="0" applyNumberFormat="1" applyFont="1" applyFill="1" applyBorder="1" applyAlignment="1">
      <alignment horizontal="right"/>
    </xf>
    <xf numFmtId="3" fontId="16" fillId="9" borderId="3" xfId="0" applyNumberFormat="1" applyFont="1" applyFill="1" applyBorder="1" applyAlignment="1">
      <alignment horizontal="right"/>
    </xf>
    <xf numFmtId="3" fontId="18" fillId="11" borderId="4" xfId="0" applyNumberFormat="1" applyFont="1" applyFill="1" applyBorder="1" applyAlignment="1">
      <alignment horizontal="right"/>
    </xf>
    <xf numFmtId="3" fontId="18" fillId="11" borderId="7" xfId="0" applyNumberFormat="1" applyFont="1" applyFill="1" applyBorder="1" applyAlignment="1">
      <alignment horizontal="right"/>
    </xf>
    <xf numFmtId="3" fontId="18" fillId="12" borderId="0" xfId="0" applyNumberFormat="1" applyFont="1" applyFill="1" applyAlignment="1">
      <alignment horizontal="right"/>
    </xf>
    <xf numFmtId="3" fontId="16" fillId="9" borderId="6" xfId="0" applyNumberFormat="1" applyFont="1" applyFill="1" applyBorder="1" applyAlignment="1">
      <alignment horizontal="right"/>
    </xf>
    <xf numFmtId="3" fontId="16" fillId="9" borderId="8" xfId="0" applyNumberFormat="1" applyFont="1" applyFill="1" applyBorder="1" applyAlignment="1">
      <alignment horizontal="right"/>
    </xf>
    <xf numFmtId="3" fontId="0" fillId="0" borderId="0" xfId="0" applyNumberFormat="1" applyAlignment="1">
      <alignment horizontal="right"/>
    </xf>
    <xf numFmtId="166" fontId="0" fillId="0" borderId="0" xfId="0" applyNumberFormat="1" applyAlignment="1">
      <alignment horizontal="right"/>
    </xf>
    <xf numFmtId="166" fontId="16" fillId="9" borderId="8" xfId="0" applyNumberFormat="1" applyFont="1" applyFill="1" applyBorder="1" applyAlignment="1">
      <alignment horizontal="right"/>
    </xf>
    <xf numFmtId="166" fontId="17" fillId="11" borderId="4" xfId="0" applyNumberFormat="1" applyFont="1" applyFill="1" applyBorder="1" applyAlignment="1">
      <alignment horizontal="right"/>
    </xf>
    <xf numFmtId="4" fontId="16" fillId="9" borderId="8" xfId="0" applyNumberFormat="1" applyFont="1" applyFill="1" applyBorder="1" applyAlignment="1">
      <alignment horizontal="right"/>
    </xf>
    <xf numFmtId="4" fontId="17" fillId="11" borderId="4" xfId="0" applyNumberFormat="1" applyFont="1" applyFill="1" applyBorder="1" applyAlignment="1">
      <alignment horizontal="right"/>
    </xf>
    <xf numFmtId="164" fontId="0" fillId="0" borderId="0" xfId="0" applyNumberFormat="1" applyAlignment="1">
      <alignment horizontal="right"/>
    </xf>
    <xf numFmtId="3" fontId="17" fillId="12" borderId="0" xfId="0" applyNumberFormat="1" applyFont="1" applyFill="1" applyAlignment="1">
      <alignment horizontal="right"/>
    </xf>
    <xf numFmtId="3" fontId="13" fillId="0" borderId="0" xfId="0" applyNumberFormat="1" applyFont="1" applyAlignment="1">
      <alignment horizontal="left" indent="1"/>
    </xf>
    <xf numFmtId="49" fontId="0" fillId="0" borderId="0" xfId="0" applyNumberFormat="1" applyAlignment="1">
      <alignment horizontal="left" indent="2"/>
    </xf>
    <xf numFmtId="3" fontId="15" fillId="9" borderId="5" xfId="0" applyNumberFormat="1" applyFont="1" applyFill="1" applyBorder="1" applyAlignment="1">
      <alignment horizontal="right"/>
    </xf>
    <xf numFmtId="0" fontId="13" fillId="0" borderId="0" xfId="0" applyFont="1" applyAlignment="1">
      <alignment horizontal="left"/>
    </xf>
    <xf numFmtId="14" fontId="0" fillId="0" borderId="0" xfId="0" applyNumberFormat="1"/>
    <xf numFmtId="164" fontId="17" fillId="11" borderId="4" xfId="0" applyNumberFormat="1" applyFont="1" applyFill="1" applyBorder="1" applyAlignment="1">
      <alignment horizontal="right"/>
    </xf>
    <xf numFmtId="4" fontId="18" fillId="11" borderId="4" xfId="0" applyNumberFormat="1" applyFont="1" applyFill="1" applyBorder="1" applyAlignment="1">
      <alignment horizontal="right"/>
    </xf>
    <xf numFmtId="166" fontId="18" fillId="11" borderId="4" xfId="0" applyNumberFormat="1" applyFont="1" applyFill="1" applyBorder="1" applyAlignment="1">
      <alignment horizontal="right"/>
    </xf>
    <xf numFmtId="0" fontId="6" fillId="12" borderId="0" xfId="0" applyFont="1" applyFill="1" applyAlignment="1">
      <alignment horizontal="left" indent="1"/>
    </xf>
    <xf numFmtId="3" fontId="15" fillId="9" borderId="8" xfId="0" applyNumberFormat="1" applyFont="1" applyFill="1" applyBorder="1" applyAlignment="1">
      <alignment horizontal="right"/>
    </xf>
    <xf numFmtId="164" fontId="18" fillId="11" borderId="4" xfId="0" applyNumberFormat="1" applyFont="1" applyFill="1" applyBorder="1" applyAlignment="1">
      <alignment horizontal="right"/>
    </xf>
    <xf numFmtId="2" fontId="16" fillId="9" borderId="8" xfId="0" applyNumberFormat="1" applyFont="1" applyFill="1" applyBorder="1" applyAlignment="1">
      <alignment horizontal="right"/>
    </xf>
    <xf numFmtId="164" fontId="0" fillId="0" borderId="0" xfId="0" applyNumberFormat="1"/>
    <xf numFmtId="0" fontId="16" fillId="0" borderId="0" xfId="0" applyFont="1"/>
    <xf numFmtId="1" fontId="16" fillId="9" borderId="8" xfId="0" applyNumberFormat="1" applyFont="1" applyFill="1" applyBorder="1" applyAlignment="1">
      <alignment horizontal="right"/>
    </xf>
    <xf numFmtId="164" fontId="16" fillId="9" borderId="8" xfId="0" applyNumberFormat="1" applyFont="1" applyFill="1" applyBorder="1" applyAlignment="1">
      <alignment horizontal="right"/>
    </xf>
    <xf numFmtId="4" fontId="16" fillId="11" borderId="4" xfId="0" applyNumberFormat="1" applyFont="1" applyFill="1" applyBorder="1" applyAlignment="1">
      <alignment horizontal="right"/>
    </xf>
    <xf numFmtId="0" fontId="0" fillId="0" borderId="0" xfId="0" applyAlignment="1">
      <alignment vertical="center"/>
    </xf>
    <xf numFmtId="0" fontId="0" fillId="0" borderId="0" xfId="0" applyAlignment="1">
      <alignment horizontal="left"/>
    </xf>
    <xf numFmtId="0" fontId="0" fillId="0" borderId="9" xfId="0" applyBorder="1"/>
    <xf numFmtId="0" fontId="0" fillId="0" borderId="9" xfId="0" applyBorder="1" applyAlignment="1">
      <alignment horizontal="center"/>
    </xf>
    <xf numFmtId="2" fontId="0" fillId="0" borderId="9" xfId="0" applyNumberFormat="1" applyBorder="1" applyAlignment="1">
      <alignment horizontal="center"/>
    </xf>
    <xf numFmtId="10" fontId="0" fillId="0" borderId="9" xfId="0" applyNumberFormat="1" applyBorder="1" applyAlignment="1">
      <alignment horizontal="center"/>
    </xf>
    <xf numFmtId="167" fontId="0" fillId="0" borderId="9" xfId="0" applyNumberFormat="1" applyBorder="1" applyAlignment="1">
      <alignment horizontal="center"/>
    </xf>
    <xf numFmtId="3" fontId="20" fillId="0" borderId="0" xfId="0" applyNumberFormat="1" applyFont="1"/>
    <xf numFmtId="3" fontId="1" fillId="0" borderId="0" xfId="0" applyNumberFormat="1" applyFont="1"/>
    <xf numFmtId="3" fontId="17" fillId="11" borderId="0" xfId="0" applyNumberFormat="1" applyFont="1" applyFill="1" applyAlignment="1">
      <alignment horizontal="right"/>
    </xf>
    <xf numFmtId="168" fontId="18" fillId="11" borderId="4" xfId="0" applyNumberFormat="1" applyFont="1" applyFill="1" applyBorder="1" applyAlignment="1">
      <alignment horizontal="right"/>
    </xf>
    <xf numFmtId="164" fontId="16" fillId="9" borderId="5" xfId="0" applyNumberFormat="1" applyFont="1" applyFill="1" applyBorder="1" applyAlignment="1">
      <alignment horizontal="right"/>
    </xf>
    <xf numFmtId="164" fontId="17" fillId="11" borderId="7" xfId="0" applyNumberFormat="1" applyFont="1" applyFill="1" applyBorder="1" applyAlignment="1">
      <alignment horizontal="right"/>
    </xf>
    <xf numFmtId="2" fontId="17" fillId="11" borderId="4" xfId="0" applyNumberFormat="1" applyFont="1" applyFill="1" applyBorder="1" applyAlignment="1">
      <alignment horizontal="right"/>
    </xf>
    <xf numFmtId="169" fontId="0" fillId="0" borderId="0" xfId="0" applyNumberFormat="1"/>
    <xf numFmtId="1" fontId="6" fillId="0" borderId="0" xfId="0" applyNumberFormat="1" applyFont="1"/>
    <xf numFmtId="2" fontId="18" fillId="11" borderId="4" xfId="0" applyNumberFormat="1" applyFont="1" applyFill="1" applyBorder="1" applyAlignment="1">
      <alignment horizontal="right"/>
    </xf>
    <xf numFmtId="3" fontId="18" fillId="11" borderId="0" xfId="0" applyNumberFormat="1" applyFont="1" applyFill="1" applyAlignment="1">
      <alignment horizontal="right"/>
    </xf>
    <xf numFmtId="4" fontId="0" fillId="0" borderId="0" xfId="0" applyNumberFormat="1"/>
    <xf numFmtId="170" fontId="18" fillId="11" borderId="4" xfId="0" applyNumberFormat="1" applyFont="1" applyFill="1" applyBorder="1" applyAlignment="1">
      <alignment horizontal="right"/>
    </xf>
    <xf numFmtId="0" fontId="25" fillId="14" borderId="10" xfId="0" applyFont="1" applyFill="1" applyBorder="1" applyAlignment="1">
      <alignment horizontal="center" vertical="center" wrapText="1"/>
    </xf>
    <xf numFmtId="3" fontId="26" fillId="15" borderId="10" xfId="0" applyNumberFormat="1" applyFont="1" applyFill="1" applyBorder="1" applyAlignment="1">
      <alignment vertical="top" wrapText="1"/>
    </xf>
    <xf numFmtId="3" fontId="26" fillId="15" borderId="10" xfId="0" applyNumberFormat="1" applyFont="1" applyFill="1" applyBorder="1" applyAlignment="1">
      <alignment horizontal="center" vertical="top" wrapText="1"/>
    </xf>
    <xf numFmtId="3" fontId="26" fillId="13" borderId="10" xfId="0" applyNumberFormat="1" applyFont="1" applyFill="1" applyBorder="1" applyAlignment="1">
      <alignment vertical="top" wrapText="1"/>
    </xf>
    <xf numFmtId="3" fontId="26" fillId="13" borderId="10" xfId="0" applyNumberFormat="1" applyFont="1" applyFill="1" applyBorder="1" applyAlignment="1">
      <alignment horizontal="center" vertical="top" wrapText="1"/>
    </xf>
    <xf numFmtId="3" fontId="25" fillId="15" borderId="10" xfId="0" applyNumberFormat="1" applyFont="1" applyFill="1" applyBorder="1" applyAlignment="1">
      <alignment vertical="top" wrapText="1"/>
    </xf>
    <xf numFmtId="3" fontId="25" fillId="15" borderId="10" xfId="0" applyNumberFormat="1" applyFont="1" applyFill="1" applyBorder="1" applyAlignment="1">
      <alignment horizontal="center" vertical="top" wrapText="1"/>
    </xf>
    <xf numFmtId="3" fontId="25" fillId="13" borderId="10" xfId="0" applyNumberFormat="1" applyFont="1" applyFill="1" applyBorder="1" applyAlignment="1">
      <alignment vertical="top" wrapText="1"/>
    </xf>
    <xf numFmtId="3" fontId="25" fillId="13" borderId="10" xfId="0" applyNumberFormat="1" applyFont="1" applyFill="1" applyBorder="1" applyAlignment="1">
      <alignment horizontal="center" vertical="top" wrapText="1"/>
    </xf>
    <xf numFmtId="3" fontId="26" fillId="15" borderId="10" xfId="0" applyNumberFormat="1" applyFont="1" applyFill="1" applyBorder="1" applyAlignment="1">
      <alignment horizontal="left" vertical="top" wrapText="1" indent="1"/>
    </xf>
    <xf numFmtId="3" fontId="26" fillId="13" borderId="10" xfId="0" applyNumberFormat="1" applyFont="1" applyFill="1" applyBorder="1" applyAlignment="1">
      <alignment horizontal="left" vertical="top" wrapText="1" indent="1"/>
    </xf>
    <xf numFmtId="0" fontId="25" fillId="14" borderId="10" xfId="0" applyFont="1" applyFill="1" applyBorder="1" applyAlignment="1">
      <alignment vertical="center" wrapText="1"/>
    </xf>
    <xf numFmtId="3" fontId="0" fillId="0" borderId="0" xfId="0" applyNumberFormat="1" applyAlignment="1">
      <alignment horizontal="center"/>
    </xf>
    <xf numFmtId="0" fontId="13" fillId="0" borderId="0" xfId="0" applyFont="1" applyAlignment="1">
      <alignment horizontal="center"/>
    </xf>
    <xf numFmtId="164" fontId="26" fillId="13" borderId="10" xfId="0" applyNumberFormat="1" applyFont="1" applyFill="1" applyBorder="1" applyAlignment="1">
      <alignment horizontal="center" vertical="top" wrapText="1"/>
    </xf>
    <xf numFmtId="0" fontId="8" fillId="12" borderId="0" xfId="0" applyFont="1" applyFill="1"/>
    <xf numFmtId="3" fontId="18" fillId="12" borderId="4" xfId="0" applyNumberFormat="1" applyFont="1" applyFill="1" applyBorder="1" applyAlignment="1">
      <alignment horizontal="right"/>
    </xf>
    <xf numFmtId="164" fontId="26" fillId="15" borderId="10" xfId="0" applyNumberFormat="1" applyFont="1" applyFill="1" applyBorder="1" applyAlignment="1">
      <alignment horizontal="center" vertical="top" wrapText="1"/>
    </xf>
    <xf numFmtId="0" fontId="0" fillId="12" borderId="0" xfId="0" applyFill="1"/>
    <xf numFmtId="0" fontId="26" fillId="15" borderId="10" xfId="0" applyFont="1" applyFill="1" applyBorder="1" applyAlignment="1">
      <alignment vertical="top" wrapText="1"/>
    </xf>
    <xf numFmtId="0" fontId="26" fillId="15" borderId="10" xfId="0" applyFont="1" applyFill="1" applyBorder="1" applyAlignment="1">
      <alignment horizontal="center" vertical="top" wrapText="1"/>
    </xf>
    <xf numFmtId="0" fontId="26" fillId="13" borderId="10" xfId="0" applyFont="1" applyFill="1" applyBorder="1" applyAlignment="1">
      <alignment horizontal="center" vertical="top" wrapText="1"/>
    </xf>
    <xf numFmtId="0" fontId="26" fillId="13" borderId="10" xfId="0" applyFont="1" applyFill="1" applyBorder="1" applyAlignment="1">
      <alignment vertical="top" wrapText="1"/>
    </xf>
    <xf numFmtId="0" fontId="26" fillId="15" borderId="10" xfId="0" applyFont="1" applyFill="1" applyBorder="1" applyAlignment="1">
      <alignment vertical="top"/>
    </xf>
    <xf numFmtId="0" fontId="0" fillId="16" borderId="9" xfId="0" applyFill="1" applyBorder="1"/>
    <xf numFmtId="0" fontId="0" fillId="16" borderId="9" xfId="0" applyFill="1" applyBorder="1" applyAlignment="1">
      <alignment horizontal="center"/>
    </xf>
    <xf numFmtId="2" fontId="0" fillId="16" borderId="9" xfId="0" applyNumberFormat="1" applyFill="1" applyBorder="1" applyAlignment="1">
      <alignment horizontal="center"/>
    </xf>
    <xf numFmtId="10" fontId="0" fillId="16" borderId="9" xfId="0" applyNumberFormat="1" applyFill="1" applyBorder="1" applyAlignment="1">
      <alignment horizontal="center"/>
    </xf>
    <xf numFmtId="167" fontId="0" fillId="16" borderId="9" xfId="0" applyNumberFormat="1" applyFill="1" applyBorder="1" applyAlignment="1">
      <alignment horizontal="center"/>
    </xf>
    <xf numFmtId="164" fontId="10" fillId="6" borderId="0" xfId="0" applyNumberFormat="1" applyFont="1" applyFill="1" applyAlignment="1">
      <alignment horizontal="center"/>
    </xf>
    <xf numFmtId="0" fontId="10" fillId="6" borderId="0" xfId="0" applyFont="1" applyFill="1" applyAlignment="1">
      <alignment horizontal="center"/>
    </xf>
    <xf numFmtId="3" fontId="26" fillId="12" borderId="10" xfId="0" applyNumberFormat="1" applyFont="1" applyFill="1" applyBorder="1" applyAlignment="1">
      <alignment horizontal="center" vertical="top" wrapText="1"/>
    </xf>
    <xf numFmtId="166" fontId="26" fillId="15" borderId="10" xfId="0" applyNumberFormat="1" applyFont="1" applyFill="1" applyBorder="1" applyAlignment="1">
      <alignment vertical="top" wrapText="1"/>
    </xf>
    <xf numFmtId="166" fontId="26" fillId="15" borderId="10" xfId="0" applyNumberFormat="1" applyFont="1" applyFill="1" applyBorder="1" applyAlignment="1">
      <alignment horizontal="center" vertical="top" wrapText="1"/>
    </xf>
    <xf numFmtId="0" fontId="25" fillId="14" borderId="10" xfId="0" applyFont="1" applyFill="1" applyBorder="1" applyAlignment="1">
      <alignment horizontal="center" vertical="center"/>
    </xf>
    <xf numFmtId="0" fontId="26" fillId="15" borderId="10" xfId="0" applyFont="1" applyFill="1" applyBorder="1" applyAlignment="1">
      <alignment horizontal="left" vertical="center"/>
    </xf>
    <xf numFmtId="164" fontId="26" fillId="15" borderId="10" xfId="0" applyNumberFormat="1" applyFont="1" applyFill="1" applyBorder="1" applyAlignment="1">
      <alignment horizontal="center" vertical="center" wrapText="1"/>
    </xf>
    <xf numFmtId="164" fontId="26" fillId="13" borderId="10" xfId="0" applyNumberFormat="1" applyFont="1" applyFill="1" applyBorder="1" applyAlignment="1">
      <alignment horizontal="center" vertical="center" wrapText="1"/>
    </xf>
    <xf numFmtId="2" fontId="26" fillId="15" borderId="10" xfId="0" applyNumberFormat="1" applyFont="1" applyFill="1" applyBorder="1" applyAlignment="1">
      <alignment horizontal="center" vertical="center"/>
    </xf>
    <xf numFmtId="2" fontId="26" fillId="15" borderId="10" xfId="0" applyNumberFormat="1" applyFont="1" applyFill="1" applyBorder="1" applyAlignment="1">
      <alignment horizontal="center" vertical="center" wrapText="1"/>
    </xf>
    <xf numFmtId="166" fontId="26" fillId="15" borderId="10" xfId="0" applyNumberFormat="1" applyFont="1" applyFill="1" applyBorder="1" applyAlignment="1">
      <alignment horizontal="center" vertical="top"/>
    </xf>
    <xf numFmtId="3" fontId="26" fillId="15" borderId="10" xfId="0" applyNumberFormat="1" applyFont="1" applyFill="1" applyBorder="1" applyAlignment="1">
      <alignment vertical="top"/>
    </xf>
    <xf numFmtId="3" fontId="25" fillId="15" borderId="10" xfId="0" applyNumberFormat="1" applyFont="1" applyFill="1" applyBorder="1" applyAlignment="1">
      <alignment vertical="top"/>
    </xf>
    <xf numFmtId="3" fontId="26" fillId="13" borderId="10" xfId="0" applyNumberFormat="1" applyFont="1" applyFill="1" applyBorder="1" applyAlignment="1">
      <alignment vertical="top"/>
    </xf>
    <xf numFmtId="0" fontId="25" fillId="14" borderId="10" xfId="0" applyFont="1" applyFill="1" applyBorder="1" applyAlignment="1">
      <alignment vertical="center"/>
    </xf>
    <xf numFmtId="3" fontId="26" fillId="15" borderId="10" xfId="0" applyNumberFormat="1" applyFont="1" applyFill="1" applyBorder="1" applyAlignment="1">
      <alignment horizontal="center" vertical="top"/>
    </xf>
    <xf numFmtId="164" fontId="26" fillId="15" borderId="10" xfId="0" applyNumberFormat="1" applyFont="1" applyFill="1" applyBorder="1" applyAlignment="1">
      <alignment horizontal="center" vertical="top"/>
    </xf>
    <xf numFmtId="0" fontId="26" fillId="13" borderId="10" xfId="0" applyFont="1" applyFill="1" applyBorder="1" applyAlignment="1">
      <alignment vertical="top"/>
    </xf>
    <xf numFmtId="3" fontId="26" fillId="13" borderId="10" xfId="0" applyNumberFormat="1" applyFont="1" applyFill="1" applyBorder="1" applyAlignment="1">
      <alignment horizontal="center" vertical="top"/>
    </xf>
    <xf numFmtId="164" fontId="26" fillId="13" borderId="10" xfId="0" applyNumberFormat="1" applyFont="1" applyFill="1" applyBorder="1" applyAlignment="1">
      <alignment horizontal="center" vertical="top"/>
    </xf>
    <xf numFmtId="3" fontId="26" fillId="15" borderId="10" xfId="0" applyNumberFormat="1" applyFont="1" applyFill="1" applyBorder="1" applyAlignment="1">
      <alignment vertical="center" wrapText="1"/>
    </xf>
    <xf numFmtId="3" fontId="26" fillId="15" borderId="10" xfId="0" applyNumberFormat="1" applyFont="1" applyFill="1" applyBorder="1" applyAlignment="1">
      <alignment horizontal="center" vertical="center" wrapText="1"/>
    </xf>
    <xf numFmtId="3" fontId="26" fillId="13" borderId="10" xfId="0" applyNumberFormat="1" applyFont="1" applyFill="1" applyBorder="1" applyAlignment="1">
      <alignment horizontal="left" vertical="center" wrapText="1"/>
    </xf>
    <xf numFmtId="3" fontId="26" fillId="13" borderId="10" xfId="0" applyNumberFormat="1" applyFont="1" applyFill="1" applyBorder="1" applyAlignment="1">
      <alignment horizontal="center" vertical="center" wrapText="1"/>
    </xf>
    <xf numFmtId="167" fontId="25" fillId="14" borderId="10" xfId="0" applyNumberFormat="1" applyFont="1" applyFill="1" applyBorder="1" applyAlignment="1">
      <alignment horizontal="center" vertical="center" wrapText="1"/>
    </xf>
    <xf numFmtId="164" fontId="25" fillId="15" borderId="10" xfId="0" applyNumberFormat="1" applyFont="1" applyFill="1" applyBorder="1" applyAlignment="1">
      <alignment horizontal="center" vertical="center" wrapText="1"/>
    </xf>
    <xf numFmtId="164" fontId="25" fillId="13" borderId="10" xfId="0" applyNumberFormat="1" applyFont="1" applyFill="1" applyBorder="1" applyAlignment="1">
      <alignment horizontal="center" wrapText="1"/>
    </xf>
    <xf numFmtId="2" fontId="26" fillId="13" borderId="10" xfId="0" applyNumberFormat="1" applyFont="1" applyFill="1" applyBorder="1" applyAlignment="1">
      <alignment horizontal="center" wrapText="1"/>
    </xf>
    <xf numFmtId="2" fontId="25" fillId="13" borderId="10" xfId="0" applyNumberFormat="1" applyFont="1" applyFill="1" applyBorder="1" applyAlignment="1">
      <alignment horizontal="center" wrapText="1"/>
    </xf>
    <xf numFmtId="164" fontId="25" fillId="15" borderId="10" xfId="0" applyNumberFormat="1" applyFont="1" applyFill="1" applyBorder="1" applyAlignment="1">
      <alignment horizontal="center" wrapText="1"/>
    </xf>
    <xf numFmtId="2" fontId="26" fillId="15" borderId="10" xfId="0" applyNumberFormat="1" applyFont="1" applyFill="1" applyBorder="1" applyAlignment="1">
      <alignment horizontal="center" wrapText="1"/>
    </xf>
    <xf numFmtId="2" fontId="25" fillId="15" borderId="10" xfId="0" applyNumberFormat="1" applyFont="1" applyFill="1" applyBorder="1" applyAlignment="1">
      <alignment horizontal="center" wrapText="1"/>
    </xf>
    <xf numFmtId="164" fontId="25" fillId="13" borderId="10" xfId="0" applyNumberFormat="1" applyFont="1" applyFill="1" applyBorder="1" applyAlignment="1">
      <alignment horizontal="center" vertical="center" wrapText="1"/>
    </xf>
    <xf numFmtId="2" fontId="26" fillId="13" borderId="10" xfId="0" applyNumberFormat="1" applyFont="1" applyFill="1" applyBorder="1" applyAlignment="1">
      <alignment horizontal="center" vertical="center" wrapText="1"/>
    </xf>
    <xf numFmtId="2" fontId="25" fillId="13" borderId="10" xfId="0" applyNumberFormat="1" applyFont="1" applyFill="1" applyBorder="1" applyAlignment="1">
      <alignment horizontal="center" vertical="center" wrapText="1"/>
    </xf>
    <xf numFmtId="2" fontId="25" fillId="15" borderId="10" xfId="0" applyNumberFormat="1" applyFont="1" applyFill="1" applyBorder="1" applyAlignment="1">
      <alignment horizontal="center" vertical="center" wrapText="1"/>
    </xf>
    <xf numFmtId="14" fontId="0" fillId="16" borderId="9" xfId="0" applyNumberFormat="1" applyFill="1" applyBorder="1"/>
    <xf numFmtId="14" fontId="0" fillId="0" borderId="9" xfId="0" applyNumberFormat="1" applyBorder="1"/>
    <xf numFmtId="164" fontId="0" fillId="16" borderId="9" xfId="0" applyNumberFormat="1" applyFill="1" applyBorder="1"/>
    <xf numFmtId="164" fontId="0" fillId="0" borderId="9" xfId="0" applyNumberFormat="1" applyBorder="1"/>
    <xf numFmtId="2" fontId="0" fillId="16" borderId="9" xfId="0" applyNumberFormat="1" applyFill="1" applyBorder="1"/>
    <xf numFmtId="2" fontId="0" fillId="0" borderId="9" xfId="0" applyNumberFormat="1" applyBorder="1"/>
    <xf numFmtId="3" fontId="0" fillId="16" borderId="9" xfId="0" applyNumberFormat="1" applyFill="1" applyBorder="1" applyAlignment="1">
      <alignment horizontal="center"/>
    </xf>
    <xf numFmtId="3" fontId="0" fillId="0" borderId="9" xfId="0" applyNumberFormat="1" applyBorder="1" applyAlignment="1">
      <alignment horizontal="center"/>
    </xf>
    <xf numFmtId="1" fontId="0" fillId="16" borderId="9" xfId="0" applyNumberFormat="1" applyFill="1" applyBorder="1" applyAlignment="1">
      <alignment horizontal="center"/>
    </xf>
    <xf numFmtId="1" fontId="0" fillId="0" borderId="9" xfId="0" applyNumberFormat="1" applyBorder="1" applyAlignment="1">
      <alignment horizontal="center"/>
    </xf>
    <xf numFmtId="164" fontId="0" fillId="16" borderId="9" xfId="0" applyNumberFormat="1" applyFill="1" applyBorder="1" applyAlignment="1">
      <alignment horizontal="center"/>
    </xf>
    <xf numFmtId="164" fontId="0" fillId="0" borderId="9" xfId="0" applyNumberFormat="1" applyBorder="1" applyAlignment="1">
      <alignment horizontal="center"/>
    </xf>
    <xf numFmtId="164" fontId="24" fillId="0" borderId="0" xfId="0" applyNumberFormat="1" applyFont="1"/>
    <xf numFmtId="1" fontId="0" fillId="16" borderId="9" xfId="0" applyNumberFormat="1" applyFill="1" applyBorder="1"/>
    <xf numFmtId="1" fontId="0" fillId="0" borderId="9" xfId="0" applyNumberFormat="1" applyBorder="1"/>
    <xf numFmtId="0" fontId="20" fillId="16" borderId="9" xfId="0" applyFont="1" applyFill="1" applyBorder="1" applyAlignment="1">
      <alignment horizontal="center"/>
    </xf>
    <xf numFmtId="0" fontId="20" fillId="0" borderId="9" xfId="0" applyFont="1" applyBorder="1" applyAlignment="1">
      <alignment horizontal="center"/>
    </xf>
    <xf numFmtId="0" fontId="29" fillId="0" borderId="0" xfId="0" applyFont="1" applyAlignment="1">
      <alignment horizontal="center"/>
    </xf>
    <xf numFmtId="0" fontId="0" fillId="0" borderId="0" xfId="0" applyAlignment="1">
      <alignment horizontal="left" vertical="center" wrapText="1"/>
    </xf>
    <xf numFmtId="0" fontId="0" fillId="0" borderId="0" xfId="0" applyAlignment="1">
      <alignment horizontal="left" wrapText="1"/>
    </xf>
    <xf numFmtId="0" fontId="0" fillId="0" borderId="0" xfId="0" applyAlignment="1">
      <alignment horizontal="left" vertical="center"/>
    </xf>
    <xf numFmtId="0" fontId="28" fillId="0" borderId="9" xfId="0" applyFont="1" applyBorder="1" applyAlignment="1">
      <alignment horizontal="center" vertical="center" wrapText="1"/>
    </xf>
    <xf numFmtId="14" fontId="28" fillId="0" borderId="9" xfId="0" applyNumberFormat="1" applyFont="1" applyBorder="1" applyAlignment="1">
      <alignment horizontal="center" vertical="center" wrapText="1"/>
    </xf>
    <xf numFmtId="0" fontId="27" fillId="0" borderId="0" xfId="0" applyFont="1" applyAlignment="1">
      <alignment horizontal="center" vertical="center" wrapText="1"/>
    </xf>
    <xf numFmtId="2" fontId="28" fillId="0" borderId="9" xfId="0" applyNumberFormat="1" applyFont="1" applyBorder="1" applyAlignment="1">
      <alignment horizontal="center" vertical="center" wrapText="1"/>
    </xf>
    <xf numFmtId="10" fontId="28" fillId="0" borderId="9" xfId="0" applyNumberFormat="1" applyFont="1" applyBorder="1" applyAlignment="1">
      <alignment horizontal="center" vertical="center" wrapText="1"/>
    </xf>
    <xf numFmtId="164" fontId="28" fillId="0" borderId="9" xfId="0" applyNumberFormat="1" applyFont="1" applyBorder="1" applyAlignment="1">
      <alignment horizontal="center" vertical="center" wrapText="1"/>
    </xf>
    <xf numFmtId="164" fontId="20" fillId="0" borderId="9" xfId="0" applyNumberFormat="1" applyFont="1" applyBorder="1" applyAlignment="1">
      <alignment horizontal="center"/>
    </xf>
    <xf numFmtId="0" fontId="10" fillId="12" borderId="0" xfId="0" applyFont="1" applyFill="1"/>
    <xf numFmtId="3" fontId="30" fillId="11" borderId="4" xfId="0" applyNumberFormat="1" applyFont="1" applyFill="1" applyBorder="1" applyAlignment="1">
      <alignment horizontal="right"/>
    </xf>
    <xf numFmtId="0" fontId="31" fillId="12" borderId="0" xfId="0" applyFont="1" applyFill="1"/>
    <xf numFmtId="4" fontId="30" fillId="11" borderId="4" xfId="0" applyNumberFormat="1" applyFont="1" applyFill="1" applyBorder="1" applyAlignment="1">
      <alignment horizontal="right"/>
    </xf>
    <xf numFmtId="164" fontId="30" fillId="11" borderId="4" xfId="0" applyNumberFormat="1" applyFont="1" applyFill="1" applyBorder="1" applyAlignment="1">
      <alignment horizontal="right"/>
    </xf>
    <xf numFmtId="164" fontId="18" fillId="12" borderId="4" xfId="0" applyNumberFormat="1" applyFont="1" applyFill="1" applyBorder="1" applyAlignment="1">
      <alignment horizontal="right"/>
    </xf>
    <xf numFmtId="0" fontId="0" fillId="17" borderId="0" xfId="0" applyFill="1"/>
    <xf numFmtId="0" fontId="5" fillId="17" borderId="0" xfId="0" applyFont="1" applyFill="1" applyAlignment="1">
      <alignment horizontal="center"/>
    </xf>
    <xf numFmtId="0" fontId="1" fillId="17" borderId="0" xfId="0" applyFont="1" applyFill="1"/>
    <xf numFmtId="0" fontId="8" fillId="18" borderId="0" xfId="0" applyFont="1" applyFill="1"/>
    <xf numFmtId="3" fontId="8" fillId="18" borderId="0" xfId="0" applyNumberFormat="1" applyFont="1" applyFill="1"/>
    <xf numFmtId="0" fontId="8" fillId="0" borderId="0" xfId="0" applyFont="1" applyAlignment="1">
      <alignment horizontal="center"/>
    </xf>
    <xf numFmtId="3" fontId="13" fillId="11" borderId="0" xfId="0" applyNumberFormat="1" applyFont="1" applyFill="1"/>
    <xf numFmtId="3" fontId="0" fillId="11" borderId="0" xfId="0" applyNumberFormat="1" applyFill="1"/>
    <xf numFmtId="3" fontId="0" fillId="18" borderId="0" xfId="0" applyNumberFormat="1" applyFill="1"/>
    <xf numFmtId="3" fontId="0" fillId="11" borderId="0" xfId="0" applyNumberFormat="1" applyFill="1" applyAlignment="1">
      <alignment horizontal="right"/>
    </xf>
    <xf numFmtId="0" fontId="13" fillId="18" borderId="0" xfId="0" applyFont="1" applyFill="1"/>
    <xf numFmtId="0" fontId="0" fillId="18" borderId="0" xfId="0" applyFill="1"/>
    <xf numFmtId="3" fontId="0" fillId="18" borderId="0" xfId="0" applyNumberFormat="1" applyFill="1" applyAlignment="1">
      <alignment horizontal="right"/>
    </xf>
    <xf numFmtId="10" fontId="17" fillId="11" borderId="4" xfId="0" applyNumberFormat="1" applyFont="1" applyFill="1" applyBorder="1" applyAlignment="1">
      <alignment horizontal="right"/>
    </xf>
    <xf numFmtId="0" fontId="13" fillId="0" borderId="0" xfId="0" applyFont="1" applyAlignment="1">
      <alignment horizontal="left" vertical="center"/>
    </xf>
    <xf numFmtId="0" fontId="13" fillId="0" borderId="0" xfId="0" applyFont="1" applyAlignment="1">
      <alignment horizontal="left" indent="1"/>
    </xf>
    <xf numFmtId="0" fontId="32" fillId="0" borderId="0" xfId="0" applyFont="1" applyAlignment="1">
      <alignment horizontal="left" indent="1"/>
    </xf>
    <xf numFmtId="10" fontId="17" fillId="11" borderId="4" xfId="0" applyNumberFormat="1" applyFont="1" applyFill="1" applyBorder="1" applyAlignment="1">
      <alignment horizontal="center"/>
    </xf>
    <xf numFmtId="0" fontId="17" fillId="11" borderId="4" xfId="0" applyFont="1" applyFill="1" applyBorder="1" applyAlignment="1">
      <alignment horizontal="center"/>
    </xf>
    <xf numFmtId="164" fontId="15" fillId="9" borderId="8" xfId="0" applyNumberFormat="1" applyFont="1" applyFill="1" applyBorder="1" applyAlignment="1">
      <alignment horizontal="center"/>
    </xf>
    <xf numFmtId="0" fontId="15" fillId="9" borderId="5" xfId="0" applyFont="1" applyFill="1" applyBorder="1" applyAlignment="1">
      <alignment horizontal="right"/>
    </xf>
    <xf numFmtId="0" fontId="8" fillId="19" borderId="0" xfId="0" applyFont="1" applyFill="1" applyAlignment="1">
      <alignment horizontal="left"/>
    </xf>
    <xf numFmtId="49" fontId="44" fillId="0" borderId="0" xfId="0" applyNumberFormat="1" applyFont="1" applyAlignment="1">
      <alignment horizontal="centerContinuous"/>
    </xf>
    <xf numFmtId="0" fontId="44" fillId="0" borderId="0" xfId="0" applyFont="1" applyAlignment="1">
      <alignment horizontal="centerContinuous"/>
    </xf>
    <xf numFmtId="0" fontId="44" fillId="0" borderId="2" xfId="0" applyFont="1" applyBorder="1" applyAlignment="1">
      <alignment horizontal="centerContinuous"/>
    </xf>
    <xf numFmtId="0" fontId="44" fillId="0" borderId="0" xfId="0" applyFont="1" applyAlignment="1">
      <alignment horizontal="center"/>
    </xf>
    <xf numFmtId="0" fontId="44" fillId="0" borderId="2" xfId="0" applyFont="1" applyBorder="1" applyAlignment="1">
      <alignment horizontal="center"/>
    </xf>
    <xf numFmtId="0" fontId="44" fillId="0" borderId="0" xfId="0" applyFont="1"/>
    <xf numFmtId="37" fontId="44" fillId="0" borderId="0" xfId="0" applyNumberFormat="1" applyFont="1"/>
    <xf numFmtId="0" fontId="46" fillId="0" borderId="0" xfId="0" applyFont="1"/>
    <xf numFmtId="2" fontId="0" fillId="0" borderId="0" xfId="0" applyNumberFormat="1" applyAlignment="1">
      <alignment horizontal="left" vertical="center" wrapText="1"/>
    </xf>
    <xf numFmtId="49" fontId="0" fillId="0" borderId="9" xfId="0" applyNumberFormat="1" applyBorder="1"/>
    <xf numFmtId="49" fontId="0" fillId="16" borderId="9" xfId="0" applyNumberFormat="1" applyFill="1" applyBorder="1"/>
    <xf numFmtId="0" fontId="47" fillId="0" borderId="9" xfId="0" applyFont="1" applyBorder="1" applyAlignment="1">
      <alignment horizontal="center" vertical="center"/>
    </xf>
    <xf numFmtId="164" fontId="0" fillId="47" borderId="9" xfId="0" applyNumberFormat="1" applyFill="1" applyBorder="1"/>
    <xf numFmtId="164" fontId="0" fillId="6" borderId="9" xfId="0" applyNumberFormat="1" applyFill="1" applyBorder="1"/>
    <xf numFmtId="2" fontId="0" fillId="47" borderId="9" xfId="0" applyNumberFormat="1" applyFill="1" applyBorder="1"/>
    <xf numFmtId="2" fontId="0" fillId="6" borderId="9" xfId="0" applyNumberFormat="1" applyFill="1" applyBorder="1"/>
    <xf numFmtId="164" fontId="20" fillId="16" borderId="9" xfId="0" applyNumberFormat="1" applyFont="1" applyFill="1" applyBorder="1" applyAlignment="1">
      <alignment horizontal="center"/>
    </xf>
    <xf numFmtId="10" fontId="0" fillId="0" borderId="0" xfId="0" applyNumberFormat="1"/>
    <xf numFmtId="15" fontId="48" fillId="0" borderId="0" xfId="0" applyNumberFormat="1" applyFont="1" applyAlignment="1">
      <alignment horizontal="center"/>
    </xf>
    <xf numFmtId="0" fontId="48" fillId="0" borderId="0" xfId="0" applyFont="1" applyAlignment="1">
      <alignment horizontal="center"/>
    </xf>
    <xf numFmtId="10" fontId="48" fillId="0" borderId="0" xfId="0" applyNumberFormat="1" applyFont="1" applyAlignment="1">
      <alignment horizontal="center"/>
    </xf>
    <xf numFmtId="171" fontId="0" fillId="0" borderId="0" xfId="0" applyNumberFormat="1"/>
    <xf numFmtId="164" fontId="1" fillId="0" borderId="0" xfId="0" applyNumberFormat="1" applyFont="1"/>
    <xf numFmtId="164" fontId="15" fillId="9" borderId="8" xfId="0" applyNumberFormat="1" applyFont="1" applyFill="1" applyBorder="1" applyAlignment="1">
      <alignment horizontal="right"/>
    </xf>
    <xf numFmtId="1" fontId="15" fillId="9" borderId="8" xfId="0" applyNumberFormat="1" applyFont="1" applyFill="1" applyBorder="1" applyAlignment="1">
      <alignment horizontal="right"/>
    </xf>
    <xf numFmtId="0" fontId="49" fillId="0" borderId="0" xfId="0" applyFont="1" applyAlignment="1">
      <alignment horizontal="left" vertical="center"/>
    </xf>
    <xf numFmtId="0" fontId="50" fillId="0" borderId="0" xfId="0" applyFont="1"/>
    <xf numFmtId="0" fontId="51" fillId="48" borderId="19" xfId="0" applyFont="1" applyFill="1" applyBorder="1" applyAlignment="1">
      <alignment horizontal="left" vertical="center" shrinkToFit="1"/>
    </xf>
    <xf numFmtId="14" fontId="51" fillId="48" borderId="19" xfId="0" applyNumberFormat="1" applyFont="1" applyFill="1" applyBorder="1" applyAlignment="1">
      <alignment horizontal="right" vertical="center" shrinkToFit="1"/>
    </xf>
    <xf numFmtId="0" fontId="51" fillId="49" borderId="19" xfId="0" applyFont="1" applyFill="1" applyBorder="1" applyAlignment="1">
      <alignment horizontal="left" vertical="center" shrinkToFit="1"/>
    </xf>
    <xf numFmtId="0" fontId="51" fillId="49" borderId="19" xfId="0" applyFont="1" applyFill="1" applyBorder="1" applyAlignment="1">
      <alignment horizontal="right" vertical="center" shrinkToFit="1"/>
    </xf>
    <xf numFmtId="3" fontId="51" fillId="49" borderId="19" xfId="0" applyNumberFormat="1" applyFont="1" applyFill="1" applyBorder="1" applyAlignment="1">
      <alignment horizontal="right" vertical="center" shrinkToFit="1"/>
    </xf>
    <xf numFmtId="0" fontId="52" fillId="49" borderId="19" xfId="0" applyFont="1" applyFill="1" applyBorder="1" applyAlignment="1">
      <alignment horizontal="left" vertical="center" indent="1" shrinkToFit="1"/>
    </xf>
    <xf numFmtId="3" fontId="52" fillId="49" borderId="19" xfId="0" applyNumberFormat="1" applyFont="1" applyFill="1" applyBorder="1" applyAlignment="1">
      <alignment horizontal="right" vertical="center" shrinkToFit="1"/>
    </xf>
    <xf numFmtId="0" fontId="53" fillId="49" borderId="19" xfId="0" applyFont="1" applyFill="1" applyBorder="1" applyAlignment="1">
      <alignment horizontal="left" vertical="center" indent="2" shrinkToFit="1"/>
    </xf>
    <xf numFmtId="0" fontId="53" fillId="49" borderId="19" xfId="0" applyFont="1" applyFill="1" applyBorder="1" applyAlignment="1">
      <alignment horizontal="right" vertical="center" shrinkToFit="1"/>
    </xf>
    <xf numFmtId="3" fontId="53" fillId="49" borderId="19" xfId="0" applyNumberFormat="1" applyFont="1" applyFill="1" applyBorder="1" applyAlignment="1">
      <alignment horizontal="right" vertical="center" shrinkToFit="1"/>
    </xf>
    <xf numFmtId="0" fontId="52" fillId="49" borderId="19" xfId="0" applyFont="1" applyFill="1" applyBorder="1" applyAlignment="1">
      <alignment horizontal="left" vertical="center" indent="3" shrinkToFit="1"/>
    </xf>
    <xf numFmtId="0" fontId="52" fillId="49" borderId="19" xfId="0" applyFont="1" applyFill="1" applyBorder="1" applyAlignment="1">
      <alignment horizontal="right" vertical="center" shrinkToFit="1"/>
    </xf>
    <xf numFmtId="0" fontId="51" fillId="49" borderId="19" xfId="0" applyFont="1" applyFill="1" applyBorder="1" applyAlignment="1">
      <alignment horizontal="left" vertical="center" indent="4" shrinkToFit="1"/>
    </xf>
    <xf numFmtId="0" fontId="52" fillId="49" borderId="19" xfId="0" applyFont="1" applyFill="1" applyBorder="1" applyAlignment="1">
      <alignment horizontal="left" vertical="center" indent="5" shrinkToFit="1"/>
    </xf>
    <xf numFmtId="14" fontId="51" fillId="49" borderId="19" xfId="0" applyNumberFormat="1" applyFont="1" applyFill="1" applyBorder="1" applyAlignment="1">
      <alignment horizontal="right" vertical="center" shrinkToFit="1"/>
    </xf>
    <xf numFmtId="0" fontId="6" fillId="0" borderId="0" xfId="0" applyFont="1" applyAlignment="1">
      <alignment horizontal="center"/>
    </xf>
    <xf numFmtId="3" fontId="20" fillId="0" borderId="0" xfId="0" applyNumberFormat="1" applyFont="1" applyAlignment="1">
      <alignment horizontal="center"/>
    </xf>
    <xf numFmtId="164" fontId="13" fillId="0" borderId="0" xfId="0" applyNumberFormat="1" applyFont="1"/>
    <xf numFmtId="172" fontId="0" fillId="0" borderId="0" xfId="0" applyNumberFormat="1"/>
    <xf numFmtId="164" fontId="18" fillId="11" borderId="7" xfId="0" applyNumberFormat="1" applyFont="1" applyFill="1" applyBorder="1" applyAlignment="1">
      <alignment horizontal="right"/>
    </xf>
    <xf numFmtId="164" fontId="26" fillId="0" borderId="10" xfId="0" applyNumberFormat="1" applyFont="1" applyBorder="1" applyAlignment="1">
      <alignment horizontal="center" vertical="center" wrapText="1"/>
    </xf>
    <xf numFmtId="166" fontId="26" fillId="13" borderId="10" xfId="0" applyNumberFormat="1" applyFont="1" applyFill="1" applyBorder="1" applyAlignment="1">
      <alignment horizontal="center" vertical="top"/>
    </xf>
    <xf numFmtId="3" fontId="26" fillId="13" borderId="10" xfId="0" applyNumberFormat="1" applyFont="1" applyFill="1" applyBorder="1" applyAlignment="1">
      <alignment horizontal="left" vertical="center"/>
    </xf>
    <xf numFmtId="164" fontId="26" fillId="0" borderId="10" xfId="0" applyNumberFormat="1" applyFont="1" applyBorder="1" applyAlignment="1">
      <alignment horizontal="center" vertical="center"/>
    </xf>
    <xf numFmtId="0" fontId="26" fillId="13" borderId="10" xfId="0" applyFont="1" applyFill="1" applyBorder="1" applyAlignment="1">
      <alignment horizontal="center" vertical="center"/>
    </xf>
    <xf numFmtId="0" fontId="8" fillId="50" borderId="0" xfId="0" applyFont="1" applyFill="1"/>
    <xf numFmtId="0" fontId="6" fillId="50" borderId="0" xfId="0" applyFont="1" applyFill="1"/>
    <xf numFmtId="0" fontId="13" fillId="50" borderId="0" xfId="0" applyFont="1" applyFill="1"/>
    <xf numFmtId="3" fontId="32" fillId="0" borderId="0" xfId="0" applyNumberFormat="1" applyFont="1" applyAlignment="1">
      <alignment horizontal="left" indent="2"/>
    </xf>
    <xf numFmtId="3" fontId="32" fillId="0" borderId="0" xfId="0" applyNumberFormat="1" applyFont="1"/>
    <xf numFmtId="164" fontId="54" fillId="11" borderId="4" xfId="0" applyNumberFormat="1" applyFont="1" applyFill="1" applyBorder="1" applyAlignment="1">
      <alignment horizontal="right"/>
    </xf>
    <xf numFmtId="173" fontId="0" fillId="0" borderId="0" xfId="0" applyNumberFormat="1"/>
    <xf numFmtId="10" fontId="0" fillId="0" borderId="0" xfId="47" applyNumberFormat="1" applyFont="1"/>
    <xf numFmtId="164" fontId="0" fillId="16" borderId="9" xfId="47" applyNumberFormat="1" applyFont="1" applyFill="1" applyBorder="1"/>
    <xf numFmtId="164" fontId="0" fillId="0" borderId="9" xfId="47" applyNumberFormat="1" applyFont="1" applyBorder="1"/>
    <xf numFmtId="4" fontId="0" fillId="16" borderId="9" xfId="0" applyNumberFormat="1" applyFill="1" applyBorder="1"/>
    <xf numFmtId="4" fontId="0" fillId="0" borderId="9" xfId="0" applyNumberFormat="1" applyBorder="1"/>
    <xf numFmtId="3" fontId="0" fillId="16" borderId="9" xfId="0" applyNumberFormat="1" applyFill="1" applyBorder="1"/>
    <xf numFmtId="3" fontId="0" fillId="0" borderId="9" xfId="0" applyNumberFormat="1" applyBorder="1"/>
    <xf numFmtId="10" fontId="0" fillId="16" borderId="9" xfId="47" applyNumberFormat="1" applyFont="1" applyFill="1" applyBorder="1"/>
    <xf numFmtId="10" fontId="0" fillId="0" borderId="9" xfId="47" applyNumberFormat="1" applyFont="1" applyBorder="1"/>
    <xf numFmtId="9" fontId="28" fillId="0" borderId="9" xfId="47" applyFont="1" applyBorder="1" applyAlignment="1">
      <alignment horizontal="center" vertical="center" wrapText="1"/>
    </xf>
    <xf numFmtId="9" fontId="28" fillId="0" borderId="21" xfId="47" applyFont="1" applyBorder="1" applyAlignment="1">
      <alignment horizontal="center" vertical="center" wrapText="1"/>
    </xf>
    <xf numFmtId="9" fontId="28" fillId="0" borderId="20" xfId="47" applyFont="1" applyBorder="1" applyAlignment="1">
      <alignment vertical="center" wrapText="1"/>
    </xf>
    <xf numFmtId="10" fontId="17" fillId="11" borderId="4" xfId="47" applyNumberFormat="1" applyFont="1" applyFill="1" applyBorder="1" applyAlignment="1">
      <alignment horizontal="center"/>
    </xf>
    <xf numFmtId="10" fontId="28" fillId="0" borderId="9" xfId="47" applyNumberFormat="1" applyFont="1" applyBorder="1" applyAlignment="1">
      <alignment horizontal="center" vertical="center" wrapText="1"/>
    </xf>
    <xf numFmtId="4" fontId="17" fillId="11" borderId="4" xfId="0" applyNumberFormat="1" applyFont="1" applyFill="1" applyBorder="1" applyAlignment="1">
      <alignment horizontal="center"/>
    </xf>
    <xf numFmtId="3" fontId="17" fillId="11" borderId="4" xfId="0" applyNumberFormat="1" applyFont="1" applyFill="1" applyBorder="1" applyAlignment="1">
      <alignment horizontal="center"/>
    </xf>
  </cellXfs>
  <cellStyles count="48">
    <cellStyle name="20% - Ênfase1" xfId="26" builtinId="30" hidden="1"/>
    <cellStyle name="20% - Ênfase2" xfId="29" builtinId="34" hidden="1"/>
    <cellStyle name="20% - Ênfase3" xfId="33" builtinId="38" hidden="1"/>
    <cellStyle name="20% - Ênfase4" xfId="37" builtinId="42" hidden="1"/>
    <cellStyle name="20% - Ênfase5" xfId="41" builtinId="46" hidden="1"/>
    <cellStyle name="20% - Ênfase6" xfId="4" builtinId="50" hidden="1"/>
    <cellStyle name="40% - Ênfase1" xfId="27" builtinId="31" hidden="1"/>
    <cellStyle name="40% - Ênfase2" xfId="30" builtinId="35" hidden="1"/>
    <cellStyle name="40% - Ênfase3" xfId="34" builtinId="39" hidden="1"/>
    <cellStyle name="40% - Ênfase4" xfId="38" builtinId="43" hidden="1"/>
    <cellStyle name="40% - Ênfase5" xfId="42" builtinId="47" hidden="1"/>
    <cellStyle name="40% - Ênfase6" xfId="45" builtinId="51" hidden="1"/>
    <cellStyle name="60% - Ênfase1" xfId="3" builtinId="32" hidden="1"/>
    <cellStyle name="60% - Ênfase2" xfId="31" builtinId="36" hidden="1"/>
    <cellStyle name="60% - Ênfase3" xfId="35" builtinId="40" hidden="1"/>
    <cellStyle name="60% - Ênfase4" xfId="39" builtinId="44" hidden="1"/>
    <cellStyle name="60% - Ênfase5" xfId="43" builtinId="48" hidden="1"/>
    <cellStyle name="60% - Ênfase6" xfId="46" builtinId="52" hidden="1"/>
    <cellStyle name="Bom" xfId="13" builtinId="26" hidden="1"/>
    <cellStyle name="Cálculo" xfId="18" builtinId="22" hidden="1"/>
    <cellStyle name="Célula de Verificação" xfId="20" builtinId="23" hidden="1"/>
    <cellStyle name="Célula Vinculada" xfId="19" builtinId="24" hidden="1"/>
    <cellStyle name="Ênfase1" xfId="25" builtinId="29" hidden="1"/>
    <cellStyle name="Ênfase2" xfId="28" builtinId="33" hidden="1"/>
    <cellStyle name="Ênfase3" xfId="32" builtinId="37" hidden="1"/>
    <cellStyle name="Ênfase4" xfId="36" builtinId="41" hidden="1"/>
    <cellStyle name="Ênfase5" xfId="40" builtinId="45" hidden="1"/>
    <cellStyle name="Ênfase6" xfId="44" builtinId="49" hidden="1"/>
    <cellStyle name="Entrada" xfId="16" builtinId="20" hidden="1"/>
    <cellStyle name="Moeda" xfId="6" builtinId="4" hidden="1"/>
    <cellStyle name="Moeda [0]" xfId="7" builtinId="7" hidden="1"/>
    <cellStyle name="Neutro" xfId="15" builtinId="28" hidden="1"/>
    <cellStyle name="Normal" xfId="0" builtinId="0"/>
    <cellStyle name="Nota" xfId="22" builtinId="10" hidden="1"/>
    <cellStyle name="Porcentagem" xfId="2" builtinId="5" hidden="1"/>
    <cellStyle name="Porcentagem" xfId="47" builtinId="5"/>
    <cellStyle name="Ruim" xfId="14" builtinId="27" hidden="1"/>
    <cellStyle name="Saída" xfId="17" builtinId="21" hidden="1"/>
    <cellStyle name="Separador de milhares [0]" xfId="5" builtinId="6" hidden="1"/>
    <cellStyle name="Texto de Aviso" xfId="21" builtinId="11" hidden="1"/>
    <cellStyle name="Texto Explicativo" xfId="23" builtinId="53" hidden="1"/>
    <cellStyle name="Título" xfId="8" builtinId="15" hidden="1"/>
    <cellStyle name="Título 1" xfId="9" builtinId="16" hidden="1"/>
    <cellStyle name="Título 2" xfId="10" builtinId="17" hidden="1"/>
    <cellStyle name="Título 3" xfId="11" builtinId="18" hidden="1"/>
    <cellStyle name="Título 4" xfId="12" builtinId="19" hidden="1"/>
    <cellStyle name="Total" xfId="24" builtinId="25" hidden="1"/>
    <cellStyle name="Vírgula" xfId="1" builtinId="3" hidden="1"/>
  </cellStyles>
  <dxfs count="0"/>
  <tableStyles count="0" defaultTableStyle="TableStyleMedium2" defaultPivotStyle="PivotStyleLight16"/>
  <colors>
    <mruColors>
      <color rgb="FFFEE6F8"/>
      <color rgb="FFE00AA8"/>
      <color rgb="FFF977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3729278827068"/>
          <c:y val="6.9169774830777728E-2"/>
          <c:w val="0.80191299918115233"/>
          <c:h val="0.60238318915573041"/>
        </c:manualLayout>
      </c:layout>
      <c:lineChart>
        <c:grouping val="standard"/>
        <c:varyColors val="0"/>
        <c:ser>
          <c:idx val="0"/>
          <c:order val="0"/>
          <c:tx>
            <c:strRef>
              <c:f>'Gráficos - Monografia'!$A$47</c:f>
              <c:strCache>
                <c:ptCount val="1"/>
                <c:pt idx="0">
                  <c:v>Produção Líquida de Petróleo - 1P</c:v>
                </c:pt>
              </c:strCache>
            </c:strRef>
          </c:tx>
          <c:spPr>
            <a:ln w="12700" cap="rnd">
              <a:solidFill>
                <a:srgbClr val="C00000"/>
              </a:solidFill>
              <a:round/>
            </a:ln>
            <a:effectLst/>
          </c:spPr>
          <c:marker>
            <c:symbol val="none"/>
          </c:marker>
          <c:cat>
            <c:numRef>
              <c:extLst>
                <c:ext xmlns:c15="http://schemas.microsoft.com/office/drawing/2012/chart" uri="{02D57815-91ED-43cb-92C2-25804820EDAC}">
                  <c15:fullRef>
                    <c15:sqref>'Gráficos - Monografia'!$B$46:$AQ$46</c15:sqref>
                  </c15:fullRef>
                </c:ext>
              </c:extLst>
              <c:f>'Gráficos - Monografia'!$B$46:$AH$46</c:f>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numCache>
            </c:numRef>
          </c:cat>
          <c:val>
            <c:numRef>
              <c:extLst>
                <c:ext xmlns:c15="http://schemas.microsoft.com/office/drawing/2012/chart" uri="{02D57815-91ED-43cb-92C2-25804820EDAC}">
                  <c15:fullRef>
                    <c15:sqref>'Gráficos - Monografia'!$B$47:$AQ$47</c15:sqref>
                  </c15:fullRef>
                </c:ext>
              </c:extLst>
              <c:f>'Gráficos - Monografia'!$B$47:$AH$47</c:f>
              <c:numCache>
                <c:formatCode>General</c:formatCode>
                <c:ptCount val="33"/>
                <c:pt idx="0">
                  <c:v>38312</c:v>
                </c:pt>
                <c:pt idx="1">
                  <c:v>45712</c:v>
                </c:pt>
                <c:pt idx="2">
                  <c:v>46845</c:v>
                </c:pt>
                <c:pt idx="3">
                  <c:v>47715</c:v>
                </c:pt>
                <c:pt idx="4">
                  <c:v>45380</c:v>
                </c:pt>
                <c:pt idx="5">
                  <c:v>44900</c:v>
                </c:pt>
                <c:pt idx="6">
                  <c:v>40749</c:v>
                </c:pt>
                <c:pt idx="7">
                  <c:v>34538</c:v>
                </c:pt>
                <c:pt idx="8">
                  <c:v>29553</c:v>
                </c:pt>
                <c:pt idx="9">
                  <c:v>25265</c:v>
                </c:pt>
                <c:pt idx="10">
                  <c:v>21562</c:v>
                </c:pt>
                <c:pt idx="11">
                  <c:v>17236</c:v>
                </c:pt>
                <c:pt idx="12">
                  <c:v>14875</c:v>
                </c:pt>
                <c:pt idx="13">
                  <c:v>12760</c:v>
                </c:pt>
                <c:pt idx="14">
                  <c:v>11129</c:v>
                </c:pt>
                <c:pt idx="15">
                  <c:v>9555</c:v>
                </c:pt>
                <c:pt idx="16">
                  <c:v>8126</c:v>
                </c:pt>
                <c:pt idx="17">
                  <c:v>7225</c:v>
                </c:pt>
                <c:pt idx="18">
                  <c:v>6378</c:v>
                </c:pt>
                <c:pt idx="19">
                  <c:v>5708</c:v>
                </c:pt>
                <c:pt idx="20">
                  <c:v>5113</c:v>
                </c:pt>
                <c:pt idx="21">
                  <c:v>4513</c:v>
                </c:pt>
                <c:pt idx="22">
                  <c:v>3959</c:v>
                </c:pt>
                <c:pt idx="23">
                  <c:v>2160</c:v>
                </c:pt>
                <c:pt idx="24">
                  <c:v>1980</c:v>
                </c:pt>
                <c:pt idx="25">
                  <c:v>1725</c:v>
                </c:pt>
                <c:pt idx="26">
                  <c:v>1566</c:v>
                </c:pt>
                <c:pt idx="27">
                  <c:v>1406</c:v>
                </c:pt>
                <c:pt idx="28">
                  <c:v>1150</c:v>
                </c:pt>
                <c:pt idx="29">
                  <c:v>0</c:v>
                </c:pt>
                <c:pt idx="30">
                  <c:v>0</c:v>
                </c:pt>
                <c:pt idx="31">
                  <c:v>0</c:v>
                </c:pt>
                <c:pt idx="32">
                  <c:v>0</c:v>
                </c:pt>
              </c:numCache>
            </c:numRef>
          </c:val>
          <c:smooth val="0"/>
          <c:extLst>
            <c:ext xmlns:c16="http://schemas.microsoft.com/office/drawing/2014/chart" uri="{C3380CC4-5D6E-409C-BE32-E72D297353CC}">
              <c16:uniqueId val="{00000000-8978-46AD-A4D8-2F1F931376A2}"/>
            </c:ext>
          </c:extLst>
        </c:ser>
        <c:ser>
          <c:idx val="1"/>
          <c:order val="1"/>
          <c:tx>
            <c:strRef>
              <c:f>'Gráficos - Monografia'!$A$48</c:f>
              <c:strCache>
                <c:ptCount val="1"/>
                <c:pt idx="0">
                  <c:v>Produção Líquida de Petróleo - 2P</c:v>
                </c:pt>
              </c:strCache>
            </c:strRef>
          </c:tx>
          <c:spPr>
            <a:ln w="12700" cap="rnd">
              <a:solidFill>
                <a:schemeClr val="accent4">
                  <a:lumMod val="50000"/>
                </a:schemeClr>
              </a:solidFill>
              <a:round/>
            </a:ln>
            <a:effectLst/>
          </c:spPr>
          <c:marker>
            <c:symbol val="none"/>
          </c:marker>
          <c:cat>
            <c:numRef>
              <c:extLst>
                <c:ext xmlns:c15="http://schemas.microsoft.com/office/drawing/2012/chart" uri="{02D57815-91ED-43cb-92C2-25804820EDAC}">
                  <c15:fullRef>
                    <c15:sqref>'Gráficos - Monografia'!$B$46:$AQ$46</c15:sqref>
                  </c15:fullRef>
                </c:ext>
              </c:extLst>
              <c:f>'Gráficos - Monografia'!$B$46:$AH$46</c:f>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numCache>
            </c:numRef>
          </c:cat>
          <c:val>
            <c:numRef>
              <c:extLst>
                <c:ext xmlns:c15="http://schemas.microsoft.com/office/drawing/2012/chart" uri="{02D57815-91ED-43cb-92C2-25804820EDAC}">
                  <c15:fullRef>
                    <c15:sqref>'Gráficos - Monografia'!$B$48:$AQ$48</c15:sqref>
                  </c15:fullRef>
                </c:ext>
              </c:extLst>
              <c:f>'Gráficos - Monografia'!$B$48:$AH$48</c:f>
              <c:numCache>
                <c:formatCode>General</c:formatCode>
                <c:ptCount val="33"/>
                <c:pt idx="0">
                  <c:v>41329</c:v>
                </c:pt>
                <c:pt idx="1">
                  <c:v>54228</c:v>
                </c:pt>
                <c:pt idx="2">
                  <c:v>57788</c:v>
                </c:pt>
                <c:pt idx="3">
                  <c:v>60808</c:v>
                </c:pt>
                <c:pt idx="4">
                  <c:v>59713</c:v>
                </c:pt>
                <c:pt idx="5">
                  <c:v>60129</c:v>
                </c:pt>
                <c:pt idx="6">
                  <c:v>54435</c:v>
                </c:pt>
                <c:pt idx="7">
                  <c:v>46226</c:v>
                </c:pt>
                <c:pt idx="8">
                  <c:v>40054</c:v>
                </c:pt>
                <c:pt idx="9">
                  <c:v>35040</c:v>
                </c:pt>
                <c:pt idx="10">
                  <c:v>30882</c:v>
                </c:pt>
                <c:pt idx="11">
                  <c:v>26878</c:v>
                </c:pt>
                <c:pt idx="12">
                  <c:v>23064</c:v>
                </c:pt>
                <c:pt idx="13">
                  <c:v>19874</c:v>
                </c:pt>
                <c:pt idx="14">
                  <c:v>17538</c:v>
                </c:pt>
                <c:pt idx="15">
                  <c:v>15635</c:v>
                </c:pt>
                <c:pt idx="16">
                  <c:v>12344</c:v>
                </c:pt>
                <c:pt idx="17">
                  <c:v>10815</c:v>
                </c:pt>
                <c:pt idx="18">
                  <c:v>9503</c:v>
                </c:pt>
                <c:pt idx="19">
                  <c:v>8310</c:v>
                </c:pt>
                <c:pt idx="20">
                  <c:v>7380</c:v>
                </c:pt>
                <c:pt idx="21">
                  <c:v>6410</c:v>
                </c:pt>
                <c:pt idx="22">
                  <c:v>5809</c:v>
                </c:pt>
                <c:pt idx="23">
                  <c:v>5326</c:v>
                </c:pt>
                <c:pt idx="24">
                  <c:v>4915</c:v>
                </c:pt>
                <c:pt idx="25">
                  <c:v>4307</c:v>
                </c:pt>
                <c:pt idx="26">
                  <c:v>3925</c:v>
                </c:pt>
                <c:pt idx="27">
                  <c:v>3653</c:v>
                </c:pt>
                <c:pt idx="28">
                  <c:v>2290</c:v>
                </c:pt>
                <c:pt idx="29">
                  <c:v>0</c:v>
                </c:pt>
                <c:pt idx="30">
                  <c:v>0</c:v>
                </c:pt>
                <c:pt idx="31">
                  <c:v>0</c:v>
                </c:pt>
                <c:pt idx="32">
                  <c:v>0</c:v>
                </c:pt>
              </c:numCache>
            </c:numRef>
          </c:val>
          <c:smooth val="0"/>
          <c:extLst>
            <c:ext xmlns:c16="http://schemas.microsoft.com/office/drawing/2014/chart" uri="{C3380CC4-5D6E-409C-BE32-E72D297353CC}">
              <c16:uniqueId val="{00000001-8978-46AD-A4D8-2F1F931376A2}"/>
            </c:ext>
          </c:extLst>
        </c:ser>
        <c:ser>
          <c:idx val="2"/>
          <c:order val="2"/>
          <c:tx>
            <c:strRef>
              <c:f>'Gráficos - Monografia'!$A$49</c:f>
              <c:strCache>
                <c:ptCount val="1"/>
                <c:pt idx="0">
                  <c:v>Produção Líquida de Petróleo - 3P</c:v>
                </c:pt>
              </c:strCache>
            </c:strRef>
          </c:tx>
          <c:spPr>
            <a:ln w="12700" cap="rnd">
              <a:solidFill>
                <a:schemeClr val="accent6">
                  <a:lumMod val="50000"/>
                </a:schemeClr>
              </a:solidFill>
              <a:round/>
            </a:ln>
            <a:effectLst/>
          </c:spPr>
          <c:marker>
            <c:symbol val="none"/>
          </c:marker>
          <c:cat>
            <c:numRef>
              <c:extLst>
                <c:ext xmlns:c15="http://schemas.microsoft.com/office/drawing/2012/chart" uri="{02D57815-91ED-43cb-92C2-25804820EDAC}">
                  <c15:fullRef>
                    <c15:sqref>'Gráficos - Monografia'!$B$46:$AQ$46</c15:sqref>
                  </c15:fullRef>
                </c:ext>
              </c:extLst>
              <c:f>'Gráficos - Monografia'!$B$46:$AH$46</c:f>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numCache>
            </c:numRef>
          </c:cat>
          <c:val>
            <c:numRef>
              <c:extLst>
                <c:ext xmlns:c15="http://schemas.microsoft.com/office/drawing/2012/chart" uri="{02D57815-91ED-43cb-92C2-25804820EDAC}">
                  <c15:fullRef>
                    <c15:sqref>'Gráficos - Monografia'!$B$49:$AQ$49</c15:sqref>
                  </c15:fullRef>
                </c:ext>
              </c:extLst>
              <c:f>'Gráficos - Monografia'!$B$49:$AH$49</c:f>
              <c:numCache>
                <c:formatCode>General</c:formatCode>
                <c:ptCount val="33"/>
                <c:pt idx="0">
                  <c:v>43669</c:v>
                </c:pt>
                <c:pt idx="1">
                  <c:v>59843</c:v>
                </c:pt>
                <c:pt idx="2">
                  <c:v>65646</c:v>
                </c:pt>
                <c:pt idx="3">
                  <c:v>70291</c:v>
                </c:pt>
                <c:pt idx="4">
                  <c:v>67927</c:v>
                </c:pt>
                <c:pt idx="5">
                  <c:v>69074</c:v>
                </c:pt>
                <c:pt idx="6">
                  <c:v>64825</c:v>
                </c:pt>
                <c:pt idx="7">
                  <c:v>55514</c:v>
                </c:pt>
                <c:pt idx="8">
                  <c:v>48619</c:v>
                </c:pt>
                <c:pt idx="9">
                  <c:v>42960</c:v>
                </c:pt>
                <c:pt idx="10">
                  <c:v>38290</c:v>
                </c:pt>
                <c:pt idx="11">
                  <c:v>34367</c:v>
                </c:pt>
                <c:pt idx="12">
                  <c:v>30925</c:v>
                </c:pt>
                <c:pt idx="13">
                  <c:v>27809</c:v>
                </c:pt>
                <c:pt idx="14">
                  <c:v>24794</c:v>
                </c:pt>
                <c:pt idx="15">
                  <c:v>22185</c:v>
                </c:pt>
                <c:pt idx="16">
                  <c:v>20209</c:v>
                </c:pt>
                <c:pt idx="17">
                  <c:v>18462</c:v>
                </c:pt>
                <c:pt idx="18">
                  <c:v>16735</c:v>
                </c:pt>
                <c:pt idx="19">
                  <c:v>14954</c:v>
                </c:pt>
                <c:pt idx="20">
                  <c:v>13455</c:v>
                </c:pt>
                <c:pt idx="21">
                  <c:v>12406</c:v>
                </c:pt>
                <c:pt idx="22">
                  <c:v>11326</c:v>
                </c:pt>
                <c:pt idx="23">
                  <c:v>10576</c:v>
                </c:pt>
                <c:pt idx="24">
                  <c:v>9867</c:v>
                </c:pt>
                <c:pt idx="25">
                  <c:v>7588</c:v>
                </c:pt>
                <c:pt idx="26">
                  <c:v>7165</c:v>
                </c:pt>
                <c:pt idx="27">
                  <c:v>6748</c:v>
                </c:pt>
                <c:pt idx="28">
                  <c:v>4327</c:v>
                </c:pt>
                <c:pt idx="29">
                  <c:v>1117</c:v>
                </c:pt>
                <c:pt idx="30">
                  <c:v>1046</c:v>
                </c:pt>
                <c:pt idx="31">
                  <c:v>0</c:v>
                </c:pt>
                <c:pt idx="32">
                  <c:v>0</c:v>
                </c:pt>
              </c:numCache>
            </c:numRef>
          </c:val>
          <c:smooth val="0"/>
          <c:extLst>
            <c:ext xmlns:c16="http://schemas.microsoft.com/office/drawing/2014/chart" uri="{C3380CC4-5D6E-409C-BE32-E72D297353CC}">
              <c16:uniqueId val="{00000002-8978-46AD-A4D8-2F1F931376A2}"/>
            </c:ext>
          </c:extLst>
        </c:ser>
        <c:dLbls>
          <c:showLegendKey val="0"/>
          <c:showVal val="0"/>
          <c:showCatName val="0"/>
          <c:showSerName val="0"/>
          <c:showPercent val="0"/>
          <c:showBubbleSize val="0"/>
        </c:dLbls>
        <c:smooth val="0"/>
        <c:axId val="1004367344"/>
        <c:axId val="1248593040"/>
      </c:lineChart>
      <c:catAx>
        <c:axId val="1004367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Ano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248593040"/>
        <c:crosses val="autoZero"/>
        <c:auto val="1"/>
        <c:lblAlgn val="ctr"/>
        <c:lblOffset val="100"/>
        <c:noMultiLvlLbl val="0"/>
      </c:catAx>
      <c:valAx>
        <c:axId val="1248593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Mil Barris </a:t>
                </a:r>
                <a:r>
                  <a:rPr lang="pt-BR" baseline="0"/>
                  <a:t>(kbbl)</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004367344"/>
        <c:crosses val="autoZero"/>
        <c:crossBetween val="between"/>
      </c:valAx>
      <c:spPr>
        <a:noFill/>
        <a:ln>
          <a:solidFill>
            <a:schemeClr val="bg1">
              <a:lumMod val="85000"/>
            </a:schemeClr>
          </a:solidFill>
        </a:ln>
        <a:effectLst/>
      </c:spPr>
    </c:plotArea>
    <c:legend>
      <c:legendPos val="b"/>
      <c:layout>
        <c:manualLayout>
          <c:xMode val="edge"/>
          <c:yMode val="edge"/>
          <c:x val="3.6337209302325583E-2"/>
          <c:y val="0.88907716657817493"/>
          <c:w val="0.93856818043093448"/>
          <c:h val="0.110922833421825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85855543336164"/>
          <c:y val="5.0355570886910471E-2"/>
          <c:w val="0.82302499864785417"/>
          <c:h val="0.68455569048589693"/>
        </c:manualLayout>
      </c:layout>
      <c:lineChart>
        <c:grouping val="standard"/>
        <c:varyColors val="0"/>
        <c:ser>
          <c:idx val="0"/>
          <c:order val="0"/>
          <c:tx>
            <c:strRef>
              <c:f>'Gráficos - Monografia'!$A$52</c:f>
              <c:strCache>
                <c:ptCount val="1"/>
                <c:pt idx="0">
                  <c:v>Produção Líquida de Gás Natural - 1P</c:v>
                </c:pt>
              </c:strCache>
            </c:strRef>
          </c:tx>
          <c:spPr>
            <a:ln w="12700" cap="rnd">
              <a:solidFill>
                <a:srgbClr val="C00000"/>
              </a:solidFill>
              <a:round/>
            </a:ln>
            <a:effectLst/>
          </c:spPr>
          <c:marker>
            <c:symbol val="none"/>
          </c:marker>
          <c:cat>
            <c:numRef>
              <c:extLst>
                <c:ext xmlns:c15="http://schemas.microsoft.com/office/drawing/2012/chart" uri="{02D57815-91ED-43cb-92C2-25804820EDAC}">
                  <c15:fullRef>
                    <c15:sqref>'Gráficos - Monografia'!$B$51:$AQ$51</c15:sqref>
                  </c15:fullRef>
                </c:ext>
              </c:extLst>
              <c:f>'Gráficos - Monografia'!$B$51:$AH$51</c:f>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numCache>
            </c:numRef>
          </c:cat>
          <c:val>
            <c:numRef>
              <c:extLst>
                <c:ext xmlns:c15="http://schemas.microsoft.com/office/drawing/2012/chart" uri="{02D57815-91ED-43cb-92C2-25804820EDAC}">
                  <c15:fullRef>
                    <c15:sqref>'Gráficos - Monografia'!$B$52:$AQ$52</c15:sqref>
                  </c15:fullRef>
                </c:ext>
              </c:extLst>
              <c:f>'Gráficos - Monografia'!$B$52:$AH$52</c:f>
              <c:numCache>
                <c:formatCode>General</c:formatCode>
                <c:ptCount val="33"/>
                <c:pt idx="0">
                  <c:v>11070</c:v>
                </c:pt>
                <c:pt idx="1">
                  <c:v>17222</c:v>
                </c:pt>
                <c:pt idx="2">
                  <c:v>18962</c:v>
                </c:pt>
                <c:pt idx="3">
                  <c:v>22273</c:v>
                </c:pt>
                <c:pt idx="4">
                  <c:v>21972</c:v>
                </c:pt>
                <c:pt idx="5">
                  <c:v>21683</c:v>
                </c:pt>
                <c:pt idx="6">
                  <c:v>19774</c:v>
                </c:pt>
                <c:pt idx="7">
                  <c:v>17000</c:v>
                </c:pt>
                <c:pt idx="8">
                  <c:v>14357</c:v>
                </c:pt>
                <c:pt idx="9">
                  <c:v>11543</c:v>
                </c:pt>
                <c:pt idx="10">
                  <c:v>8945</c:v>
                </c:pt>
                <c:pt idx="11">
                  <c:v>6896</c:v>
                </c:pt>
                <c:pt idx="12">
                  <c:v>5081</c:v>
                </c:pt>
                <c:pt idx="13">
                  <c:v>3548</c:v>
                </c:pt>
                <c:pt idx="14">
                  <c:v>3053</c:v>
                </c:pt>
                <c:pt idx="15">
                  <c:v>2673</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0-686F-4E45-9B24-1CAA681EBC3A}"/>
            </c:ext>
          </c:extLst>
        </c:ser>
        <c:ser>
          <c:idx val="1"/>
          <c:order val="1"/>
          <c:tx>
            <c:strRef>
              <c:f>'Gráficos - Monografia'!$A$53</c:f>
              <c:strCache>
                <c:ptCount val="1"/>
                <c:pt idx="0">
                  <c:v>Produção Líquida de Gás Natural - 2P</c:v>
                </c:pt>
              </c:strCache>
            </c:strRef>
          </c:tx>
          <c:spPr>
            <a:ln w="12700" cap="rnd">
              <a:solidFill>
                <a:schemeClr val="accent4">
                  <a:lumMod val="50000"/>
                </a:schemeClr>
              </a:solidFill>
              <a:round/>
            </a:ln>
            <a:effectLst/>
          </c:spPr>
          <c:marker>
            <c:symbol val="none"/>
          </c:marker>
          <c:cat>
            <c:numRef>
              <c:extLst>
                <c:ext xmlns:c15="http://schemas.microsoft.com/office/drawing/2012/chart" uri="{02D57815-91ED-43cb-92C2-25804820EDAC}">
                  <c15:fullRef>
                    <c15:sqref>'Gráficos - Monografia'!$B$51:$AQ$51</c15:sqref>
                  </c15:fullRef>
                </c:ext>
              </c:extLst>
              <c:f>'Gráficos - Monografia'!$B$51:$AH$51</c:f>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numCache>
            </c:numRef>
          </c:cat>
          <c:val>
            <c:numRef>
              <c:extLst>
                <c:ext xmlns:c15="http://schemas.microsoft.com/office/drawing/2012/chart" uri="{02D57815-91ED-43cb-92C2-25804820EDAC}">
                  <c15:fullRef>
                    <c15:sqref>'Gráficos - Monografia'!$B$53:$AQ$53</c15:sqref>
                  </c15:fullRef>
                </c:ext>
              </c:extLst>
              <c:f>'Gráficos - Monografia'!$B$53:$AH$53</c:f>
              <c:numCache>
                <c:formatCode>General</c:formatCode>
                <c:ptCount val="33"/>
                <c:pt idx="0">
                  <c:v>12700</c:v>
                </c:pt>
                <c:pt idx="1">
                  <c:v>21942</c:v>
                </c:pt>
                <c:pt idx="2">
                  <c:v>24515</c:v>
                </c:pt>
                <c:pt idx="3">
                  <c:v>28630</c:v>
                </c:pt>
                <c:pt idx="4">
                  <c:v>31459</c:v>
                </c:pt>
                <c:pt idx="5">
                  <c:v>35441</c:v>
                </c:pt>
                <c:pt idx="6">
                  <c:v>31241</c:v>
                </c:pt>
                <c:pt idx="7">
                  <c:v>23464</c:v>
                </c:pt>
                <c:pt idx="8">
                  <c:v>17553</c:v>
                </c:pt>
                <c:pt idx="9">
                  <c:v>13666</c:v>
                </c:pt>
                <c:pt idx="10">
                  <c:v>10927</c:v>
                </c:pt>
                <c:pt idx="11">
                  <c:v>8540</c:v>
                </c:pt>
                <c:pt idx="12">
                  <c:v>6399</c:v>
                </c:pt>
                <c:pt idx="13">
                  <c:v>4804</c:v>
                </c:pt>
                <c:pt idx="14">
                  <c:v>3775</c:v>
                </c:pt>
                <c:pt idx="15">
                  <c:v>393</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1-686F-4E45-9B24-1CAA681EBC3A}"/>
            </c:ext>
          </c:extLst>
        </c:ser>
        <c:ser>
          <c:idx val="2"/>
          <c:order val="2"/>
          <c:tx>
            <c:strRef>
              <c:f>'Gráficos - Monografia'!$A$54</c:f>
              <c:strCache>
                <c:ptCount val="1"/>
                <c:pt idx="0">
                  <c:v>Produção Líquida de Gás Natural - 3P</c:v>
                </c:pt>
              </c:strCache>
            </c:strRef>
          </c:tx>
          <c:spPr>
            <a:ln w="12700" cap="rnd">
              <a:solidFill>
                <a:schemeClr val="accent6">
                  <a:lumMod val="50000"/>
                </a:schemeClr>
              </a:solidFill>
              <a:round/>
            </a:ln>
            <a:effectLst/>
          </c:spPr>
          <c:marker>
            <c:symbol val="none"/>
          </c:marker>
          <c:cat>
            <c:numRef>
              <c:extLst>
                <c:ext xmlns:c15="http://schemas.microsoft.com/office/drawing/2012/chart" uri="{02D57815-91ED-43cb-92C2-25804820EDAC}">
                  <c15:fullRef>
                    <c15:sqref>'Gráficos - Monografia'!$B$51:$AQ$51</c15:sqref>
                  </c15:fullRef>
                </c:ext>
              </c:extLst>
              <c:f>'Gráficos - Monografia'!$B$51:$AH$51</c:f>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numCache>
            </c:numRef>
          </c:cat>
          <c:val>
            <c:numRef>
              <c:extLst>
                <c:ext xmlns:c15="http://schemas.microsoft.com/office/drawing/2012/chart" uri="{02D57815-91ED-43cb-92C2-25804820EDAC}">
                  <c15:fullRef>
                    <c15:sqref>'Gráficos - Monografia'!$B$54:$AQ$54</c15:sqref>
                  </c15:fullRef>
                </c:ext>
              </c:extLst>
              <c:f>'Gráficos - Monografia'!$B$54:$AH$54</c:f>
              <c:numCache>
                <c:formatCode>General</c:formatCode>
                <c:ptCount val="33"/>
                <c:pt idx="0">
                  <c:v>13740</c:v>
                </c:pt>
                <c:pt idx="1">
                  <c:v>24754</c:v>
                </c:pt>
                <c:pt idx="2">
                  <c:v>29223</c:v>
                </c:pt>
                <c:pt idx="3">
                  <c:v>38008</c:v>
                </c:pt>
                <c:pt idx="4">
                  <c:v>37888</c:v>
                </c:pt>
                <c:pt idx="5">
                  <c:v>33604</c:v>
                </c:pt>
                <c:pt idx="6">
                  <c:v>28858</c:v>
                </c:pt>
                <c:pt idx="7">
                  <c:v>22736</c:v>
                </c:pt>
                <c:pt idx="8">
                  <c:v>18312</c:v>
                </c:pt>
                <c:pt idx="9">
                  <c:v>15263</c:v>
                </c:pt>
                <c:pt idx="10">
                  <c:v>13093</c:v>
                </c:pt>
                <c:pt idx="11">
                  <c:v>11230</c:v>
                </c:pt>
                <c:pt idx="12">
                  <c:v>9570</c:v>
                </c:pt>
                <c:pt idx="13">
                  <c:v>8101</c:v>
                </c:pt>
                <c:pt idx="14">
                  <c:v>6650</c:v>
                </c:pt>
                <c:pt idx="15">
                  <c:v>5437</c:v>
                </c:pt>
                <c:pt idx="16">
                  <c:v>4562</c:v>
                </c:pt>
                <c:pt idx="17">
                  <c:v>3804</c:v>
                </c:pt>
                <c:pt idx="18">
                  <c:v>3019</c:v>
                </c:pt>
                <c:pt idx="19">
                  <c:v>2598</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2-686F-4E45-9B24-1CAA681EBC3A}"/>
            </c:ext>
          </c:extLst>
        </c:ser>
        <c:dLbls>
          <c:showLegendKey val="0"/>
          <c:showVal val="0"/>
          <c:showCatName val="0"/>
          <c:showSerName val="0"/>
          <c:showPercent val="0"/>
          <c:showBubbleSize val="0"/>
        </c:dLbls>
        <c:smooth val="0"/>
        <c:axId val="1013842208"/>
        <c:axId val="958026128"/>
      </c:lineChart>
      <c:catAx>
        <c:axId val="1013842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Ano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958026128"/>
        <c:crosses val="autoZero"/>
        <c:auto val="1"/>
        <c:lblAlgn val="ctr"/>
        <c:lblOffset val="100"/>
        <c:noMultiLvlLbl val="0"/>
      </c:catAx>
      <c:valAx>
        <c:axId val="95802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Mil pés</a:t>
                </a:r>
                <a:r>
                  <a:rPr lang="pt-BR" baseline="0"/>
                  <a:t> cúbicos (mil ft³)</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013842208"/>
        <c:crosses val="autoZero"/>
        <c:crossBetween val="between"/>
      </c:valAx>
      <c:spPr>
        <a:noFill/>
        <a:ln>
          <a:solidFill>
            <a:schemeClr val="bg1">
              <a:lumMod val="85000"/>
            </a:schemeClr>
          </a:solidFill>
        </a:ln>
        <a:effectLst/>
      </c:spPr>
    </c:plotArea>
    <c:legend>
      <c:legendPos val="b"/>
      <c:layout>
        <c:manualLayout>
          <c:xMode val="edge"/>
          <c:yMode val="edge"/>
          <c:x val="0"/>
          <c:y val="0.88969354471859452"/>
          <c:w val="1"/>
          <c:h val="0.110306455281405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526292953155545"/>
          <c:y val="4.6203797039574841E-2"/>
          <c:w val="0.79596908313059012"/>
          <c:h val="0.62859539557345623"/>
        </c:manualLayout>
      </c:layout>
      <c:lineChart>
        <c:grouping val="standard"/>
        <c:varyColors val="0"/>
        <c:ser>
          <c:idx val="0"/>
          <c:order val="0"/>
          <c:spPr>
            <a:ln w="12700" cap="rnd">
              <a:solidFill>
                <a:schemeClr val="tx1"/>
              </a:solidFill>
              <a:round/>
            </a:ln>
            <a:effectLst/>
          </c:spPr>
          <c:marker>
            <c:symbol val="none"/>
          </c:marker>
          <c:cat>
            <c:numRef>
              <c:f>'Drivers Macroeconômico'!$C$3:$C$89</c:f>
              <c:numCache>
                <c:formatCode>m/d/yyyy</c:formatCode>
                <c:ptCount val="87"/>
                <c:pt idx="0">
                  <c:v>45383</c:v>
                </c:pt>
                <c:pt idx="1">
                  <c:v>45413</c:v>
                </c:pt>
                <c:pt idx="2">
                  <c:v>45444</c:v>
                </c:pt>
                <c:pt idx="3">
                  <c:v>45474</c:v>
                </c:pt>
                <c:pt idx="4">
                  <c:v>45505</c:v>
                </c:pt>
                <c:pt idx="5">
                  <c:v>45536</c:v>
                </c:pt>
                <c:pt idx="6">
                  <c:v>45566</c:v>
                </c:pt>
                <c:pt idx="7">
                  <c:v>45597</c:v>
                </c:pt>
                <c:pt idx="8">
                  <c:v>45627</c:v>
                </c:pt>
                <c:pt idx="9">
                  <c:v>45658</c:v>
                </c:pt>
                <c:pt idx="10">
                  <c:v>45689</c:v>
                </c:pt>
                <c:pt idx="11">
                  <c:v>45717</c:v>
                </c:pt>
                <c:pt idx="12">
                  <c:v>45748</c:v>
                </c:pt>
                <c:pt idx="13">
                  <c:v>45778</c:v>
                </c:pt>
                <c:pt idx="14">
                  <c:v>45809</c:v>
                </c:pt>
                <c:pt idx="15">
                  <c:v>45839</c:v>
                </c:pt>
                <c:pt idx="16">
                  <c:v>45870</c:v>
                </c:pt>
                <c:pt idx="17">
                  <c:v>45901</c:v>
                </c:pt>
                <c:pt idx="18">
                  <c:v>45931</c:v>
                </c:pt>
                <c:pt idx="19">
                  <c:v>45962</c:v>
                </c:pt>
                <c:pt idx="20">
                  <c:v>45992</c:v>
                </c:pt>
                <c:pt idx="21">
                  <c:v>46023</c:v>
                </c:pt>
                <c:pt idx="22">
                  <c:v>46054</c:v>
                </c:pt>
                <c:pt idx="23">
                  <c:v>46082</c:v>
                </c:pt>
                <c:pt idx="24">
                  <c:v>46113</c:v>
                </c:pt>
                <c:pt idx="25">
                  <c:v>46143</c:v>
                </c:pt>
                <c:pt idx="26">
                  <c:v>46174</c:v>
                </c:pt>
                <c:pt idx="27">
                  <c:v>46204</c:v>
                </c:pt>
                <c:pt idx="28">
                  <c:v>46235</c:v>
                </c:pt>
                <c:pt idx="29">
                  <c:v>46266</c:v>
                </c:pt>
                <c:pt idx="30">
                  <c:v>46296</c:v>
                </c:pt>
                <c:pt idx="31">
                  <c:v>46327</c:v>
                </c:pt>
                <c:pt idx="32">
                  <c:v>46357</c:v>
                </c:pt>
                <c:pt idx="33">
                  <c:v>46388</c:v>
                </c:pt>
                <c:pt idx="34">
                  <c:v>46419</c:v>
                </c:pt>
                <c:pt idx="35">
                  <c:v>46447</c:v>
                </c:pt>
                <c:pt idx="36">
                  <c:v>46478</c:v>
                </c:pt>
                <c:pt idx="37">
                  <c:v>46508</c:v>
                </c:pt>
                <c:pt idx="38">
                  <c:v>46539</c:v>
                </c:pt>
                <c:pt idx="39">
                  <c:v>46569</c:v>
                </c:pt>
                <c:pt idx="40">
                  <c:v>46600</c:v>
                </c:pt>
                <c:pt idx="41">
                  <c:v>46631</c:v>
                </c:pt>
                <c:pt idx="42">
                  <c:v>46661</c:v>
                </c:pt>
                <c:pt idx="43">
                  <c:v>46692</c:v>
                </c:pt>
                <c:pt idx="44">
                  <c:v>46722</c:v>
                </c:pt>
                <c:pt idx="45">
                  <c:v>46753</c:v>
                </c:pt>
                <c:pt idx="46">
                  <c:v>46784</c:v>
                </c:pt>
                <c:pt idx="47">
                  <c:v>46813</c:v>
                </c:pt>
                <c:pt idx="48">
                  <c:v>46844</c:v>
                </c:pt>
                <c:pt idx="49">
                  <c:v>46874</c:v>
                </c:pt>
                <c:pt idx="50">
                  <c:v>46905</c:v>
                </c:pt>
                <c:pt idx="51">
                  <c:v>46935</c:v>
                </c:pt>
                <c:pt idx="52">
                  <c:v>46966</c:v>
                </c:pt>
                <c:pt idx="53">
                  <c:v>46997</c:v>
                </c:pt>
                <c:pt idx="54">
                  <c:v>47027</c:v>
                </c:pt>
                <c:pt idx="55">
                  <c:v>47058</c:v>
                </c:pt>
                <c:pt idx="56">
                  <c:v>47088</c:v>
                </c:pt>
                <c:pt idx="57">
                  <c:v>47119</c:v>
                </c:pt>
                <c:pt idx="58">
                  <c:v>47150</c:v>
                </c:pt>
                <c:pt idx="59">
                  <c:v>47178</c:v>
                </c:pt>
                <c:pt idx="60">
                  <c:v>47209</c:v>
                </c:pt>
                <c:pt idx="61">
                  <c:v>47239</c:v>
                </c:pt>
                <c:pt idx="62">
                  <c:v>47270</c:v>
                </c:pt>
                <c:pt idx="63">
                  <c:v>47300</c:v>
                </c:pt>
                <c:pt idx="64">
                  <c:v>47331</c:v>
                </c:pt>
                <c:pt idx="65">
                  <c:v>47362</c:v>
                </c:pt>
                <c:pt idx="66">
                  <c:v>47392</c:v>
                </c:pt>
                <c:pt idx="67">
                  <c:v>47423</c:v>
                </c:pt>
                <c:pt idx="68">
                  <c:v>47453</c:v>
                </c:pt>
                <c:pt idx="69">
                  <c:v>47484</c:v>
                </c:pt>
                <c:pt idx="70">
                  <c:v>47515</c:v>
                </c:pt>
                <c:pt idx="71">
                  <c:v>47543</c:v>
                </c:pt>
                <c:pt idx="72">
                  <c:v>47574</c:v>
                </c:pt>
                <c:pt idx="73">
                  <c:v>47604</c:v>
                </c:pt>
                <c:pt idx="74">
                  <c:v>47635</c:v>
                </c:pt>
                <c:pt idx="75">
                  <c:v>47665</c:v>
                </c:pt>
                <c:pt idx="76">
                  <c:v>47696</c:v>
                </c:pt>
                <c:pt idx="77">
                  <c:v>47727</c:v>
                </c:pt>
                <c:pt idx="78">
                  <c:v>47757</c:v>
                </c:pt>
                <c:pt idx="79">
                  <c:v>47788</c:v>
                </c:pt>
                <c:pt idx="80">
                  <c:v>47818</c:v>
                </c:pt>
                <c:pt idx="81">
                  <c:v>47849</c:v>
                </c:pt>
                <c:pt idx="82">
                  <c:v>47880</c:v>
                </c:pt>
                <c:pt idx="83">
                  <c:v>47908</c:v>
                </c:pt>
                <c:pt idx="84">
                  <c:v>47939</c:v>
                </c:pt>
                <c:pt idx="85">
                  <c:v>47969</c:v>
                </c:pt>
                <c:pt idx="86">
                  <c:v>48000</c:v>
                </c:pt>
              </c:numCache>
            </c:numRef>
          </c:cat>
          <c:val>
            <c:numRef>
              <c:f>'Drivers Macroeconômico'!$B$3:$B$89</c:f>
              <c:numCache>
                <c:formatCode>General</c:formatCode>
                <c:ptCount val="87"/>
                <c:pt idx="0" formatCode="0.00">
                  <c:v>84.75</c:v>
                </c:pt>
                <c:pt idx="1">
                  <c:v>85.42</c:v>
                </c:pt>
                <c:pt idx="2">
                  <c:v>84.74</c:v>
                </c:pt>
                <c:pt idx="3">
                  <c:v>84.03</c:v>
                </c:pt>
                <c:pt idx="4">
                  <c:v>83.33</c:v>
                </c:pt>
                <c:pt idx="5">
                  <c:v>82.62</c:v>
                </c:pt>
                <c:pt idx="6">
                  <c:v>81.93</c:v>
                </c:pt>
                <c:pt idx="7">
                  <c:v>81.28</c:v>
                </c:pt>
                <c:pt idx="8">
                  <c:v>80.680000000000007</c:v>
                </c:pt>
                <c:pt idx="9">
                  <c:v>80.099999999999994</c:v>
                </c:pt>
                <c:pt idx="10">
                  <c:v>79.569999999999993</c:v>
                </c:pt>
                <c:pt idx="11">
                  <c:v>79.099999999999994</c:v>
                </c:pt>
                <c:pt idx="12">
                  <c:v>78.67</c:v>
                </c:pt>
                <c:pt idx="13">
                  <c:v>78.260000000000005</c:v>
                </c:pt>
                <c:pt idx="14">
                  <c:v>77.900000000000006</c:v>
                </c:pt>
                <c:pt idx="15">
                  <c:v>77.53</c:v>
                </c:pt>
                <c:pt idx="16">
                  <c:v>77.17</c:v>
                </c:pt>
                <c:pt idx="17">
                  <c:v>76.83</c:v>
                </c:pt>
                <c:pt idx="18">
                  <c:v>76.510000000000005</c:v>
                </c:pt>
                <c:pt idx="19">
                  <c:v>76.19</c:v>
                </c:pt>
                <c:pt idx="20">
                  <c:v>75.87</c:v>
                </c:pt>
                <c:pt idx="21">
                  <c:v>75.55</c:v>
                </c:pt>
                <c:pt idx="22">
                  <c:v>75.260000000000005</c:v>
                </c:pt>
                <c:pt idx="23">
                  <c:v>74.989999999999995</c:v>
                </c:pt>
                <c:pt idx="24">
                  <c:v>74.709999999999994</c:v>
                </c:pt>
                <c:pt idx="25">
                  <c:v>74.45</c:v>
                </c:pt>
                <c:pt idx="26">
                  <c:v>74.23</c:v>
                </c:pt>
                <c:pt idx="27">
                  <c:v>73.98</c:v>
                </c:pt>
                <c:pt idx="28">
                  <c:v>73.739999999999995</c:v>
                </c:pt>
                <c:pt idx="29">
                  <c:v>73.510000000000005</c:v>
                </c:pt>
                <c:pt idx="30">
                  <c:v>73.3</c:v>
                </c:pt>
                <c:pt idx="31">
                  <c:v>73.08</c:v>
                </c:pt>
                <c:pt idx="32">
                  <c:v>72.88</c:v>
                </c:pt>
                <c:pt idx="33">
                  <c:v>72.67</c:v>
                </c:pt>
                <c:pt idx="34">
                  <c:v>72.489999999999995</c:v>
                </c:pt>
                <c:pt idx="35">
                  <c:v>72.31</c:v>
                </c:pt>
                <c:pt idx="36">
                  <c:v>72.16</c:v>
                </c:pt>
                <c:pt idx="37">
                  <c:v>72.010000000000005</c:v>
                </c:pt>
                <c:pt idx="38">
                  <c:v>71.88</c:v>
                </c:pt>
                <c:pt idx="39">
                  <c:v>71.72</c:v>
                </c:pt>
                <c:pt idx="40">
                  <c:v>71.569999999999993</c:v>
                </c:pt>
                <c:pt idx="41">
                  <c:v>71.400000000000006</c:v>
                </c:pt>
                <c:pt idx="42">
                  <c:v>71.239999999999995</c:v>
                </c:pt>
                <c:pt idx="43">
                  <c:v>71.12</c:v>
                </c:pt>
                <c:pt idx="44">
                  <c:v>71.010000000000005</c:v>
                </c:pt>
                <c:pt idx="45">
                  <c:v>70.92</c:v>
                </c:pt>
                <c:pt idx="46">
                  <c:v>70.84</c:v>
                </c:pt>
                <c:pt idx="47">
                  <c:v>70.75</c:v>
                </c:pt>
                <c:pt idx="48">
                  <c:v>70.64</c:v>
                </c:pt>
                <c:pt idx="49">
                  <c:v>70.55</c:v>
                </c:pt>
                <c:pt idx="50">
                  <c:v>70.489999999999995</c:v>
                </c:pt>
                <c:pt idx="51">
                  <c:v>70.41</c:v>
                </c:pt>
                <c:pt idx="52">
                  <c:v>70.33</c:v>
                </c:pt>
                <c:pt idx="53">
                  <c:v>70.239999999999995</c:v>
                </c:pt>
                <c:pt idx="54">
                  <c:v>70.16</c:v>
                </c:pt>
                <c:pt idx="55">
                  <c:v>70.099999999999994</c:v>
                </c:pt>
                <c:pt idx="56">
                  <c:v>70.06</c:v>
                </c:pt>
                <c:pt idx="57">
                  <c:v>70.040000000000006</c:v>
                </c:pt>
                <c:pt idx="58">
                  <c:v>70.02</c:v>
                </c:pt>
                <c:pt idx="59">
                  <c:v>70</c:v>
                </c:pt>
                <c:pt idx="60">
                  <c:v>69.98</c:v>
                </c:pt>
                <c:pt idx="61">
                  <c:v>69.97</c:v>
                </c:pt>
                <c:pt idx="62">
                  <c:v>69.95</c:v>
                </c:pt>
                <c:pt idx="63">
                  <c:v>69.930000000000007</c:v>
                </c:pt>
                <c:pt idx="64">
                  <c:v>69.91</c:v>
                </c:pt>
                <c:pt idx="65">
                  <c:v>69.900000000000006</c:v>
                </c:pt>
                <c:pt idx="66">
                  <c:v>69.900000000000006</c:v>
                </c:pt>
                <c:pt idx="67">
                  <c:v>69.89</c:v>
                </c:pt>
                <c:pt idx="68">
                  <c:v>69.88</c:v>
                </c:pt>
                <c:pt idx="69">
                  <c:v>69.88</c:v>
                </c:pt>
                <c:pt idx="70">
                  <c:v>69.88</c:v>
                </c:pt>
                <c:pt idx="71">
                  <c:v>69.88</c:v>
                </c:pt>
                <c:pt idx="72">
                  <c:v>69.88</c:v>
                </c:pt>
                <c:pt idx="73">
                  <c:v>69.89</c:v>
                </c:pt>
                <c:pt idx="74">
                  <c:v>69.900000000000006</c:v>
                </c:pt>
                <c:pt idx="75">
                  <c:v>69.900000000000006</c:v>
                </c:pt>
                <c:pt idx="76">
                  <c:v>69.900000000000006</c:v>
                </c:pt>
                <c:pt idx="77">
                  <c:v>69.900000000000006</c:v>
                </c:pt>
                <c:pt idx="78">
                  <c:v>69.900000000000006</c:v>
                </c:pt>
                <c:pt idx="79">
                  <c:v>69.91</c:v>
                </c:pt>
                <c:pt idx="80">
                  <c:v>69.92</c:v>
                </c:pt>
                <c:pt idx="81">
                  <c:v>69.92</c:v>
                </c:pt>
                <c:pt idx="82">
                  <c:v>69.92</c:v>
                </c:pt>
                <c:pt idx="83">
                  <c:v>69.92</c:v>
                </c:pt>
                <c:pt idx="84">
                  <c:v>69.92</c:v>
                </c:pt>
                <c:pt idx="85">
                  <c:v>69.92</c:v>
                </c:pt>
                <c:pt idx="86">
                  <c:v>69.92</c:v>
                </c:pt>
              </c:numCache>
            </c:numRef>
          </c:val>
          <c:smooth val="0"/>
          <c:extLst>
            <c:ext xmlns:c16="http://schemas.microsoft.com/office/drawing/2014/chart" uri="{C3380CC4-5D6E-409C-BE32-E72D297353CC}">
              <c16:uniqueId val="{00000000-84B4-4104-97BB-5D3DDB34FB7C}"/>
            </c:ext>
          </c:extLst>
        </c:ser>
        <c:dLbls>
          <c:showLegendKey val="0"/>
          <c:showVal val="0"/>
          <c:showCatName val="0"/>
          <c:showSerName val="0"/>
          <c:showPercent val="0"/>
          <c:showBubbleSize val="0"/>
        </c:dLbls>
        <c:smooth val="0"/>
        <c:axId val="1242783632"/>
        <c:axId val="1411793264"/>
      </c:lineChart>
      <c:dateAx>
        <c:axId val="12427836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pt-BR"/>
            </a:p>
          </c:txPr>
        </c:title>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pt-BR"/>
          </a:p>
        </c:txPr>
        <c:crossAx val="1411793264"/>
        <c:crosses val="autoZero"/>
        <c:auto val="1"/>
        <c:lblOffset val="100"/>
        <c:baseTimeUnit val="months"/>
      </c:dateAx>
      <c:valAx>
        <c:axId val="141179326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pt-BR"/>
                  <a:t>Dólares por Barril ($/bbl)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pt-B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pt-BR"/>
          </a:p>
        </c:txPr>
        <c:crossAx val="1242783632"/>
        <c:crosses val="autoZero"/>
        <c:crossBetween val="between"/>
      </c:valAx>
      <c:spPr>
        <a:noFill/>
        <a:ln>
          <a:solidFill>
            <a:schemeClr val="bg1">
              <a:lumMod val="8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43858315557461"/>
          <c:y val="5.0926020604511547E-2"/>
          <c:w val="0.80543632600729897"/>
          <c:h val="0.7588728492271799"/>
        </c:manualLayout>
      </c:layout>
      <c:barChart>
        <c:barDir val="col"/>
        <c:grouping val="clustered"/>
        <c:varyColors val="0"/>
        <c:ser>
          <c:idx val="0"/>
          <c:order val="0"/>
          <c:tx>
            <c:strRef>
              <c:f>'Avaliação e Simulações'!$A$20</c:f>
              <c:strCache>
                <c:ptCount val="1"/>
                <c:pt idx="0">
                  <c:v>Ke BR</c:v>
                </c:pt>
              </c:strCache>
            </c:strRef>
          </c:tx>
          <c:spPr>
            <a:solidFill>
              <a:schemeClr val="tx1"/>
            </a:solidFill>
            <a:ln>
              <a:solidFill>
                <a:schemeClr val="tx1"/>
              </a:solidFill>
            </a:ln>
            <a:effectLst/>
          </c:spPr>
          <c:invertIfNegative val="0"/>
          <c:cat>
            <c:strRef>
              <c:extLst>
                <c:ext xmlns:c15="http://schemas.microsoft.com/office/drawing/2012/chart" uri="{02D57815-91ED-43cb-92C2-25804820EDAC}">
                  <c15:fullRef>
                    <c15:sqref>'Avaliação e Simulações'!$B$1:$AU$1</c15:sqref>
                  </c15:fullRef>
                </c:ext>
              </c:extLst>
              <c:f>'Avaliação e Simulações'!$E$1:$AU$1</c:f>
              <c:strCache>
                <c:ptCount val="4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pt idx="42">
                  <c:v>2066</c:v>
                </c:pt>
              </c:strCache>
            </c:strRef>
          </c:cat>
          <c:val>
            <c:numRef>
              <c:extLst>
                <c:ext xmlns:c15="http://schemas.microsoft.com/office/drawing/2012/chart" uri="{02D57815-91ED-43cb-92C2-25804820EDAC}">
                  <c15:fullRef>
                    <c15:sqref>'Avaliação e Simulações'!$B$20:$AU$20</c15:sqref>
                  </c15:fullRef>
                </c:ext>
              </c:extLst>
              <c:f>'Avaliação e Simulações'!$E$20:$AU$20</c:f>
              <c:numCache>
                <c:formatCode>General</c:formatCode>
                <c:ptCount val="43"/>
                <c:pt idx="0" formatCode="0.0%">
                  <c:v>0.1390504512028623</c:v>
                </c:pt>
                <c:pt idx="1" formatCode="0.0%">
                  <c:v>0.1334187196434693</c:v>
                </c:pt>
                <c:pt idx="2" formatCode="0.0%">
                  <c:v>0.12579710897074503</c:v>
                </c:pt>
                <c:pt idx="3" formatCode="0.0%">
                  <c:v>0.12501487163306391</c:v>
                </c:pt>
                <c:pt idx="4" formatCode="0.0%">
                  <c:v>0.12386711519067006</c:v>
                </c:pt>
                <c:pt idx="5" formatCode="0.0%">
                  <c:v>0.12136104236363932</c:v>
                </c:pt>
                <c:pt idx="6" formatCode="0.0%">
                  <c:v>0.12136104236363932</c:v>
                </c:pt>
                <c:pt idx="7" formatCode="0.0%">
                  <c:v>0.12077198536196665</c:v>
                </c:pt>
                <c:pt idx="8" formatCode="0.0%">
                  <c:v>0.12077198536196665</c:v>
                </c:pt>
                <c:pt idx="9" formatCode="0.0%">
                  <c:v>0.12077198536196665</c:v>
                </c:pt>
                <c:pt idx="10" formatCode="0.0%">
                  <c:v>0.12606263989366018</c:v>
                </c:pt>
                <c:pt idx="11" formatCode="0.0%">
                  <c:v>0.12606263989366018</c:v>
                </c:pt>
                <c:pt idx="12" formatCode="0.0%">
                  <c:v>0.12606263989366018</c:v>
                </c:pt>
                <c:pt idx="13" formatCode="0.0%">
                  <c:v>0.12606263989366018</c:v>
                </c:pt>
                <c:pt idx="14" formatCode="0.0%">
                  <c:v>0.12606263989366018</c:v>
                </c:pt>
                <c:pt idx="15" formatCode="0.0%">
                  <c:v>0.12606263989366018</c:v>
                </c:pt>
                <c:pt idx="16" formatCode="0.0%">
                  <c:v>0.12606263989366018</c:v>
                </c:pt>
                <c:pt idx="17" formatCode="0.0%">
                  <c:v>0.12606263989366018</c:v>
                </c:pt>
                <c:pt idx="18" formatCode="0.0%">
                  <c:v>0.12606263989366018</c:v>
                </c:pt>
                <c:pt idx="19" formatCode="0.0%">
                  <c:v>0.12606263989366018</c:v>
                </c:pt>
                <c:pt idx="20" formatCode="0.0%">
                  <c:v>0.12050556359206799</c:v>
                </c:pt>
                <c:pt idx="21" formatCode="0.0%">
                  <c:v>0.12050556359206799</c:v>
                </c:pt>
                <c:pt idx="22" formatCode="0.0%">
                  <c:v>0.12050556359206799</c:v>
                </c:pt>
                <c:pt idx="23" formatCode="0.0%">
                  <c:v>0.12050556359206799</c:v>
                </c:pt>
                <c:pt idx="24" formatCode="0.0%">
                  <c:v>0.12050556359206799</c:v>
                </c:pt>
                <c:pt idx="25" formatCode="0.0%">
                  <c:v>0.12050556359206799</c:v>
                </c:pt>
                <c:pt idx="26" formatCode="0.0%">
                  <c:v>0.12050556359206799</c:v>
                </c:pt>
                <c:pt idx="27" formatCode="0.0%">
                  <c:v>0.12050556359206799</c:v>
                </c:pt>
                <c:pt idx="28" formatCode="0.0%">
                  <c:v>0.12050556359206799</c:v>
                </c:pt>
                <c:pt idx="29" formatCode="0.0%">
                  <c:v>0.12050556359206799</c:v>
                </c:pt>
                <c:pt idx="30" formatCode="0.0%">
                  <c:v>0.12050556359206799</c:v>
                </c:pt>
                <c:pt idx="31" formatCode="0.0%">
                  <c:v>0.12050556359206799</c:v>
                </c:pt>
                <c:pt idx="32" formatCode="0.0%">
                  <c:v>0.12050556359206799</c:v>
                </c:pt>
                <c:pt idx="33" formatCode="0.0%">
                  <c:v>0.12050556359206799</c:v>
                </c:pt>
                <c:pt idx="34" formatCode="0.0%">
                  <c:v>0.12050556359206799</c:v>
                </c:pt>
                <c:pt idx="35" formatCode="0.0%">
                  <c:v>0.12050556359206799</c:v>
                </c:pt>
                <c:pt idx="36" formatCode="0.0%">
                  <c:v>0.12050556359206799</c:v>
                </c:pt>
                <c:pt idx="37" formatCode="0.0%">
                  <c:v>0.12050556359206799</c:v>
                </c:pt>
                <c:pt idx="38" formatCode="0.0%">
                  <c:v>0.12050556359206799</c:v>
                </c:pt>
                <c:pt idx="39" formatCode="0.0%">
                  <c:v>0.12050556359206799</c:v>
                </c:pt>
                <c:pt idx="40" formatCode="0.0%">
                  <c:v>0.12050556359206799</c:v>
                </c:pt>
                <c:pt idx="41" formatCode="0.0%">
                  <c:v>0.12050556359206799</c:v>
                </c:pt>
                <c:pt idx="42" formatCode="0.0%">
                  <c:v>0.12050556359206799</c:v>
                </c:pt>
              </c:numCache>
            </c:numRef>
          </c:val>
          <c:extLst>
            <c:ext xmlns:c16="http://schemas.microsoft.com/office/drawing/2014/chart" uri="{C3380CC4-5D6E-409C-BE32-E72D297353CC}">
              <c16:uniqueId val="{00000000-2D79-48F4-A1A9-62EDAD17AF8D}"/>
            </c:ext>
          </c:extLst>
        </c:ser>
        <c:dLbls>
          <c:showLegendKey val="0"/>
          <c:showVal val="0"/>
          <c:showCatName val="0"/>
          <c:showSerName val="0"/>
          <c:showPercent val="0"/>
          <c:showBubbleSize val="0"/>
        </c:dLbls>
        <c:gapWidth val="219"/>
        <c:overlap val="-27"/>
        <c:axId val="1007836512"/>
        <c:axId val="1409797776"/>
      </c:barChart>
      <c:catAx>
        <c:axId val="1007836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Ano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409797776"/>
        <c:crosses val="autoZero"/>
        <c:auto val="1"/>
        <c:lblAlgn val="ctr"/>
        <c:lblOffset val="100"/>
        <c:noMultiLvlLbl val="0"/>
      </c:catAx>
      <c:valAx>
        <c:axId val="14097977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Custo de Capital dos Acionistas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007836512"/>
        <c:crosses val="autoZero"/>
        <c:crossBetween val="between"/>
      </c:valAx>
      <c:spPr>
        <a:noFill/>
        <a:ln>
          <a:solidFill>
            <a:schemeClr val="bg1">
              <a:lumMod val="8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sz="1000">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52645179395267"/>
          <c:y val="5.0925925925925923E-2"/>
          <c:w val="0.8388950403895481"/>
          <c:h val="0.67000729075532217"/>
        </c:manualLayout>
      </c:layout>
      <c:barChart>
        <c:barDir val="col"/>
        <c:grouping val="clustered"/>
        <c:varyColors val="0"/>
        <c:ser>
          <c:idx val="0"/>
          <c:order val="0"/>
          <c:tx>
            <c:strRef>
              <c:f>'Gráficos - Monografia'!$A$86</c:f>
              <c:strCache>
                <c:ptCount val="1"/>
                <c:pt idx="0">
                  <c:v>CAPEX - 1P</c:v>
                </c:pt>
              </c:strCache>
            </c:strRef>
          </c:tx>
          <c:spPr>
            <a:solidFill>
              <a:schemeClr val="accent6">
                <a:lumMod val="50000"/>
              </a:schemeClr>
            </a:solidFill>
            <a:ln>
              <a:noFill/>
            </a:ln>
            <a:effectLst/>
          </c:spPr>
          <c:invertIfNegative val="0"/>
          <c:cat>
            <c:numRef>
              <c:extLst>
                <c:ext xmlns:c15="http://schemas.microsoft.com/office/drawing/2012/chart" uri="{02D57815-91ED-43cb-92C2-25804820EDAC}">
                  <c15:fullRef>
                    <c15:sqref>'Gráficos - Monografia'!$B$85:$AS$85</c15:sqref>
                  </c15:fullRef>
                </c:ext>
              </c:extLst>
              <c:f>'Gráficos - Monografia'!$B$85:$AQ$85</c:f>
              <c:numCache>
                <c:formatCode>General</c:formatCode>
                <c:ptCount val="4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numCache>
            </c:numRef>
          </c:cat>
          <c:val>
            <c:numRef>
              <c:extLst>
                <c:ext xmlns:c15="http://schemas.microsoft.com/office/drawing/2012/chart" uri="{02D57815-91ED-43cb-92C2-25804820EDAC}">
                  <c15:fullRef>
                    <c15:sqref>'Gráficos - Monografia'!$B$86:$AS$86</c15:sqref>
                  </c15:fullRef>
                </c:ext>
              </c:extLst>
              <c:f>'Gráficos - Monografia'!$B$86:$AQ$86</c:f>
              <c:numCache>
                <c:formatCode>#,##0</c:formatCode>
                <c:ptCount val="42"/>
                <c:pt idx="0">
                  <c:v>-2019.9030495151999</c:v>
                </c:pt>
                <c:pt idx="1">
                  <c:v>-1823.1108885152003</c:v>
                </c:pt>
                <c:pt idx="2">
                  <c:v>-1472.7224632351999</c:v>
                </c:pt>
                <c:pt idx="3">
                  <c:v>-1629.5186606791999</c:v>
                </c:pt>
                <c:pt idx="4">
                  <c:v>-1320.2367267642082</c:v>
                </c:pt>
                <c:pt idx="5">
                  <c:v>-1373.9583728337916</c:v>
                </c:pt>
                <c:pt idx="6">
                  <c:v>-245.06946577319829</c:v>
                </c:pt>
                <c:pt idx="7">
                  <c:v>-252.11032479641904</c:v>
                </c:pt>
                <c:pt idx="8">
                  <c:v>-163.06907314931595</c:v>
                </c:pt>
                <c:pt idx="9">
                  <c:v>-167.64955302708401</c:v>
                </c:pt>
                <c:pt idx="10">
                  <c:v>-172.38043861353356</c:v>
                </c:pt>
                <c:pt idx="11">
                  <c:v>-177.23986971585776</c:v>
                </c:pt>
                <c:pt idx="12">
                  <c:v>-182.25886623452212</c:v>
                </c:pt>
                <c:pt idx="13">
                  <c:v>-187.41423669097779</c:v>
                </c:pt>
                <c:pt idx="14">
                  <c:v>-192.73889009762883</c:v>
                </c:pt>
                <c:pt idx="15">
                  <c:v>-198.20822261488263</c:v>
                </c:pt>
                <c:pt idx="16">
                  <c:v>-203.85714741399869</c:v>
                </c:pt>
                <c:pt idx="17">
                  <c:v>-209.65956228155329</c:v>
                </c:pt>
                <c:pt idx="18">
                  <c:v>-215.65250660093554</c:v>
                </c:pt>
                <c:pt idx="19">
                  <c:v>-221.80828853392418</c:v>
                </c:pt>
                <c:pt idx="20">
                  <c:v>-68.710901486120648</c:v>
                </c:pt>
                <c:pt idx="21">
                  <c:v>-70.457911488541257</c:v>
                </c:pt>
                <c:pt idx="22">
                  <c:v>-72.275854296049715</c:v>
                </c:pt>
                <c:pt idx="23">
                  <c:v>-74.129257207617712</c:v>
                </c:pt>
                <c:pt idx="24">
                  <c:v>-76.057912732103475</c:v>
                </c:pt>
                <c:pt idx="25">
                  <c:v>-78.024187880985963</c:v>
                </c:pt>
                <c:pt idx="26">
                  <c:v>-10.173088515200186</c:v>
                </c:pt>
                <c:pt idx="27">
                  <c:v>-10.173088515200186</c:v>
                </c:pt>
                <c:pt idx="28">
                  <c:v>-10.173088515200186</c:v>
                </c:pt>
                <c:pt idx="29">
                  <c:v>0</c:v>
                </c:pt>
                <c:pt idx="30">
                  <c:v>0</c:v>
                </c:pt>
                <c:pt idx="31">
                  <c:v>0</c:v>
                </c:pt>
                <c:pt idx="32">
                  <c:v>0</c:v>
                </c:pt>
                <c:pt idx="33">
                  <c:v>0</c:v>
                </c:pt>
                <c:pt idx="34">
                  <c:v>0</c:v>
                </c:pt>
                <c:pt idx="35">
                  <c:v>0</c:v>
                </c:pt>
                <c:pt idx="36">
                  <c:v>0</c:v>
                </c:pt>
                <c:pt idx="37">
                  <c:v>0</c:v>
                </c:pt>
                <c:pt idx="38">
                  <c:v>0</c:v>
                </c:pt>
                <c:pt idx="39">
                  <c:v>0</c:v>
                </c:pt>
                <c:pt idx="40">
                  <c:v>0</c:v>
                </c:pt>
                <c:pt idx="41">
                  <c:v>0</c:v>
                </c:pt>
              </c:numCache>
            </c:numRef>
          </c:val>
          <c:extLst>
            <c:ext xmlns:c16="http://schemas.microsoft.com/office/drawing/2014/chart" uri="{C3380CC4-5D6E-409C-BE32-E72D297353CC}">
              <c16:uniqueId val="{00000000-CF1E-4F16-B236-4284EC1D425F}"/>
            </c:ext>
          </c:extLst>
        </c:ser>
        <c:ser>
          <c:idx val="1"/>
          <c:order val="1"/>
          <c:tx>
            <c:strRef>
              <c:f>'Gráficos - Monografia'!$A$87</c:f>
              <c:strCache>
                <c:ptCount val="1"/>
                <c:pt idx="0">
                  <c:v>CAPEX - 2P</c:v>
                </c:pt>
              </c:strCache>
            </c:strRef>
          </c:tx>
          <c:spPr>
            <a:solidFill>
              <a:schemeClr val="accent4">
                <a:lumMod val="50000"/>
              </a:schemeClr>
            </a:solidFill>
            <a:ln>
              <a:noFill/>
            </a:ln>
            <a:effectLst/>
          </c:spPr>
          <c:invertIfNegative val="0"/>
          <c:cat>
            <c:numRef>
              <c:extLst>
                <c:ext xmlns:c15="http://schemas.microsoft.com/office/drawing/2012/chart" uri="{02D57815-91ED-43cb-92C2-25804820EDAC}">
                  <c15:fullRef>
                    <c15:sqref>'Gráficos - Monografia'!$B$85:$AS$85</c15:sqref>
                  </c15:fullRef>
                </c:ext>
              </c:extLst>
              <c:f>'Gráficos - Monografia'!$B$85:$AQ$85</c:f>
              <c:numCache>
                <c:formatCode>General</c:formatCode>
                <c:ptCount val="4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numCache>
            </c:numRef>
          </c:cat>
          <c:val>
            <c:numRef>
              <c:extLst>
                <c:ext xmlns:c15="http://schemas.microsoft.com/office/drawing/2012/chart" uri="{02D57815-91ED-43cb-92C2-25804820EDAC}">
                  <c15:fullRef>
                    <c15:sqref>'Gráficos - Monografia'!$B$87:$AS$87</c15:sqref>
                  </c15:fullRef>
                </c:ext>
              </c:extLst>
              <c:f>'Gráficos - Monografia'!$B$87:$AQ$87</c:f>
              <c:numCache>
                <c:formatCode>#,##0</c:formatCode>
                <c:ptCount val="42"/>
                <c:pt idx="0">
                  <c:v>-2019.9030495151999</c:v>
                </c:pt>
                <c:pt idx="1">
                  <c:v>-2014.3608885152003</c:v>
                </c:pt>
                <c:pt idx="2">
                  <c:v>-1632.6527512352004</c:v>
                </c:pt>
                <c:pt idx="3">
                  <c:v>-1629.5186606791999</c:v>
                </c:pt>
                <c:pt idx="4">
                  <c:v>-1320.2367267642082</c:v>
                </c:pt>
                <c:pt idx="5">
                  <c:v>-1373.9583728337916</c:v>
                </c:pt>
                <c:pt idx="6">
                  <c:v>-245.06946577319829</c:v>
                </c:pt>
                <c:pt idx="7">
                  <c:v>-252.11032479641904</c:v>
                </c:pt>
                <c:pt idx="8">
                  <c:v>-259.37465514821037</c:v>
                </c:pt>
                <c:pt idx="9">
                  <c:v>-266.84430248594526</c:v>
                </c:pt>
                <c:pt idx="10">
                  <c:v>-274.55103055616064</c:v>
                </c:pt>
                <c:pt idx="11">
                  <c:v>-282.47557941676365</c:v>
                </c:pt>
                <c:pt idx="12">
                  <c:v>-290.65164722645522</c:v>
                </c:pt>
                <c:pt idx="13">
                  <c:v>-187.41423669097779</c:v>
                </c:pt>
                <c:pt idx="14">
                  <c:v>-192.73889009762883</c:v>
                </c:pt>
                <c:pt idx="15">
                  <c:v>-198.20822261488263</c:v>
                </c:pt>
                <c:pt idx="16">
                  <c:v>-203.85714741399869</c:v>
                </c:pt>
                <c:pt idx="17">
                  <c:v>-209.65956228155329</c:v>
                </c:pt>
                <c:pt idx="18">
                  <c:v>-215.65250660093554</c:v>
                </c:pt>
                <c:pt idx="19">
                  <c:v>-221.80828853392418</c:v>
                </c:pt>
                <c:pt idx="20">
                  <c:v>-228.16620316235682</c:v>
                </c:pt>
                <c:pt idx="21">
                  <c:v>-234.69687221506459</c:v>
                </c:pt>
                <c:pt idx="22">
                  <c:v>-241.44198384436865</c:v>
                </c:pt>
                <c:pt idx="23">
                  <c:v>-248.37037064238629</c:v>
                </c:pt>
                <c:pt idx="24">
                  <c:v>-255.52625956991508</c:v>
                </c:pt>
                <c:pt idx="25">
                  <c:v>-262.87658512393187</c:v>
                </c:pt>
                <c:pt idx="26">
                  <c:v>-10.173088515200186</c:v>
                </c:pt>
                <c:pt idx="27">
                  <c:v>-10.173088515200186</c:v>
                </c:pt>
                <c:pt idx="28">
                  <c:v>-10.173088515200186</c:v>
                </c:pt>
                <c:pt idx="29">
                  <c:v>0</c:v>
                </c:pt>
                <c:pt idx="30">
                  <c:v>0</c:v>
                </c:pt>
                <c:pt idx="31">
                  <c:v>0</c:v>
                </c:pt>
                <c:pt idx="32">
                  <c:v>0</c:v>
                </c:pt>
                <c:pt idx="33">
                  <c:v>0</c:v>
                </c:pt>
                <c:pt idx="34">
                  <c:v>0</c:v>
                </c:pt>
                <c:pt idx="35">
                  <c:v>0</c:v>
                </c:pt>
                <c:pt idx="36">
                  <c:v>0</c:v>
                </c:pt>
                <c:pt idx="37">
                  <c:v>0</c:v>
                </c:pt>
                <c:pt idx="38">
                  <c:v>0</c:v>
                </c:pt>
                <c:pt idx="39">
                  <c:v>0</c:v>
                </c:pt>
                <c:pt idx="40">
                  <c:v>0</c:v>
                </c:pt>
                <c:pt idx="41">
                  <c:v>0</c:v>
                </c:pt>
              </c:numCache>
            </c:numRef>
          </c:val>
          <c:extLst>
            <c:ext xmlns:c16="http://schemas.microsoft.com/office/drawing/2014/chart" uri="{C3380CC4-5D6E-409C-BE32-E72D297353CC}">
              <c16:uniqueId val="{00000001-CF1E-4F16-B236-4284EC1D425F}"/>
            </c:ext>
          </c:extLst>
        </c:ser>
        <c:ser>
          <c:idx val="2"/>
          <c:order val="2"/>
          <c:tx>
            <c:strRef>
              <c:f>'Gráficos - Monografia'!$A$88</c:f>
              <c:strCache>
                <c:ptCount val="1"/>
                <c:pt idx="0">
                  <c:v>CAPEX - 3P</c:v>
                </c:pt>
              </c:strCache>
            </c:strRef>
          </c:tx>
          <c:spPr>
            <a:solidFill>
              <a:schemeClr val="accent3"/>
            </a:solidFill>
            <a:ln>
              <a:noFill/>
            </a:ln>
            <a:effectLst/>
          </c:spPr>
          <c:invertIfNegative val="0"/>
          <c:cat>
            <c:numRef>
              <c:extLst>
                <c:ext xmlns:c15="http://schemas.microsoft.com/office/drawing/2012/chart" uri="{02D57815-91ED-43cb-92C2-25804820EDAC}">
                  <c15:fullRef>
                    <c15:sqref>'Gráficos - Monografia'!$B$85:$AS$85</c15:sqref>
                  </c15:fullRef>
                </c:ext>
              </c:extLst>
              <c:f>'Gráficos - Monografia'!$B$85:$AQ$85</c:f>
              <c:numCache>
                <c:formatCode>General</c:formatCode>
                <c:ptCount val="4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numCache>
            </c:numRef>
          </c:cat>
          <c:val>
            <c:numRef>
              <c:extLst>
                <c:ext xmlns:c15="http://schemas.microsoft.com/office/drawing/2012/chart" uri="{02D57815-91ED-43cb-92C2-25804820EDAC}">
                  <c15:fullRef>
                    <c15:sqref>'Gráficos - Monografia'!$B$88:$AS$88</c15:sqref>
                  </c15:fullRef>
                </c:ext>
              </c:extLst>
              <c:f>'Gráficos - Monografia'!$B$88:$AQ$88</c:f>
              <c:numCache>
                <c:formatCode>#,##0</c:formatCode>
                <c:ptCount val="42"/>
                <c:pt idx="0">
                  <c:v>-2019.9030495151999</c:v>
                </c:pt>
                <c:pt idx="1">
                  <c:v>-2014.3608885152003</c:v>
                </c:pt>
                <c:pt idx="2">
                  <c:v>-1632.6527512352004</c:v>
                </c:pt>
                <c:pt idx="3">
                  <c:v>-1629.5186606791999</c:v>
                </c:pt>
                <c:pt idx="4">
                  <c:v>-1320.2367267642082</c:v>
                </c:pt>
                <c:pt idx="5">
                  <c:v>-1373.9583728337916</c:v>
                </c:pt>
                <c:pt idx="6">
                  <c:v>-245.06946577319829</c:v>
                </c:pt>
                <c:pt idx="7">
                  <c:v>-252.11032479641904</c:v>
                </c:pt>
                <c:pt idx="8">
                  <c:v>-259.37465514821037</c:v>
                </c:pt>
                <c:pt idx="9">
                  <c:v>-266.84430248594526</c:v>
                </c:pt>
                <c:pt idx="10">
                  <c:v>-274.55103055616064</c:v>
                </c:pt>
                <c:pt idx="11">
                  <c:v>-282.47557941676365</c:v>
                </c:pt>
                <c:pt idx="12">
                  <c:v>-290.65164722645522</c:v>
                </c:pt>
                <c:pt idx="13">
                  <c:v>-299.0588011126689</c:v>
                </c:pt>
                <c:pt idx="14">
                  <c:v>-307.73279145197057</c:v>
                </c:pt>
                <c:pt idx="15">
                  <c:v>-316.65194100985474</c:v>
                </c:pt>
                <c:pt idx="16">
                  <c:v>-325.85417736081996</c:v>
                </c:pt>
                <c:pt idx="17">
                  <c:v>-335.31650312677914</c:v>
                </c:pt>
                <c:pt idx="18">
                  <c:v>-345.07915567151815</c:v>
                </c:pt>
                <c:pt idx="19">
                  <c:v>-355.11773707662428</c:v>
                </c:pt>
                <c:pt idx="20">
                  <c:v>-365.47493516133795</c:v>
                </c:pt>
                <c:pt idx="21">
                  <c:v>-376.1248661740151</c:v>
                </c:pt>
                <c:pt idx="22">
                  <c:v>-241.44198384436865</c:v>
                </c:pt>
                <c:pt idx="23">
                  <c:v>-248.37037064238629</c:v>
                </c:pt>
                <c:pt idx="24">
                  <c:v>-255.52625956991508</c:v>
                </c:pt>
                <c:pt idx="25">
                  <c:v>-262.87658512393187</c:v>
                </c:pt>
                <c:pt idx="26">
                  <c:v>-80.070298526912865</c:v>
                </c:pt>
                <c:pt idx="27">
                  <c:v>-82.156319832362314</c:v>
                </c:pt>
                <c:pt idx="28">
                  <c:v>-10.173088515200186</c:v>
                </c:pt>
                <c:pt idx="29">
                  <c:v>-10.173088515200186</c:v>
                </c:pt>
                <c:pt idx="30">
                  <c:v>-10.173088515200186</c:v>
                </c:pt>
                <c:pt idx="31">
                  <c:v>0</c:v>
                </c:pt>
                <c:pt idx="32">
                  <c:v>0</c:v>
                </c:pt>
                <c:pt idx="33">
                  <c:v>0</c:v>
                </c:pt>
                <c:pt idx="34">
                  <c:v>0</c:v>
                </c:pt>
                <c:pt idx="35">
                  <c:v>0</c:v>
                </c:pt>
                <c:pt idx="36">
                  <c:v>0</c:v>
                </c:pt>
                <c:pt idx="37">
                  <c:v>0</c:v>
                </c:pt>
                <c:pt idx="38">
                  <c:v>0</c:v>
                </c:pt>
                <c:pt idx="39">
                  <c:v>0</c:v>
                </c:pt>
                <c:pt idx="40">
                  <c:v>0</c:v>
                </c:pt>
                <c:pt idx="41">
                  <c:v>0</c:v>
                </c:pt>
              </c:numCache>
            </c:numRef>
          </c:val>
          <c:extLst>
            <c:ext xmlns:c16="http://schemas.microsoft.com/office/drawing/2014/chart" uri="{C3380CC4-5D6E-409C-BE32-E72D297353CC}">
              <c16:uniqueId val="{00000002-CF1E-4F16-B236-4284EC1D425F}"/>
            </c:ext>
          </c:extLst>
        </c:ser>
        <c:dLbls>
          <c:showLegendKey val="0"/>
          <c:showVal val="0"/>
          <c:showCatName val="0"/>
          <c:showSerName val="0"/>
          <c:showPercent val="0"/>
          <c:showBubbleSize val="0"/>
        </c:dLbls>
        <c:gapWidth val="219"/>
        <c:overlap val="-27"/>
        <c:axId val="1265846944"/>
        <c:axId val="539667680"/>
      </c:barChart>
      <c:catAx>
        <c:axId val="1265846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539667680"/>
        <c:crosses val="autoZero"/>
        <c:auto val="1"/>
        <c:lblAlgn val="ctr"/>
        <c:lblOffset val="100"/>
        <c:noMultiLvlLbl val="0"/>
      </c:catAx>
      <c:valAx>
        <c:axId val="539667680"/>
        <c:scaling>
          <c:orientation val="minMax"/>
          <c:max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Capex em Milhões de Reais (Mi 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265846944"/>
        <c:crosses val="autoZero"/>
        <c:crossBetween val="between"/>
      </c:valAx>
      <c:spPr>
        <a:noFill/>
        <a:ln>
          <a:solidFill>
            <a:schemeClr val="bg1">
              <a:lumMod val="85000"/>
            </a:schemeClr>
          </a:solidFill>
        </a:ln>
        <a:effectLst/>
      </c:spPr>
    </c:plotArea>
    <c:legend>
      <c:legendPos val="b"/>
      <c:layout>
        <c:manualLayout>
          <c:xMode val="edge"/>
          <c:yMode val="edge"/>
          <c:x val="0.29140052346397877"/>
          <c:y val="0.90335593467483233"/>
          <c:w val="0.41719895307204247"/>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09406912371247"/>
          <c:y val="5.0925925925925923E-2"/>
          <c:w val="0.85648783854334287"/>
          <c:h val="0.64222951297754438"/>
        </c:manualLayout>
      </c:layout>
      <c:barChart>
        <c:barDir val="col"/>
        <c:grouping val="clustered"/>
        <c:varyColors val="0"/>
        <c:ser>
          <c:idx val="0"/>
          <c:order val="0"/>
          <c:tx>
            <c:strRef>
              <c:f>'Gráficos - Monografia'!$A$98</c:f>
              <c:strCache>
                <c:ptCount val="1"/>
                <c:pt idx="0">
                  <c:v>Royalties e Participações Especiais - 1P</c:v>
                </c:pt>
              </c:strCache>
            </c:strRef>
          </c:tx>
          <c:spPr>
            <a:solidFill>
              <a:srgbClr val="C00000"/>
            </a:solidFill>
            <a:ln>
              <a:noFill/>
            </a:ln>
            <a:effectLst/>
          </c:spPr>
          <c:invertIfNegative val="0"/>
          <c:cat>
            <c:numRef>
              <c:f>'Gráficos - Monografia'!$B$97:$AJ$97</c:f>
              <c:numCache>
                <c:formatCode>General</c:formatCode>
                <c:ptCount val="3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pt idx="32">
                  <c:v>2053</c:v>
                </c:pt>
                <c:pt idx="33">
                  <c:v>2054</c:v>
                </c:pt>
                <c:pt idx="34">
                  <c:v>2055</c:v>
                </c:pt>
              </c:numCache>
            </c:numRef>
          </c:cat>
          <c:val>
            <c:numRef>
              <c:f>'Gráficos - Monografia'!$B$98:$AJ$98</c:f>
              <c:numCache>
                <c:formatCode>0.0%</c:formatCode>
                <c:ptCount val="35"/>
                <c:pt idx="0">
                  <c:v>-0.10254762989222277</c:v>
                </c:pt>
                <c:pt idx="1">
                  <c:v>-9.5198759105202244E-2</c:v>
                </c:pt>
                <c:pt idx="2">
                  <c:v>-9.2800422275836819E-2</c:v>
                </c:pt>
                <c:pt idx="3">
                  <c:v>-9.7145811249954223E-2</c:v>
                </c:pt>
                <c:pt idx="4">
                  <c:v>-9.544109916098506E-2</c:v>
                </c:pt>
                <c:pt idx="5">
                  <c:v>-9.6514350886209244E-2</c:v>
                </c:pt>
                <c:pt idx="6">
                  <c:v>-9.3968739993403438E-2</c:v>
                </c:pt>
                <c:pt idx="7">
                  <c:v>-8.7396034755599289E-2</c:v>
                </c:pt>
                <c:pt idx="8">
                  <c:v>-8.1978216241779076E-2</c:v>
                </c:pt>
                <c:pt idx="9">
                  <c:v>-9.6772923705275682E-2</c:v>
                </c:pt>
                <c:pt idx="10">
                  <c:v>-9.2678823530109741E-2</c:v>
                </c:pt>
                <c:pt idx="11">
                  <c:v>-8.9275656752008326E-2</c:v>
                </c:pt>
                <c:pt idx="12">
                  <c:v>-8.5753724612043197E-2</c:v>
                </c:pt>
                <c:pt idx="13">
                  <c:v>-8.5846493523469541E-2</c:v>
                </c:pt>
                <c:pt idx="14">
                  <c:v>-8.5821916438619056E-2</c:v>
                </c:pt>
                <c:pt idx="15">
                  <c:v>-8.5787961752289643E-2</c:v>
                </c:pt>
                <c:pt idx="16">
                  <c:v>-8.6470793721278152E-2</c:v>
                </c:pt>
                <c:pt idx="17">
                  <c:v>-8.6458695328341093E-2</c:v>
                </c:pt>
                <c:pt idx="18">
                  <c:v>-8.6443163841620513E-2</c:v>
                </c:pt>
                <c:pt idx="19">
                  <c:v>-8.6436800361186894E-2</c:v>
                </c:pt>
                <c:pt idx="20">
                  <c:v>-8.6433944977818034E-2</c:v>
                </c:pt>
                <c:pt idx="21">
                  <c:v>-8.6443333139628778E-2</c:v>
                </c:pt>
                <c:pt idx="22">
                  <c:v>-8.6440885369292814E-2</c:v>
                </c:pt>
                <c:pt idx="23">
                  <c:v>-8.6447601048588688E-2</c:v>
                </c:pt>
                <c:pt idx="24">
                  <c:v>-8.6401077208235325E-2</c:v>
                </c:pt>
                <c:pt idx="25">
                  <c:v>-8.6415515317943878E-2</c:v>
                </c:pt>
                <c:pt idx="26">
                  <c:v>-8.634536044595148E-2</c:v>
                </c:pt>
                <c:pt idx="27">
                  <c:v>-8.6352798167282252E-2</c:v>
                </c:pt>
                <c:pt idx="28">
                  <c:v>-8.6424152578612773E-2</c:v>
                </c:pt>
                <c:pt idx="29">
                  <c:v>0</c:v>
                </c:pt>
                <c:pt idx="30">
                  <c:v>0</c:v>
                </c:pt>
                <c:pt idx="31">
                  <c:v>0</c:v>
                </c:pt>
                <c:pt idx="32">
                  <c:v>0</c:v>
                </c:pt>
                <c:pt idx="33">
                  <c:v>0</c:v>
                </c:pt>
                <c:pt idx="34">
                  <c:v>0</c:v>
                </c:pt>
              </c:numCache>
            </c:numRef>
          </c:val>
          <c:extLst>
            <c:ext xmlns:c16="http://schemas.microsoft.com/office/drawing/2014/chart" uri="{C3380CC4-5D6E-409C-BE32-E72D297353CC}">
              <c16:uniqueId val="{00000000-EF83-455D-BD17-D1C38CF8512E}"/>
            </c:ext>
          </c:extLst>
        </c:ser>
        <c:ser>
          <c:idx val="1"/>
          <c:order val="1"/>
          <c:tx>
            <c:strRef>
              <c:f>'Gráficos - Monografia'!$A$99</c:f>
              <c:strCache>
                <c:ptCount val="1"/>
                <c:pt idx="0">
                  <c:v>Royalties e Participações Especiais - 2P</c:v>
                </c:pt>
              </c:strCache>
            </c:strRef>
          </c:tx>
          <c:spPr>
            <a:solidFill>
              <a:srgbClr val="FFC000"/>
            </a:solidFill>
            <a:ln>
              <a:noFill/>
            </a:ln>
            <a:effectLst/>
          </c:spPr>
          <c:invertIfNegative val="0"/>
          <c:cat>
            <c:numRef>
              <c:f>'Gráficos - Monografia'!$B$97:$AJ$97</c:f>
              <c:numCache>
                <c:formatCode>General</c:formatCode>
                <c:ptCount val="3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pt idx="32">
                  <c:v>2053</c:v>
                </c:pt>
                <c:pt idx="33">
                  <c:v>2054</c:v>
                </c:pt>
                <c:pt idx="34">
                  <c:v>2055</c:v>
                </c:pt>
              </c:numCache>
            </c:numRef>
          </c:cat>
          <c:val>
            <c:numRef>
              <c:f>'Gráficos - Monografia'!$B$99:$AJ$99</c:f>
              <c:numCache>
                <c:formatCode>0.0%</c:formatCode>
                <c:ptCount val="35"/>
                <c:pt idx="0">
                  <c:v>-0.1048455144644876</c:v>
                </c:pt>
                <c:pt idx="1">
                  <c:v>-9.6299652398529265E-2</c:v>
                </c:pt>
                <c:pt idx="2">
                  <c:v>-0.1005583723519704</c:v>
                </c:pt>
                <c:pt idx="3">
                  <c:v>-0.10847493160591691</c:v>
                </c:pt>
                <c:pt idx="4">
                  <c:v>-0.11129995854709392</c:v>
                </c:pt>
                <c:pt idx="5">
                  <c:v>-0.11643293981757732</c:v>
                </c:pt>
                <c:pt idx="6">
                  <c:v>-0.11105386530572317</c:v>
                </c:pt>
                <c:pt idx="7">
                  <c:v>-9.8691074842137516E-2</c:v>
                </c:pt>
                <c:pt idx="8">
                  <c:v>-9.1801269212573006E-2</c:v>
                </c:pt>
                <c:pt idx="9">
                  <c:v>-0.10213616313062882</c:v>
                </c:pt>
                <c:pt idx="10">
                  <c:v>-9.7527399615283908E-2</c:v>
                </c:pt>
                <c:pt idx="11">
                  <c:v>-9.544843736507555E-2</c:v>
                </c:pt>
                <c:pt idx="12">
                  <c:v>-9.2060515241005308E-2</c:v>
                </c:pt>
                <c:pt idx="13">
                  <c:v>-8.8254751539578014E-2</c:v>
                </c:pt>
                <c:pt idx="14">
                  <c:v>-8.5642200906578619E-2</c:v>
                </c:pt>
                <c:pt idx="15">
                  <c:v>-8.6126478523207803E-2</c:v>
                </c:pt>
                <c:pt idx="16">
                  <c:v>-8.6328376138738699E-2</c:v>
                </c:pt>
                <c:pt idx="17">
                  <c:v>-8.6325262476328851E-2</c:v>
                </c:pt>
                <c:pt idx="18">
                  <c:v>-8.6331495528463559E-2</c:v>
                </c:pt>
                <c:pt idx="19">
                  <c:v>-8.6335553029435269E-2</c:v>
                </c:pt>
                <c:pt idx="20">
                  <c:v>-8.6347199803266272E-2</c:v>
                </c:pt>
                <c:pt idx="21">
                  <c:v>-8.6359618052122555E-2</c:v>
                </c:pt>
                <c:pt idx="22">
                  <c:v>-8.6370866040618027E-2</c:v>
                </c:pt>
                <c:pt idx="23">
                  <c:v>-8.6375456137106524E-2</c:v>
                </c:pt>
                <c:pt idx="24">
                  <c:v>-8.6399952723578685E-2</c:v>
                </c:pt>
                <c:pt idx="25">
                  <c:v>-8.6411369064822108E-2</c:v>
                </c:pt>
                <c:pt idx="26">
                  <c:v>-8.6416242864443313E-2</c:v>
                </c:pt>
                <c:pt idx="27">
                  <c:v>-8.6411281369354789E-2</c:v>
                </c:pt>
                <c:pt idx="28">
                  <c:v>-8.6506084238310313E-2</c:v>
                </c:pt>
                <c:pt idx="29">
                  <c:v>0</c:v>
                </c:pt>
                <c:pt idx="30">
                  <c:v>0</c:v>
                </c:pt>
                <c:pt idx="31">
                  <c:v>0</c:v>
                </c:pt>
                <c:pt idx="32">
                  <c:v>0</c:v>
                </c:pt>
                <c:pt idx="33">
                  <c:v>0</c:v>
                </c:pt>
                <c:pt idx="34">
                  <c:v>0</c:v>
                </c:pt>
              </c:numCache>
            </c:numRef>
          </c:val>
          <c:extLst>
            <c:ext xmlns:c16="http://schemas.microsoft.com/office/drawing/2014/chart" uri="{C3380CC4-5D6E-409C-BE32-E72D297353CC}">
              <c16:uniqueId val="{00000001-EF83-455D-BD17-D1C38CF8512E}"/>
            </c:ext>
          </c:extLst>
        </c:ser>
        <c:ser>
          <c:idx val="2"/>
          <c:order val="2"/>
          <c:tx>
            <c:strRef>
              <c:f>'Gráficos - Monografia'!$A$100</c:f>
              <c:strCache>
                <c:ptCount val="1"/>
                <c:pt idx="0">
                  <c:v>Royalties e Participações Especiais - 3P</c:v>
                </c:pt>
              </c:strCache>
            </c:strRef>
          </c:tx>
          <c:spPr>
            <a:solidFill>
              <a:schemeClr val="accent6">
                <a:lumMod val="50000"/>
              </a:schemeClr>
            </a:solidFill>
            <a:ln>
              <a:noFill/>
            </a:ln>
            <a:effectLst/>
          </c:spPr>
          <c:invertIfNegative val="0"/>
          <c:cat>
            <c:numRef>
              <c:f>'Gráficos - Monografia'!$B$97:$AJ$97</c:f>
              <c:numCache>
                <c:formatCode>General</c:formatCode>
                <c:ptCount val="3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pt idx="32">
                  <c:v>2053</c:v>
                </c:pt>
                <c:pt idx="33">
                  <c:v>2054</c:v>
                </c:pt>
                <c:pt idx="34">
                  <c:v>2055</c:v>
                </c:pt>
              </c:numCache>
            </c:numRef>
          </c:cat>
          <c:val>
            <c:numRef>
              <c:f>'Gráficos - Monografia'!$B$100:$AJ$100</c:f>
              <c:numCache>
                <c:formatCode>0.0%</c:formatCode>
                <c:ptCount val="35"/>
                <c:pt idx="0">
                  <c:v>-0.10732304512791434</c:v>
                </c:pt>
                <c:pt idx="1">
                  <c:v>-9.7338226403491296E-2</c:v>
                </c:pt>
                <c:pt idx="2">
                  <c:v>-0.10624176579231154</c:v>
                </c:pt>
                <c:pt idx="3">
                  <c:v>-0.1196975311795562</c:v>
                </c:pt>
                <c:pt idx="4">
                  <c:v>-0.12223840120325706</c:v>
                </c:pt>
                <c:pt idx="5">
                  <c:v>-0.12852002013705549</c:v>
                </c:pt>
                <c:pt idx="6">
                  <c:v>-0.12369326617565145</c:v>
                </c:pt>
                <c:pt idx="7">
                  <c:v>-0.11037556490153574</c:v>
                </c:pt>
                <c:pt idx="8">
                  <c:v>-9.9363861328438538E-2</c:v>
                </c:pt>
                <c:pt idx="9">
                  <c:v>-0.10913042943247309</c:v>
                </c:pt>
                <c:pt idx="10">
                  <c:v>-0.10112098359253292</c:v>
                </c:pt>
                <c:pt idx="11">
                  <c:v>-9.935705343519971E-2</c:v>
                </c:pt>
                <c:pt idx="12">
                  <c:v>-9.6182420347104391E-2</c:v>
                </c:pt>
                <c:pt idx="13">
                  <c:v>-9.3053543923378543E-2</c:v>
                </c:pt>
                <c:pt idx="14">
                  <c:v>-8.987134035024269E-2</c:v>
                </c:pt>
                <c:pt idx="15">
                  <c:v>-8.6897329242011198E-2</c:v>
                </c:pt>
                <c:pt idx="16">
                  <c:v>-8.5557330682395127E-2</c:v>
                </c:pt>
                <c:pt idx="17">
                  <c:v>-8.5604241486183619E-2</c:v>
                </c:pt>
                <c:pt idx="18">
                  <c:v>-8.5658760713054172E-2</c:v>
                </c:pt>
                <c:pt idx="19">
                  <c:v>-8.5670244915118141E-2</c:v>
                </c:pt>
                <c:pt idx="20">
                  <c:v>-8.6125465214792002E-2</c:v>
                </c:pt>
                <c:pt idx="21">
                  <c:v>-8.6161854378207808E-2</c:v>
                </c:pt>
                <c:pt idx="22">
                  <c:v>-8.617173804252834E-2</c:v>
                </c:pt>
                <c:pt idx="23">
                  <c:v>-8.6170520452036312E-2</c:v>
                </c:pt>
                <c:pt idx="24">
                  <c:v>-8.6176132442930875E-2</c:v>
                </c:pt>
                <c:pt idx="25">
                  <c:v>-8.6432180672196615E-2</c:v>
                </c:pt>
                <c:pt idx="26">
                  <c:v>-8.6432883394493704E-2</c:v>
                </c:pt>
                <c:pt idx="27">
                  <c:v>-8.643230653986686E-2</c:v>
                </c:pt>
                <c:pt idx="28">
                  <c:v>-8.6504605243978488E-2</c:v>
                </c:pt>
                <c:pt idx="29">
                  <c:v>-8.7053082216799874E-2</c:v>
                </c:pt>
                <c:pt idx="30">
                  <c:v>-8.7037991286831873E-2</c:v>
                </c:pt>
                <c:pt idx="31">
                  <c:v>0</c:v>
                </c:pt>
                <c:pt idx="32">
                  <c:v>0</c:v>
                </c:pt>
                <c:pt idx="33">
                  <c:v>0</c:v>
                </c:pt>
                <c:pt idx="34">
                  <c:v>0</c:v>
                </c:pt>
              </c:numCache>
            </c:numRef>
          </c:val>
          <c:extLst>
            <c:ext xmlns:c16="http://schemas.microsoft.com/office/drawing/2014/chart" uri="{C3380CC4-5D6E-409C-BE32-E72D297353CC}">
              <c16:uniqueId val="{00000004-EF83-455D-BD17-D1C38CF8512E}"/>
            </c:ext>
          </c:extLst>
        </c:ser>
        <c:dLbls>
          <c:showLegendKey val="0"/>
          <c:showVal val="0"/>
          <c:showCatName val="0"/>
          <c:showSerName val="0"/>
          <c:showPercent val="0"/>
          <c:showBubbleSize val="0"/>
        </c:dLbls>
        <c:gapWidth val="219"/>
        <c:overlap val="-27"/>
        <c:axId val="1265846944"/>
        <c:axId val="539667680"/>
      </c:barChart>
      <c:catAx>
        <c:axId val="1265846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539667680"/>
        <c:crosses val="autoZero"/>
        <c:auto val="1"/>
        <c:lblAlgn val="ctr"/>
        <c:lblOffset val="100"/>
        <c:noMultiLvlLbl val="0"/>
      </c:catAx>
      <c:valAx>
        <c:axId val="539667680"/>
        <c:scaling>
          <c:orientation val="minMax"/>
          <c:max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Royaltie</a:t>
                </a:r>
                <a:r>
                  <a:rPr lang="pt-BR" baseline="0"/>
                  <a:t> e Particpações Especiais em percentual da Receita</a:t>
                </a:r>
                <a:endParaRPr lang="pt-BR"/>
              </a:p>
            </c:rich>
          </c:tx>
          <c:layout>
            <c:manualLayout>
              <c:xMode val="edge"/>
              <c:yMode val="edge"/>
              <c:x val="0"/>
              <c:y val="3.203711443244843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265846944"/>
        <c:crosses val="autoZero"/>
        <c:crossBetween val="between"/>
      </c:valAx>
      <c:spPr>
        <a:noFill/>
        <a:ln>
          <a:noFill/>
        </a:ln>
        <a:effectLst/>
      </c:spPr>
    </c:plotArea>
    <c:legend>
      <c:legendPos val="b"/>
      <c:layout>
        <c:manualLayout>
          <c:xMode val="edge"/>
          <c:yMode val="edge"/>
          <c:x val="8.9542165507389363E-3"/>
          <c:y val="0.89442465297977114"/>
          <c:w val="0.9307377019049089"/>
          <c:h val="0.101273694954797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299623956733724E-2"/>
          <c:y val="4.6464644247292887E-2"/>
          <c:w val="0.86580506732208673"/>
          <c:h val="0.6970816178915954"/>
        </c:manualLayout>
      </c:layout>
      <c:lineChart>
        <c:grouping val="standard"/>
        <c:varyColors val="0"/>
        <c:ser>
          <c:idx val="0"/>
          <c:order val="0"/>
          <c:tx>
            <c:strRef>
              <c:f>'Gráficos - Monografia'!$A$136</c:f>
              <c:strCache>
                <c:ptCount val="1"/>
                <c:pt idx="0">
                  <c:v>Receita Líquida</c:v>
                </c:pt>
              </c:strCache>
            </c:strRef>
          </c:tx>
          <c:spPr>
            <a:ln w="12700" cap="rnd">
              <a:solidFill>
                <a:schemeClr val="tx1"/>
              </a:solidFill>
              <a:round/>
            </a:ln>
            <a:effectLst/>
          </c:spPr>
          <c:marker>
            <c:symbol val="none"/>
          </c:marker>
          <c:cat>
            <c:numRef>
              <c:f>'Gráficos - Monografia'!$B$135:$AQ$135</c:f>
              <c:numCache>
                <c:formatCode>General</c:formatCode>
                <c:ptCount val="4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numCache>
            </c:numRef>
          </c:cat>
          <c:val>
            <c:numRef>
              <c:f>'Gráficos - Monografia'!$B$136:$AQ$136</c:f>
              <c:numCache>
                <c:formatCode>#,##0</c:formatCode>
                <c:ptCount val="42"/>
                <c:pt idx="0">
                  <c:v>16390.386780871981</c:v>
                </c:pt>
                <c:pt idx="1">
                  <c:v>20323.351780034314</c:v>
                </c:pt>
                <c:pt idx="2">
                  <c:v>20721.904899899655</c:v>
                </c:pt>
                <c:pt idx="3">
                  <c:v>21323.319094521969</c:v>
                </c:pt>
                <c:pt idx="4">
                  <c:v>20553.244297288333</c:v>
                </c:pt>
                <c:pt idx="5">
                  <c:v>20781.192835271839</c:v>
                </c:pt>
                <c:pt idx="6">
                  <c:v>18961.693826721908</c:v>
                </c:pt>
                <c:pt idx="7">
                  <c:v>16224.666620542246</c:v>
                </c:pt>
                <c:pt idx="8">
                  <c:v>14451.927383099908</c:v>
                </c:pt>
                <c:pt idx="9">
                  <c:v>13007.420420359002</c:v>
                </c:pt>
                <c:pt idx="10">
                  <c:v>11798.203427187698</c:v>
                </c:pt>
                <c:pt idx="11">
                  <c:v>10570.288890776379</c:v>
                </c:pt>
                <c:pt idx="12">
                  <c:v>9331.6657179269641</c:v>
                </c:pt>
                <c:pt idx="13">
                  <c:v>8275.1517275991773</c:v>
                </c:pt>
                <c:pt idx="14">
                  <c:v>7515.5600073167261</c:v>
                </c:pt>
                <c:pt idx="15">
                  <c:v>6860.5560599817354</c:v>
                </c:pt>
                <c:pt idx="16">
                  <c:v>5568.6999780870374</c:v>
                </c:pt>
                <c:pt idx="17">
                  <c:v>5025.6528041598413</c:v>
                </c:pt>
                <c:pt idx="18">
                  <c:v>4549.1959123823272</c:v>
                </c:pt>
                <c:pt idx="19">
                  <c:v>4098.5154558692993</c:v>
                </c:pt>
                <c:pt idx="20">
                  <c:v>3749.8191320893975</c:v>
                </c:pt>
                <c:pt idx="21">
                  <c:v>3355.8032444751461</c:v>
                </c:pt>
                <c:pt idx="22">
                  <c:v>3132.2871289879899</c:v>
                </c:pt>
                <c:pt idx="23">
                  <c:v>2957.7798214273544</c:v>
                </c:pt>
                <c:pt idx="24">
                  <c:v>2810.6305580406165</c:v>
                </c:pt>
                <c:pt idx="25">
                  <c:v>2536.8832537542439</c:v>
                </c:pt>
                <c:pt idx="26">
                  <c:v>2382.4964886306102</c:v>
                </c:pt>
                <c:pt idx="27">
                  <c:v>2285.0377475453388</c:v>
                </c:pt>
                <c:pt idx="28">
                  <c:v>1476.5591882033877</c:v>
                </c:pt>
                <c:pt idx="29">
                  <c:v>0</c:v>
                </c:pt>
                <c:pt idx="30">
                  <c:v>0</c:v>
                </c:pt>
                <c:pt idx="31">
                  <c:v>0</c:v>
                </c:pt>
                <c:pt idx="32">
                  <c:v>0</c:v>
                </c:pt>
                <c:pt idx="33">
                  <c:v>0</c:v>
                </c:pt>
                <c:pt idx="34">
                  <c:v>0</c:v>
                </c:pt>
                <c:pt idx="35">
                  <c:v>0</c:v>
                </c:pt>
                <c:pt idx="36">
                  <c:v>0</c:v>
                </c:pt>
                <c:pt idx="37">
                  <c:v>0</c:v>
                </c:pt>
                <c:pt idx="38">
                  <c:v>0</c:v>
                </c:pt>
                <c:pt idx="39">
                  <c:v>0</c:v>
                </c:pt>
                <c:pt idx="40">
                  <c:v>0</c:v>
                </c:pt>
                <c:pt idx="41">
                  <c:v>0</c:v>
                </c:pt>
              </c:numCache>
            </c:numRef>
          </c:val>
          <c:smooth val="0"/>
          <c:extLst>
            <c:ext xmlns:c16="http://schemas.microsoft.com/office/drawing/2014/chart" uri="{C3380CC4-5D6E-409C-BE32-E72D297353CC}">
              <c16:uniqueId val="{00000000-E092-4F78-9EA6-A51A50B71A5A}"/>
            </c:ext>
          </c:extLst>
        </c:ser>
        <c:ser>
          <c:idx val="1"/>
          <c:order val="1"/>
          <c:tx>
            <c:strRef>
              <c:f>'Gráficos - Monografia'!$A$137</c:f>
              <c:strCache>
                <c:ptCount val="1"/>
                <c:pt idx="0">
                  <c:v>Custos</c:v>
                </c:pt>
              </c:strCache>
            </c:strRef>
          </c:tx>
          <c:spPr>
            <a:ln w="12700" cap="rnd">
              <a:solidFill>
                <a:schemeClr val="tx1"/>
              </a:solidFill>
              <a:round/>
            </a:ln>
            <a:effectLst/>
          </c:spPr>
          <c:marker>
            <c:symbol val="none"/>
          </c:marker>
          <c:cat>
            <c:numRef>
              <c:f>'Gráficos - Monografia'!$B$135:$AQ$135</c:f>
              <c:numCache>
                <c:formatCode>General</c:formatCode>
                <c:ptCount val="4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numCache>
            </c:numRef>
          </c:cat>
          <c:val>
            <c:numRef>
              <c:f>'Gráficos - Monografia'!$B$137:$AQ$137</c:f>
              <c:numCache>
                <c:formatCode>#,##0</c:formatCode>
                <c:ptCount val="42"/>
                <c:pt idx="0">
                  <c:v>-4812.2979228943586</c:v>
                </c:pt>
                <c:pt idx="1">
                  <c:v>-5930.0149891544279</c:v>
                </c:pt>
                <c:pt idx="2">
                  <c:v>-6614.3880973548667</c:v>
                </c:pt>
                <c:pt idx="3">
                  <c:v>-7232.9580655703303</c:v>
                </c:pt>
                <c:pt idx="4">
                  <c:v>-7525.7477916724256</c:v>
                </c:pt>
                <c:pt idx="5">
                  <c:v>-7715.5530510131266</c:v>
                </c:pt>
                <c:pt idx="6">
                  <c:v>-6977.1808909794181</c:v>
                </c:pt>
                <c:pt idx="7">
                  <c:v>-5803.4145808208605</c:v>
                </c:pt>
                <c:pt idx="8">
                  <c:v>-5015.1494813390073</c:v>
                </c:pt>
                <c:pt idx="9">
                  <c:v>-4606.1626170792142</c:v>
                </c:pt>
                <c:pt idx="10">
                  <c:v>-4062.6574317082845</c:v>
                </c:pt>
                <c:pt idx="11">
                  <c:v>-3561.0324733868138</c:v>
                </c:pt>
                <c:pt idx="12">
                  <c:v>-3083.7260029894469</c:v>
                </c:pt>
                <c:pt idx="13">
                  <c:v>-2702.4951243554383</c:v>
                </c:pt>
                <c:pt idx="14">
                  <c:v>-2387.1533790195472</c:v>
                </c:pt>
                <c:pt idx="15">
                  <c:v>-2042.7872450856769</c:v>
                </c:pt>
                <c:pt idx="16">
                  <c:v>-1686.3749226715524</c:v>
                </c:pt>
                <c:pt idx="17">
                  <c:v>-1506.5825646754108</c:v>
                </c:pt>
                <c:pt idx="18">
                  <c:v>-1346.9281963652857</c:v>
                </c:pt>
                <c:pt idx="19">
                  <c:v>-1209.4114759521672</c:v>
                </c:pt>
                <c:pt idx="20">
                  <c:v>-1089.3685940180046</c:v>
                </c:pt>
                <c:pt idx="21">
                  <c:v>-988.21118940851989</c:v>
                </c:pt>
                <c:pt idx="22">
                  <c:v>-937.54464205339104</c:v>
                </c:pt>
                <c:pt idx="23">
                  <c:v>-910.5093601864537</c:v>
                </c:pt>
                <c:pt idx="24">
                  <c:v>-875.65806382040171</c:v>
                </c:pt>
                <c:pt idx="25">
                  <c:v>-856.11388223140341</c:v>
                </c:pt>
                <c:pt idx="26">
                  <c:v>-927.18709392406413</c:v>
                </c:pt>
                <c:pt idx="27">
                  <c:v>-632.39415853140531</c:v>
                </c:pt>
                <c:pt idx="28">
                  <c:v>-2.0236447944026006</c:v>
                </c:pt>
                <c:pt idx="29">
                  <c:v>0</c:v>
                </c:pt>
                <c:pt idx="30">
                  <c:v>0</c:v>
                </c:pt>
                <c:pt idx="31">
                  <c:v>0</c:v>
                </c:pt>
                <c:pt idx="32">
                  <c:v>0</c:v>
                </c:pt>
                <c:pt idx="33">
                  <c:v>0</c:v>
                </c:pt>
                <c:pt idx="34">
                  <c:v>0</c:v>
                </c:pt>
                <c:pt idx="35">
                  <c:v>0</c:v>
                </c:pt>
                <c:pt idx="36">
                  <c:v>0</c:v>
                </c:pt>
                <c:pt idx="37">
                  <c:v>0</c:v>
                </c:pt>
                <c:pt idx="38">
                  <c:v>0</c:v>
                </c:pt>
                <c:pt idx="39">
                  <c:v>0</c:v>
                </c:pt>
                <c:pt idx="40">
                  <c:v>0</c:v>
                </c:pt>
                <c:pt idx="41">
                  <c:v>0</c:v>
                </c:pt>
              </c:numCache>
            </c:numRef>
          </c:val>
          <c:smooth val="0"/>
          <c:extLst>
            <c:ext xmlns:c16="http://schemas.microsoft.com/office/drawing/2014/chart" uri="{C3380CC4-5D6E-409C-BE32-E72D297353CC}">
              <c16:uniqueId val="{00000001-E092-4F78-9EA6-A51A50B71A5A}"/>
            </c:ext>
          </c:extLst>
        </c:ser>
        <c:ser>
          <c:idx val="2"/>
          <c:order val="2"/>
          <c:tx>
            <c:strRef>
              <c:f>'Gráficos - Monografia'!$A$138</c:f>
              <c:strCache>
                <c:ptCount val="1"/>
                <c:pt idx="0">
                  <c:v>Despesas</c:v>
                </c:pt>
              </c:strCache>
            </c:strRef>
          </c:tx>
          <c:spPr>
            <a:ln w="12700" cap="rnd">
              <a:solidFill>
                <a:schemeClr val="tx1"/>
              </a:solidFill>
              <a:round/>
            </a:ln>
            <a:effectLst/>
          </c:spPr>
          <c:marker>
            <c:symbol val="none"/>
          </c:marker>
          <c:cat>
            <c:numRef>
              <c:f>'Gráficos - Monografia'!$B$135:$AQ$135</c:f>
              <c:numCache>
                <c:formatCode>General</c:formatCode>
                <c:ptCount val="4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numCache>
            </c:numRef>
          </c:cat>
          <c:val>
            <c:numRef>
              <c:f>'Gráficos - Monografia'!$B$138:$AQ$138</c:f>
              <c:numCache>
                <c:formatCode>#,##0</c:formatCode>
                <c:ptCount val="42"/>
                <c:pt idx="0">
                  <c:v>-781.1641074364461</c:v>
                </c:pt>
                <c:pt idx="1">
                  <c:v>-968.60880500361225</c:v>
                </c:pt>
                <c:pt idx="2">
                  <c:v>-1002.5101131787386</c:v>
                </c:pt>
                <c:pt idx="3">
                  <c:v>-1037.5979671399944</c:v>
                </c:pt>
                <c:pt idx="4">
                  <c:v>-1073.9138959898942</c:v>
                </c:pt>
                <c:pt idx="5">
                  <c:v>-1106.1313128695908</c:v>
                </c:pt>
                <c:pt idx="6">
                  <c:v>-1139.3152522556786</c:v>
                </c:pt>
                <c:pt idx="7">
                  <c:v>-1173.494709823349</c:v>
                </c:pt>
                <c:pt idx="8">
                  <c:v>-1208.6995511180496</c:v>
                </c:pt>
                <c:pt idx="9">
                  <c:v>-1244.960537651591</c:v>
                </c:pt>
                <c:pt idx="10">
                  <c:v>-1282.3093537811387</c:v>
                </c:pt>
                <c:pt idx="11">
                  <c:v>-1320.7786343945731</c:v>
                </c:pt>
                <c:pt idx="12">
                  <c:v>-1360.4019934264102</c:v>
                </c:pt>
                <c:pt idx="13">
                  <c:v>-1401.2140532292026</c:v>
                </c:pt>
                <c:pt idx="14">
                  <c:v>-1333.8309869013071</c:v>
                </c:pt>
                <c:pt idx="15">
                  <c:v>-1217.5835534901532</c:v>
                </c:pt>
                <c:pt idx="16">
                  <c:v>-988.31019648541508</c:v>
                </c:pt>
                <c:pt idx="17">
                  <c:v>-891.93239533312453</c:v>
                </c:pt>
                <c:pt idx="18">
                  <c:v>-807.37276630257566</c:v>
                </c:pt>
                <c:pt idx="19">
                  <c:v>-727.38783404168305</c:v>
                </c:pt>
                <c:pt idx="20">
                  <c:v>-665.50263038108983</c:v>
                </c:pt>
                <c:pt idx="21">
                  <c:v>-595.57429507145696</c:v>
                </c:pt>
                <c:pt idx="22">
                  <c:v>-555.90556504756842</c:v>
                </c:pt>
                <c:pt idx="23">
                  <c:v>-524.93471869167661</c:v>
                </c:pt>
                <c:pt idx="24">
                  <c:v>-498.81926661440571</c:v>
                </c:pt>
                <c:pt idx="25">
                  <c:v>-450.23570974274315</c:v>
                </c:pt>
                <c:pt idx="26">
                  <c:v>-422.83577532815809</c:v>
                </c:pt>
                <c:pt idx="27">
                  <c:v>-405.53919481022302</c:v>
                </c:pt>
                <c:pt idx="28">
                  <c:v>-262.05371220536358</c:v>
                </c:pt>
                <c:pt idx="29">
                  <c:v>0</c:v>
                </c:pt>
                <c:pt idx="30">
                  <c:v>0</c:v>
                </c:pt>
                <c:pt idx="31">
                  <c:v>0</c:v>
                </c:pt>
                <c:pt idx="32">
                  <c:v>0</c:v>
                </c:pt>
                <c:pt idx="33">
                  <c:v>0</c:v>
                </c:pt>
                <c:pt idx="34">
                  <c:v>0</c:v>
                </c:pt>
                <c:pt idx="35">
                  <c:v>0</c:v>
                </c:pt>
                <c:pt idx="36">
                  <c:v>0</c:v>
                </c:pt>
                <c:pt idx="37">
                  <c:v>0</c:v>
                </c:pt>
                <c:pt idx="38">
                  <c:v>0</c:v>
                </c:pt>
                <c:pt idx="39">
                  <c:v>0</c:v>
                </c:pt>
                <c:pt idx="40">
                  <c:v>0</c:v>
                </c:pt>
                <c:pt idx="41">
                  <c:v>0</c:v>
                </c:pt>
              </c:numCache>
            </c:numRef>
          </c:val>
          <c:smooth val="0"/>
          <c:extLst>
            <c:ext xmlns:c16="http://schemas.microsoft.com/office/drawing/2014/chart" uri="{C3380CC4-5D6E-409C-BE32-E72D297353CC}">
              <c16:uniqueId val="{00000002-E092-4F78-9EA6-A51A50B71A5A}"/>
            </c:ext>
          </c:extLst>
        </c:ser>
        <c:ser>
          <c:idx val="3"/>
          <c:order val="3"/>
          <c:tx>
            <c:strRef>
              <c:f>'Gráficos - Monografia'!$A$140</c:f>
              <c:strCache>
                <c:ptCount val="1"/>
                <c:pt idx="0">
                  <c:v>Resultado Financeiro</c:v>
                </c:pt>
              </c:strCache>
            </c:strRef>
          </c:tx>
          <c:spPr>
            <a:ln w="12700" cap="rnd">
              <a:solidFill>
                <a:schemeClr val="tx1"/>
              </a:solidFill>
              <a:round/>
            </a:ln>
            <a:effectLst/>
          </c:spPr>
          <c:marker>
            <c:symbol val="none"/>
          </c:marker>
          <c:cat>
            <c:numRef>
              <c:f>'Gráficos - Monografia'!$B$135:$AQ$135</c:f>
              <c:numCache>
                <c:formatCode>General</c:formatCode>
                <c:ptCount val="4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numCache>
            </c:numRef>
          </c:cat>
          <c:val>
            <c:numRef>
              <c:f>'Gráficos - Monografia'!$B$140:$AQ$140</c:f>
              <c:numCache>
                <c:formatCode>#,##0</c:formatCode>
                <c:ptCount val="42"/>
                <c:pt idx="0">
                  <c:v>-311.56733934736405</c:v>
                </c:pt>
                <c:pt idx="1">
                  <c:v>222.26858108767311</c:v>
                </c:pt>
                <c:pt idx="2">
                  <c:v>124.52827915828009</c:v>
                </c:pt>
                <c:pt idx="3">
                  <c:v>167.51869219870528</c:v>
                </c:pt>
                <c:pt idx="4">
                  <c:v>169.43670827938641</c:v>
                </c:pt>
                <c:pt idx="5">
                  <c:v>171.92155362573834</c:v>
                </c:pt>
                <c:pt idx="6">
                  <c:v>173.82827288767115</c:v>
                </c:pt>
                <c:pt idx="7">
                  <c:v>155.84240972997529</c:v>
                </c:pt>
                <c:pt idx="8">
                  <c:v>133.34732468085258</c:v>
                </c:pt>
                <c:pt idx="9">
                  <c:v>118.77753164914797</c:v>
                </c:pt>
                <c:pt idx="10">
                  <c:v>123.94926549949027</c:v>
                </c:pt>
                <c:pt idx="11">
                  <c:v>112.42649209097479</c:v>
                </c:pt>
                <c:pt idx="12">
                  <c:v>100.72554755579984</c:v>
                </c:pt>
                <c:pt idx="13">
                  <c:v>88.9225591427371</c:v>
                </c:pt>
                <c:pt idx="14">
                  <c:v>78.854910918951191</c:v>
                </c:pt>
                <c:pt idx="15">
                  <c:v>71.616670532629755</c:v>
                </c:pt>
                <c:pt idx="16">
                  <c:v>65.375059548459205</c:v>
                </c:pt>
                <c:pt idx="17">
                  <c:v>53.064808375884382</c:v>
                </c:pt>
                <c:pt idx="18">
                  <c:v>47.890046880938087</c:v>
                </c:pt>
                <c:pt idx="19">
                  <c:v>43.349832152000999</c:v>
                </c:pt>
                <c:pt idx="20">
                  <c:v>33.414452254262372</c:v>
                </c:pt>
                <c:pt idx="21">
                  <c:v>30.571594446932473</c:v>
                </c:pt>
                <c:pt idx="22">
                  <c:v>27.359254465329464</c:v>
                </c:pt>
                <c:pt idx="23">
                  <c:v>25.53696816449132</c:v>
                </c:pt>
                <c:pt idx="24">
                  <c:v>24.114241775072806</c:v>
                </c:pt>
                <c:pt idx="25">
                  <c:v>22.914560551803444</c:v>
                </c:pt>
                <c:pt idx="26">
                  <c:v>20.682748490265105</c:v>
                </c:pt>
                <c:pt idx="27">
                  <c:v>19.424061229606934</c:v>
                </c:pt>
                <c:pt idx="28">
                  <c:v>18.62949781126208</c:v>
                </c:pt>
                <c:pt idx="29">
                  <c:v>0</c:v>
                </c:pt>
                <c:pt idx="30">
                  <c:v>0</c:v>
                </c:pt>
                <c:pt idx="31">
                  <c:v>0</c:v>
                </c:pt>
                <c:pt idx="32">
                  <c:v>0</c:v>
                </c:pt>
                <c:pt idx="33">
                  <c:v>0</c:v>
                </c:pt>
                <c:pt idx="34">
                  <c:v>0</c:v>
                </c:pt>
                <c:pt idx="35">
                  <c:v>0</c:v>
                </c:pt>
                <c:pt idx="36">
                  <c:v>0</c:v>
                </c:pt>
                <c:pt idx="37">
                  <c:v>0</c:v>
                </c:pt>
                <c:pt idx="38">
                  <c:v>0</c:v>
                </c:pt>
                <c:pt idx="39">
                  <c:v>0</c:v>
                </c:pt>
                <c:pt idx="40">
                  <c:v>0</c:v>
                </c:pt>
                <c:pt idx="41">
                  <c:v>0</c:v>
                </c:pt>
              </c:numCache>
            </c:numRef>
          </c:val>
          <c:smooth val="0"/>
          <c:extLst>
            <c:ext xmlns:c16="http://schemas.microsoft.com/office/drawing/2014/chart" uri="{C3380CC4-5D6E-409C-BE32-E72D297353CC}">
              <c16:uniqueId val="{00000003-E092-4F78-9EA6-A51A50B71A5A}"/>
            </c:ext>
          </c:extLst>
        </c:ser>
        <c:ser>
          <c:idx val="4"/>
          <c:order val="4"/>
          <c:tx>
            <c:strRef>
              <c:f>'Gráficos - Monografia'!$A$142</c:f>
              <c:strCache>
                <c:ptCount val="1"/>
                <c:pt idx="0">
                  <c:v>Lucro Líquido</c:v>
                </c:pt>
              </c:strCache>
            </c:strRef>
          </c:tx>
          <c:spPr>
            <a:ln w="12700" cap="rnd">
              <a:solidFill>
                <a:schemeClr val="tx1"/>
              </a:solidFill>
              <a:round/>
            </a:ln>
            <a:effectLst/>
          </c:spPr>
          <c:marker>
            <c:symbol val="none"/>
          </c:marker>
          <c:cat>
            <c:numRef>
              <c:f>'Gráficos - Monografia'!$B$135:$AQ$135</c:f>
              <c:numCache>
                <c:formatCode>General</c:formatCode>
                <c:ptCount val="4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numCache>
            </c:numRef>
          </c:cat>
          <c:val>
            <c:numRef>
              <c:f>'Gráficos - Monografia'!$B$142:$AQ$142</c:f>
              <c:numCache>
                <c:formatCode>#,##0</c:formatCode>
                <c:ptCount val="42"/>
                <c:pt idx="0">
                  <c:v>6519.9070604262215</c:v>
                </c:pt>
                <c:pt idx="1">
                  <c:v>8510.5037651665207</c:v>
                </c:pt>
                <c:pt idx="2">
                  <c:v>8225.2421734176714</c:v>
                </c:pt>
                <c:pt idx="3">
                  <c:v>8204.4420744184481</c:v>
                </c:pt>
                <c:pt idx="4">
                  <c:v>7499.0623427402843</c:v>
                </c:pt>
                <c:pt idx="5">
                  <c:v>7499.0444641840459</c:v>
                </c:pt>
                <c:pt idx="6">
                  <c:v>6809.3094364700919</c:v>
                </c:pt>
                <c:pt idx="7">
                  <c:v>5809.9956588232226</c:v>
                </c:pt>
                <c:pt idx="8">
                  <c:v>5165.4700594358692</c:v>
                </c:pt>
                <c:pt idx="9">
                  <c:v>4483.7688145671254</c:v>
                </c:pt>
                <c:pt idx="10">
                  <c:v>4052.7041801018704</c:v>
                </c:pt>
                <c:pt idx="11">
                  <c:v>3570.3571302029882</c:v>
                </c:pt>
                <c:pt idx="12">
                  <c:v>3064.274513145851</c:v>
                </c:pt>
                <c:pt idx="13">
                  <c:v>2609.6731173974267</c:v>
                </c:pt>
                <c:pt idx="14">
                  <c:v>2372.8536769910024</c:v>
                </c:pt>
                <c:pt idx="15">
                  <c:v>2255.7810008163956</c:v>
                </c:pt>
                <c:pt idx="16">
                  <c:v>1817.1500367568526</c:v>
                </c:pt>
                <c:pt idx="17">
                  <c:v>1646.1534707335131</c:v>
                </c:pt>
                <c:pt idx="18">
                  <c:v>1501.0979992693317</c:v>
                </c:pt>
                <c:pt idx="19">
                  <c:v>1355.2138917801551</c:v>
                </c:pt>
                <c:pt idx="20">
                  <c:v>1247.1084035613974</c:v>
                </c:pt>
                <c:pt idx="21">
                  <c:v>1107.7243088907619</c:v>
                </c:pt>
                <c:pt idx="22">
                  <c:v>1023.1654693593143</c:v>
                </c:pt>
                <c:pt idx="23">
                  <c:v>949.33531993794509</c:v>
                </c:pt>
                <c:pt idx="24">
                  <c:v>895.1108220403695</c:v>
                </c:pt>
                <c:pt idx="25">
                  <c:v>765.29796073941714</c:v>
                </c:pt>
                <c:pt idx="26">
                  <c:v>636.87711550157815</c:v>
                </c:pt>
                <c:pt idx="27">
                  <c:v>780.08367980064691</c:v>
                </c:pt>
                <c:pt idx="28">
                  <c:v>776.46008379536931</c:v>
                </c:pt>
                <c:pt idx="29">
                  <c:v>0</c:v>
                </c:pt>
                <c:pt idx="30">
                  <c:v>0</c:v>
                </c:pt>
                <c:pt idx="31">
                  <c:v>0</c:v>
                </c:pt>
                <c:pt idx="32">
                  <c:v>0</c:v>
                </c:pt>
                <c:pt idx="33">
                  <c:v>0</c:v>
                </c:pt>
                <c:pt idx="34">
                  <c:v>0</c:v>
                </c:pt>
                <c:pt idx="35">
                  <c:v>0</c:v>
                </c:pt>
                <c:pt idx="36">
                  <c:v>0</c:v>
                </c:pt>
                <c:pt idx="37">
                  <c:v>0</c:v>
                </c:pt>
                <c:pt idx="38">
                  <c:v>0</c:v>
                </c:pt>
                <c:pt idx="39">
                  <c:v>0</c:v>
                </c:pt>
                <c:pt idx="40">
                  <c:v>0</c:v>
                </c:pt>
                <c:pt idx="41">
                  <c:v>0</c:v>
                </c:pt>
              </c:numCache>
            </c:numRef>
          </c:val>
          <c:smooth val="0"/>
          <c:extLst>
            <c:ext xmlns:c16="http://schemas.microsoft.com/office/drawing/2014/chart" uri="{C3380CC4-5D6E-409C-BE32-E72D297353CC}">
              <c16:uniqueId val="{00000004-E092-4F78-9EA6-A51A50B71A5A}"/>
            </c:ext>
          </c:extLst>
        </c:ser>
        <c:dLbls>
          <c:showLegendKey val="0"/>
          <c:showVal val="0"/>
          <c:showCatName val="0"/>
          <c:showSerName val="0"/>
          <c:showPercent val="0"/>
          <c:showBubbleSize val="0"/>
        </c:dLbls>
        <c:smooth val="0"/>
        <c:axId val="1340672367"/>
        <c:axId val="1199289631"/>
      </c:lineChart>
      <c:catAx>
        <c:axId val="134067236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199289631"/>
        <c:crosses val="autoZero"/>
        <c:auto val="1"/>
        <c:lblAlgn val="ctr"/>
        <c:lblOffset val="100"/>
        <c:noMultiLvlLbl val="0"/>
      </c:catAx>
      <c:valAx>
        <c:axId val="1199289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340672367"/>
        <c:crosses val="autoZero"/>
        <c:crossBetween val="between"/>
      </c:valAx>
      <c:spPr>
        <a:noFill/>
        <a:ln>
          <a:solidFill>
            <a:schemeClr val="bg1">
              <a:lumMod val="85000"/>
            </a:schemeClr>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9347450002545E-2"/>
          <c:y val="2.5631750497068714E-2"/>
          <c:w val="0.90468312406895079"/>
          <c:h val="0.61796963839373908"/>
        </c:manualLayout>
      </c:layout>
      <c:lineChart>
        <c:grouping val="standard"/>
        <c:varyColors val="0"/>
        <c:ser>
          <c:idx val="2"/>
          <c:order val="0"/>
          <c:tx>
            <c:strRef>
              <c:f>'Gráficos - Monografia'!$A$144</c:f>
              <c:strCache>
                <c:ptCount val="1"/>
                <c:pt idx="0">
                  <c:v>Depreciação/Amortizações</c:v>
                </c:pt>
              </c:strCache>
            </c:strRef>
          </c:tx>
          <c:spPr>
            <a:ln w="12700" cap="rnd">
              <a:solidFill>
                <a:schemeClr val="tx1"/>
              </a:solidFill>
              <a:round/>
            </a:ln>
            <a:effectLst/>
          </c:spPr>
          <c:marker>
            <c:symbol val="none"/>
          </c:marker>
          <c:cat>
            <c:numRef>
              <c:f>'Gráficos - Monografia'!$B$135:$AR$135</c:f>
              <c:numCache>
                <c:formatCode>General</c:formatCode>
                <c:ptCount val="4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pt idx="42">
                  <c:v>2066</c:v>
                </c:pt>
              </c:numCache>
            </c:numRef>
          </c:cat>
          <c:val>
            <c:numRef>
              <c:f>'Gráficos - Monografia'!$B$144:$AQ$144</c:f>
              <c:numCache>
                <c:formatCode>#,##0</c:formatCode>
                <c:ptCount val="42"/>
                <c:pt idx="0">
                  <c:v>1596.9531915402797</c:v>
                </c:pt>
                <c:pt idx="1">
                  <c:v>1891.224984240544</c:v>
                </c:pt>
                <c:pt idx="2">
                  <c:v>2219.4582125376492</c:v>
                </c:pt>
                <c:pt idx="3">
                  <c:v>2392.3301476040915</c:v>
                </c:pt>
                <c:pt idx="4">
                  <c:v>2655.3508833659366</c:v>
                </c:pt>
                <c:pt idx="5">
                  <c:v>2587.6981410118365</c:v>
                </c:pt>
                <c:pt idx="6">
                  <c:v>2369.0125761991999</c:v>
                </c:pt>
                <c:pt idx="7">
                  <c:v>2064.7267952979869</c:v>
                </c:pt>
                <c:pt idx="8">
                  <c:v>1828.137374014656</c:v>
                </c:pt>
                <c:pt idx="9">
                  <c:v>1639.3550532193231</c:v>
                </c:pt>
                <c:pt idx="10">
                  <c:v>1457.6845995409428</c:v>
                </c:pt>
                <c:pt idx="11">
                  <c:v>1283.1199727102191</c:v>
                </c:pt>
                <c:pt idx="12">
                  <c:v>1140.9963347259759</c:v>
                </c:pt>
                <c:pt idx="13">
                  <c:v>1046.6193330039277</c:v>
                </c:pt>
                <c:pt idx="14">
                  <c:v>932.58941753807062</c:v>
                </c:pt>
                <c:pt idx="15">
                  <c:v>761.804332869164</c:v>
                </c:pt>
                <c:pt idx="16">
                  <c:v>696.69733130685336</c:v>
                </c:pt>
                <c:pt idx="17">
                  <c:v>643.18237575193064</c:v>
                </c:pt>
                <c:pt idx="18">
                  <c:v>595.39629467051498</c:v>
                </c:pt>
                <c:pt idx="19">
                  <c:v>564.35475797985077</c:v>
                </c:pt>
                <c:pt idx="20">
                  <c:v>528.54482289560906</c:v>
                </c:pt>
                <c:pt idx="21">
                  <c:v>521.83892808162614</c:v>
                </c:pt>
                <c:pt idx="22">
                  <c:v>528.27217103676367</c:v>
                </c:pt>
                <c:pt idx="23">
                  <c:v>547.8347497868856</c:v>
                </c:pt>
                <c:pt idx="24">
                  <c:v>553.6994209799501</c:v>
                </c:pt>
                <c:pt idx="25">
                  <c:v>603.08183312543747</c:v>
                </c:pt>
                <c:pt idx="26">
                  <c:v>717.3235814515607</c:v>
                </c:pt>
                <c:pt idx="27">
                  <c:v>453.47301428149234</c:v>
                </c:pt>
                <c:pt idx="28">
                  <c:v>10.173088515200186</c:v>
                </c:pt>
                <c:pt idx="29">
                  <c:v>0</c:v>
                </c:pt>
                <c:pt idx="30">
                  <c:v>0</c:v>
                </c:pt>
                <c:pt idx="31">
                  <c:v>0</c:v>
                </c:pt>
                <c:pt idx="32">
                  <c:v>0</c:v>
                </c:pt>
                <c:pt idx="33">
                  <c:v>0</c:v>
                </c:pt>
                <c:pt idx="34">
                  <c:v>0</c:v>
                </c:pt>
                <c:pt idx="35">
                  <c:v>0</c:v>
                </c:pt>
                <c:pt idx="36">
                  <c:v>0</c:v>
                </c:pt>
                <c:pt idx="37">
                  <c:v>0</c:v>
                </c:pt>
                <c:pt idx="38">
                  <c:v>0</c:v>
                </c:pt>
                <c:pt idx="39">
                  <c:v>0</c:v>
                </c:pt>
                <c:pt idx="40">
                  <c:v>0</c:v>
                </c:pt>
                <c:pt idx="41">
                  <c:v>0</c:v>
                </c:pt>
              </c:numCache>
            </c:numRef>
          </c:val>
          <c:smooth val="0"/>
          <c:extLst>
            <c:ext xmlns:c16="http://schemas.microsoft.com/office/drawing/2014/chart" uri="{C3380CC4-5D6E-409C-BE32-E72D297353CC}">
              <c16:uniqueId val="{00000002-47B8-40AA-8C4C-AEC832C5630E}"/>
            </c:ext>
          </c:extLst>
        </c:ser>
        <c:ser>
          <c:idx val="3"/>
          <c:order val="1"/>
          <c:tx>
            <c:strRef>
              <c:f>'Gráficos - Monografia'!$A$145</c:f>
              <c:strCache>
                <c:ptCount val="1"/>
                <c:pt idx="0">
                  <c:v>Abandono</c:v>
                </c:pt>
              </c:strCache>
            </c:strRef>
          </c:tx>
          <c:spPr>
            <a:ln w="12700" cap="rnd">
              <a:solidFill>
                <a:schemeClr val="tx1"/>
              </a:solidFill>
              <a:round/>
            </a:ln>
            <a:effectLst/>
          </c:spPr>
          <c:marker>
            <c:symbol val="none"/>
          </c:marker>
          <c:cat>
            <c:numRef>
              <c:f>'Gráficos - Monografia'!$B$135:$AR$135</c:f>
              <c:numCache>
                <c:formatCode>General</c:formatCode>
                <c:ptCount val="4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pt idx="42">
                  <c:v>2066</c:v>
                </c:pt>
              </c:numCache>
            </c:numRef>
          </c:cat>
          <c:val>
            <c:numRef>
              <c:f>'Gráficos - Monografia'!$B$145:$AQ$145</c:f>
              <c:numCache>
                <c:formatCode>#,##0</c:formatCode>
                <c:ptCount val="42"/>
                <c:pt idx="0">
                  <c:v>-57.710249999999988</c:v>
                </c:pt>
                <c:pt idx="1">
                  <c:v>-58.866841799999989</c:v>
                </c:pt>
                <c:pt idx="2">
                  <c:v>-121.7268</c:v>
                </c:pt>
                <c:pt idx="3">
                  <c:v>0</c:v>
                </c:pt>
                <c:pt idx="4">
                  <c:v>-64.588726987199991</c:v>
                </c:pt>
                <c:pt idx="5">
                  <c:v>-66.526388796815993</c:v>
                </c:pt>
                <c:pt idx="6">
                  <c:v>0</c:v>
                </c:pt>
                <c:pt idx="7">
                  <c:v>0</c:v>
                </c:pt>
                <c:pt idx="8">
                  <c:v>0</c:v>
                </c:pt>
                <c:pt idx="9">
                  <c:v>0</c:v>
                </c:pt>
                <c:pt idx="10">
                  <c:v>0</c:v>
                </c:pt>
                <c:pt idx="11">
                  <c:v>0</c:v>
                </c:pt>
                <c:pt idx="12">
                  <c:v>0</c:v>
                </c:pt>
                <c:pt idx="13">
                  <c:v>0</c:v>
                </c:pt>
                <c:pt idx="14">
                  <c:v>0</c:v>
                </c:pt>
                <c:pt idx="15">
                  <c:v>0</c:v>
                </c:pt>
                <c:pt idx="16">
                  <c:v>-732.7692572934875</c:v>
                </c:pt>
                <c:pt idx="17">
                  <c:v>0</c:v>
                </c:pt>
                <c:pt idx="18">
                  <c:v>0</c:v>
                </c:pt>
                <c:pt idx="19">
                  <c:v>0</c:v>
                </c:pt>
                <c:pt idx="20">
                  <c:v>0</c:v>
                </c:pt>
                <c:pt idx="21">
                  <c:v>0</c:v>
                </c:pt>
                <c:pt idx="22">
                  <c:v>0</c:v>
                </c:pt>
                <c:pt idx="23">
                  <c:v>0</c:v>
                </c:pt>
                <c:pt idx="24">
                  <c:v>0</c:v>
                </c:pt>
                <c:pt idx="25">
                  <c:v>0</c:v>
                </c:pt>
                <c:pt idx="26">
                  <c:v>0</c:v>
                </c:pt>
                <c:pt idx="27">
                  <c:v>0</c:v>
                </c:pt>
                <c:pt idx="28">
                  <c:v>0</c:v>
                </c:pt>
                <c:pt idx="29">
                  <c:v>-10869.625044523464</c:v>
                </c:pt>
                <c:pt idx="30">
                  <c:v>0</c:v>
                </c:pt>
                <c:pt idx="31">
                  <c:v>0</c:v>
                </c:pt>
                <c:pt idx="32">
                  <c:v>0</c:v>
                </c:pt>
                <c:pt idx="33">
                  <c:v>0</c:v>
                </c:pt>
                <c:pt idx="34">
                  <c:v>0</c:v>
                </c:pt>
                <c:pt idx="35">
                  <c:v>0</c:v>
                </c:pt>
                <c:pt idx="36">
                  <c:v>0</c:v>
                </c:pt>
                <c:pt idx="37">
                  <c:v>0</c:v>
                </c:pt>
                <c:pt idx="38">
                  <c:v>0</c:v>
                </c:pt>
                <c:pt idx="39">
                  <c:v>0</c:v>
                </c:pt>
                <c:pt idx="40">
                  <c:v>0</c:v>
                </c:pt>
                <c:pt idx="41">
                  <c:v>0</c:v>
                </c:pt>
              </c:numCache>
            </c:numRef>
          </c:val>
          <c:smooth val="0"/>
          <c:extLst>
            <c:ext xmlns:c16="http://schemas.microsoft.com/office/drawing/2014/chart" uri="{C3380CC4-5D6E-409C-BE32-E72D297353CC}">
              <c16:uniqueId val="{00000003-47B8-40AA-8C4C-AEC832C5630E}"/>
            </c:ext>
          </c:extLst>
        </c:ser>
        <c:ser>
          <c:idx val="4"/>
          <c:order val="2"/>
          <c:tx>
            <c:strRef>
              <c:f>'Gráficos - Monografia'!$A$146</c:f>
              <c:strCache>
                <c:ptCount val="1"/>
                <c:pt idx="0">
                  <c:v>Variação do Capital de Giro</c:v>
                </c:pt>
              </c:strCache>
            </c:strRef>
          </c:tx>
          <c:spPr>
            <a:ln w="12700" cap="rnd">
              <a:solidFill>
                <a:schemeClr val="tx1"/>
              </a:solidFill>
              <a:round/>
            </a:ln>
            <a:effectLst/>
          </c:spPr>
          <c:marker>
            <c:symbol val="none"/>
          </c:marker>
          <c:cat>
            <c:numRef>
              <c:f>'Gráficos - Monografia'!$B$135:$AR$135</c:f>
              <c:numCache>
                <c:formatCode>General</c:formatCode>
                <c:ptCount val="4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pt idx="42">
                  <c:v>2066</c:v>
                </c:pt>
              </c:numCache>
            </c:numRef>
          </c:cat>
          <c:val>
            <c:numRef>
              <c:f>'Gráficos - Monografia'!$B$146:$AQ$146</c:f>
              <c:numCache>
                <c:formatCode>#,##0</c:formatCode>
                <c:ptCount val="42"/>
                <c:pt idx="0">
                  <c:v>-1082.6085989700173</c:v>
                </c:pt>
                <c:pt idx="1">
                  <c:v>-580.48134218906705</c:v>
                </c:pt>
                <c:pt idx="2">
                  <c:v>34.394185195168482</c:v>
                </c:pt>
                <c:pt idx="3">
                  <c:v>-15.756499500703532</c:v>
                </c:pt>
                <c:pt idx="4">
                  <c:v>200.52097917740372</c:v>
                </c:pt>
                <c:pt idx="5">
                  <c:v>13.530800975340419</c:v>
                </c:pt>
                <c:pt idx="6">
                  <c:v>287.95682717192636</c:v>
                </c:pt>
                <c:pt idx="7">
                  <c:v>403.67556671605769</c:v>
                </c:pt>
                <c:pt idx="8">
                  <c:v>244.38426108784438</c:v>
                </c:pt>
                <c:pt idx="9">
                  <c:v>196.66342060175981</c:v>
                </c:pt>
                <c:pt idx="10">
                  <c:v>168.45813702328411</c:v>
                </c:pt>
                <c:pt idx="11">
                  <c:v>171.85625586552359</c:v>
                </c:pt>
                <c:pt idx="12">
                  <c:v>176.06042563267403</c:v>
                </c:pt>
                <c:pt idx="13">
                  <c:v>147.34130428998614</c:v>
                </c:pt>
                <c:pt idx="14">
                  <c:v>107.73225064288185</c:v>
                </c:pt>
                <c:pt idx="15">
                  <c:v>82.225582530084878</c:v>
                </c:pt>
                <c:pt idx="16">
                  <c:v>189.31420478327701</c:v>
                </c:pt>
                <c:pt idx="17">
                  <c:v>78.444894486394475</c:v>
                </c:pt>
                <c:pt idx="18">
                  <c:v>69.787769434820163</c:v>
                </c:pt>
                <c:pt idx="19">
                  <c:v>65.991442436840728</c:v>
                </c:pt>
                <c:pt idx="20">
                  <c:v>51.827280256567349</c:v>
                </c:pt>
                <c:pt idx="21">
                  <c:v>56.934347450671602</c:v>
                </c:pt>
                <c:pt idx="22">
                  <c:v>32.785039290965969</c:v>
                </c:pt>
                <c:pt idx="23">
                  <c:v>25.605301720787015</c:v>
                </c:pt>
                <c:pt idx="24">
                  <c:v>22.200317614023195</c:v>
                </c:pt>
                <c:pt idx="25">
                  <c:v>39.563841039256481</c:v>
                </c:pt>
                <c:pt idx="26">
                  <c:v>22.550319884034952</c:v>
                </c:pt>
                <c:pt idx="27">
                  <c:v>14.216320325330628</c:v>
                </c:pt>
                <c:pt idx="28">
                  <c:v>118.81697771128709</c:v>
                </c:pt>
                <c:pt idx="29">
                  <c:v>0</c:v>
                </c:pt>
                <c:pt idx="30">
                  <c:v>0</c:v>
                </c:pt>
                <c:pt idx="31">
                  <c:v>0</c:v>
                </c:pt>
                <c:pt idx="32">
                  <c:v>0</c:v>
                </c:pt>
                <c:pt idx="33">
                  <c:v>0</c:v>
                </c:pt>
                <c:pt idx="34">
                  <c:v>0</c:v>
                </c:pt>
                <c:pt idx="35">
                  <c:v>0</c:v>
                </c:pt>
                <c:pt idx="36">
                  <c:v>0</c:v>
                </c:pt>
                <c:pt idx="37">
                  <c:v>0</c:v>
                </c:pt>
                <c:pt idx="38">
                  <c:v>0</c:v>
                </c:pt>
                <c:pt idx="39">
                  <c:v>0</c:v>
                </c:pt>
                <c:pt idx="40">
                  <c:v>0</c:v>
                </c:pt>
                <c:pt idx="41">
                  <c:v>0</c:v>
                </c:pt>
              </c:numCache>
            </c:numRef>
          </c:val>
          <c:smooth val="0"/>
          <c:extLst>
            <c:ext xmlns:c16="http://schemas.microsoft.com/office/drawing/2014/chart" uri="{C3380CC4-5D6E-409C-BE32-E72D297353CC}">
              <c16:uniqueId val="{00000004-47B8-40AA-8C4C-AEC832C5630E}"/>
            </c:ext>
          </c:extLst>
        </c:ser>
        <c:ser>
          <c:idx val="5"/>
          <c:order val="3"/>
          <c:tx>
            <c:strRef>
              <c:f>'Gráficos - Monografia'!$A$149</c:f>
              <c:strCache>
                <c:ptCount val="1"/>
                <c:pt idx="0">
                  <c:v>Variação da Dívida Líquida</c:v>
                </c:pt>
              </c:strCache>
            </c:strRef>
          </c:tx>
          <c:spPr>
            <a:ln w="12700" cap="rnd">
              <a:solidFill>
                <a:schemeClr val="tx1"/>
              </a:solidFill>
              <a:round/>
            </a:ln>
            <a:effectLst/>
          </c:spPr>
          <c:marker>
            <c:symbol val="none"/>
          </c:marker>
          <c:cat>
            <c:numRef>
              <c:f>'Gráficos - Monografia'!$B$135:$AR$135</c:f>
              <c:numCache>
                <c:formatCode>General</c:formatCode>
                <c:ptCount val="4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pt idx="42">
                  <c:v>2066</c:v>
                </c:pt>
              </c:numCache>
            </c:numRef>
          </c:cat>
          <c:val>
            <c:numRef>
              <c:f>'Gráficos - Monografia'!$B$149:$AQ$149</c:f>
              <c:numCache>
                <c:formatCode>#,##0</c:formatCode>
                <c:ptCount val="42"/>
                <c:pt idx="0">
                  <c:v>-2927.860289411361</c:v>
                </c:pt>
                <c:pt idx="1">
                  <c:v>-2358.6130355949017</c:v>
                </c:pt>
                <c:pt idx="2">
                  <c:v>-3249.675955458556</c:v>
                </c:pt>
                <c:pt idx="3">
                  <c:v>-905.21040074048778</c:v>
                </c:pt>
                <c:pt idx="4">
                  <c:v>-756.65530500743444</c:v>
                </c:pt>
                <c:pt idx="5">
                  <c:v>-57.008682623194545</c:v>
                </c:pt>
                <c:pt idx="6">
                  <c:v>455.04675059220978</c:v>
                </c:pt>
                <c:pt idx="7">
                  <c:v>684.51553455207568</c:v>
                </c:pt>
                <c:pt idx="8">
                  <c:v>443.35238758296373</c:v>
                </c:pt>
                <c:pt idx="9">
                  <c:v>361.26329089177534</c:v>
                </c:pt>
                <c:pt idx="10">
                  <c:v>302.41855638163361</c:v>
                </c:pt>
                <c:pt idx="11">
                  <c:v>307.09470968286951</c:v>
                </c:pt>
                <c:pt idx="12">
                  <c:v>309.77288108693756</c:v>
                </c:pt>
                <c:pt idx="13">
                  <c:v>264.2283705540558</c:v>
                </c:pt>
                <c:pt idx="14">
                  <c:v>189.96973478251289</c:v>
                </c:pt>
                <c:pt idx="15">
                  <c:v>163.81290479372024</c:v>
                </c:pt>
                <c:pt idx="16">
                  <c:v>323.08614049065204</c:v>
                </c:pt>
                <c:pt idx="17">
                  <c:v>135.81312809331598</c:v>
                </c:pt>
                <c:pt idx="18">
                  <c:v>119.15926273211358</c:v>
                </c:pt>
                <c:pt idx="19">
                  <c:v>112.71271725237602</c:v>
                </c:pt>
                <c:pt idx="20">
                  <c:v>87.207043441012843</c:v>
                </c:pt>
                <c:pt idx="21">
                  <c:v>98.541218488193522</c:v>
                </c:pt>
                <c:pt idx="22">
                  <c:v>55.90015799925186</c:v>
                </c:pt>
                <c:pt idx="23">
                  <c:v>43.643323182323911</c:v>
                </c:pt>
                <c:pt idx="24">
                  <c:v>36.801225964688228</c:v>
                </c:pt>
                <c:pt idx="25">
                  <c:v>68.462703586833186</c:v>
                </c:pt>
                <c:pt idx="26">
                  <c:v>38.611285564778086</c:v>
                </c:pt>
                <c:pt idx="27">
                  <c:v>24.373898111109156</c:v>
                </c:pt>
                <c:pt idx="28">
                  <c:v>202.19606585288761</c:v>
                </c:pt>
                <c:pt idx="29">
                  <c:v>0</c:v>
                </c:pt>
                <c:pt idx="30">
                  <c:v>0</c:v>
                </c:pt>
                <c:pt idx="31">
                  <c:v>0</c:v>
                </c:pt>
                <c:pt idx="32">
                  <c:v>0</c:v>
                </c:pt>
                <c:pt idx="33">
                  <c:v>0</c:v>
                </c:pt>
                <c:pt idx="34">
                  <c:v>0</c:v>
                </c:pt>
                <c:pt idx="35">
                  <c:v>0</c:v>
                </c:pt>
                <c:pt idx="36">
                  <c:v>0</c:v>
                </c:pt>
                <c:pt idx="37">
                  <c:v>0</c:v>
                </c:pt>
                <c:pt idx="38">
                  <c:v>0</c:v>
                </c:pt>
                <c:pt idx="39">
                  <c:v>0</c:v>
                </c:pt>
                <c:pt idx="40">
                  <c:v>0</c:v>
                </c:pt>
                <c:pt idx="41">
                  <c:v>0</c:v>
                </c:pt>
              </c:numCache>
            </c:numRef>
          </c:val>
          <c:smooth val="0"/>
          <c:extLst>
            <c:ext xmlns:c16="http://schemas.microsoft.com/office/drawing/2014/chart" uri="{C3380CC4-5D6E-409C-BE32-E72D297353CC}">
              <c16:uniqueId val="{00000005-47B8-40AA-8C4C-AEC832C5630E}"/>
            </c:ext>
          </c:extLst>
        </c:ser>
        <c:ser>
          <c:idx val="6"/>
          <c:order val="4"/>
          <c:tx>
            <c:strRef>
              <c:f>'Gráficos - Monografia'!$A$151</c:f>
              <c:strCache>
                <c:ptCount val="1"/>
                <c:pt idx="0">
                  <c:v>Fluxo de Caixa dos Acionistas</c:v>
                </c:pt>
              </c:strCache>
            </c:strRef>
          </c:tx>
          <c:spPr>
            <a:ln w="12700" cap="rnd">
              <a:solidFill>
                <a:schemeClr val="tx1"/>
              </a:solidFill>
              <a:round/>
            </a:ln>
            <a:effectLst/>
          </c:spPr>
          <c:marker>
            <c:symbol val="none"/>
          </c:marker>
          <c:cat>
            <c:numRef>
              <c:f>'Gráficos - Monografia'!$B$135:$AR$135</c:f>
              <c:numCache>
                <c:formatCode>General</c:formatCode>
                <c:ptCount val="4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pt idx="42">
                  <c:v>2066</c:v>
                </c:pt>
              </c:numCache>
            </c:numRef>
          </c:cat>
          <c:val>
            <c:numRef>
              <c:f>'Gráficos - Monografia'!$B$151:$AQ$151</c:f>
              <c:numCache>
                <c:formatCode>#,##0</c:formatCode>
                <c:ptCount val="42"/>
                <c:pt idx="0">
                  <c:v>2028.778064069922</c:v>
                </c:pt>
                <c:pt idx="1">
                  <c:v>5389.4066413078954</c:v>
                </c:pt>
                <c:pt idx="2">
                  <c:v>5475.0390644567315</c:v>
                </c:pt>
                <c:pt idx="3">
                  <c:v>8046.28666110215</c:v>
                </c:pt>
                <c:pt idx="4">
                  <c:v>8213.4534465247816</c:v>
                </c:pt>
                <c:pt idx="5">
                  <c:v>8602.779961917422</c:v>
                </c:pt>
                <c:pt idx="6">
                  <c:v>9676.2561246602309</c:v>
                </c:pt>
                <c:pt idx="7">
                  <c:v>8710.8032305929228</c:v>
                </c:pt>
                <c:pt idx="8">
                  <c:v>7421.9694269731226</c:v>
                </c:pt>
                <c:pt idx="9">
                  <c:v>6414.2062767940388</c:v>
                </c:pt>
                <c:pt idx="10">
                  <c:v>5706.7144424915714</c:v>
                </c:pt>
                <c:pt idx="11">
                  <c:v>5049.9524890448365</c:v>
                </c:pt>
                <c:pt idx="12">
                  <c:v>4400.4525073649838</c:v>
                </c:pt>
                <c:pt idx="13">
                  <c:v>3880.4478885544186</c:v>
                </c:pt>
                <c:pt idx="14">
                  <c:v>3410.4061898568389</c:v>
                </c:pt>
                <c:pt idx="15">
                  <c:v>3065.415598394482</c:v>
                </c:pt>
                <c:pt idx="16">
                  <c:v>2089.6213086301491</c:v>
                </c:pt>
                <c:pt idx="17">
                  <c:v>2293.9343067836007</c:v>
                </c:pt>
                <c:pt idx="18">
                  <c:v>2069.7888195058449</c:v>
                </c:pt>
                <c:pt idx="19">
                  <c:v>1876.4645209152984</c:v>
                </c:pt>
                <c:pt idx="20">
                  <c:v>1686.5213469922296</c:v>
                </c:pt>
                <c:pt idx="21">
                  <c:v>1550.3419306961887</c:v>
                </c:pt>
                <c:pt idx="22">
                  <c:v>1398.680853841927</c:v>
                </c:pt>
                <c:pt idx="23">
                  <c:v>1318.0483239855555</c:v>
                </c:pt>
                <c:pt idx="24">
                  <c:v>1252.2855270291159</c:v>
                </c:pt>
                <c:pt idx="25">
                  <c:v>1213.5297533670123</c:v>
                </c:pt>
                <c:pt idx="26">
                  <c:v>1405.189213886752</c:v>
                </c:pt>
                <c:pt idx="27">
                  <c:v>1261.9738240033789</c:v>
                </c:pt>
                <c:pt idx="28">
                  <c:v>1097.4731273595439</c:v>
                </c:pt>
                <c:pt idx="29">
                  <c:v>-10869.625044523464</c:v>
                </c:pt>
                <c:pt idx="30">
                  <c:v>0</c:v>
                </c:pt>
                <c:pt idx="31">
                  <c:v>0</c:v>
                </c:pt>
                <c:pt idx="32">
                  <c:v>0</c:v>
                </c:pt>
                <c:pt idx="33">
                  <c:v>0</c:v>
                </c:pt>
                <c:pt idx="34">
                  <c:v>0</c:v>
                </c:pt>
                <c:pt idx="35">
                  <c:v>0</c:v>
                </c:pt>
                <c:pt idx="36">
                  <c:v>0</c:v>
                </c:pt>
                <c:pt idx="37">
                  <c:v>0</c:v>
                </c:pt>
                <c:pt idx="38">
                  <c:v>0</c:v>
                </c:pt>
                <c:pt idx="39">
                  <c:v>0</c:v>
                </c:pt>
                <c:pt idx="40">
                  <c:v>0</c:v>
                </c:pt>
                <c:pt idx="41">
                  <c:v>0</c:v>
                </c:pt>
              </c:numCache>
            </c:numRef>
          </c:val>
          <c:smooth val="0"/>
          <c:extLst>
            <c:ext xmlns:c16="http://schemas.microsoft.com/office/drawing/2014/chart" uri="{C3380CC4-5D6E-409C-BE32-E72D297353CC}">
              <c16:uniqueId val="{00000006-47B8-40AA-8C4C-AEC832C5630E}"/>
            </c:ext>
          </c:extLst>
        </c:ser>
        <c:ser>
          <c:idx val="0"/>
          <c:order val="5"/>
          <c:tx>
            <c:strRef>
              <c:f>'Gráficos - Monografia'!$A$147</c:f>
              <c:strCache>
                <c:ptCount val="1"/>
                <c:pt idx="0">
                  <c:v>Fluxo de Caixa Operacional</c:v>
                </c:pt>
              </c:strCache>
            </c:strRef>
          </c:tx>
          <c:spPr>
            <a:ln w="28575" cap="rnd">
              <a:solidFill>
                <a:schemeClr val="accent1"/>
              </a:solidFill>
              <a:round/>
            </a:ln>
            <a:effectLst/>
          </c:spPr>
          <c:marker>
            <c:symbol val="none"/>
          </c:marker>
          <c:cat>
            <c:numRef>
              <c:f>'Gráficos - Monografia'!$B$135:$AR$135</c:f>
              <c:numCache>
                <c:formatCode>General</c:formatCode>
                <c:ptCount val="4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pt idx="33">
                  <c:v>2057</c:v>
                </c:pt>
                <c:pt idx="34">
                  <c:v>2058</c:v>
                </c:pt>
                <c:pt idx="35">
                  <c:v>2059</c:v>
                </c:pt>
                <c:pt idx="36">
                  <c:v>2060</c:v>
                </c:pt>
                <c:pt idx="37">
                  <c:v>2061</c:v>
                </c:pt>
                <c:pt idx="38">
                  <c:v>2062</c:v>
                </c:pt>
                <c:pt idx="39">
                  <c:v>2063</c:v>
                </c:pt>
                <c:pt idx="40">
                  <c:v>2064</c:v>
                </c:pt>
                <c:pt idx="41">
                  <c:v>2065</c:v>
                </c:pt>
                <c:pt idx="42">
                  <c:v>2066</c:v>
                </c:pt>
              </c:numCache>
            </c:numRef>
          </c:cat>
          <c:val>
            <c:numRef>
              <c:f>'Gráficos - Monografia'!$B$147:$AQ$147</c:f>
              <c:numCache>
                <c:formatCode>#,##0</c:formatCode>
                <c:ptCount val="42"/>
                <c:pt idx="0">
                  <c:v>6976.5414029964832</c:v>
                </c:pt>
                <c:pt idx="1">
                  <c:v>9762.3805654179978</c:v>
                </c:pt>
                <c:pt idx="2">
                  <c:v>10357.367771150488</c:v>
                </c:pt>
                <c:pt idx="3">
                  <c:v>10581.015722521837</c:v>
                </c:pt>
                <c:pt idx="4">
                  <c:v>10290.345478296424</c:v>
                </c:pt>
                <c:pt idx="5">
                  <c:v>10033.747017374408</c:v>
                </c:pt>
                <c:pt idx="6">
                  <c:v>9466.2788398412195</c:v>
                </c:pt>
                <c:pt idx="7">
                  <c:v>8278.3980208372668</c:v>
                </c:pt>
                <c:pt idx="8">
                  <c:v>7237.9916945383693</c:v>
                </c:pt>
                <c:pt idx="9">
                  <c:v>6319.7872883882083</c:v>
                </c:pt>
                <c:pt idx="10">
                  <c:v>5678.846916666098</c:v>
                </c:pt>
                <c:pt idx="11">
                  <c:v>5025.3333587787311</c:v>
                </c:pt>
                <c:pt idx="12">
                  <c:v>4381.331273504501</c:v>
                </c:pt>
                <c:pt idx="13">
                  <c:v>3803.6337546913405</c:v>
                </c:pt>
                <c:pt idx="14">
                  <c:v>3413.1753451719551</c:v>
                </c:pt>
                <c:pt idx="15">
                  <c:v>3099.8109162156447</c:v>
                </c:pt>
                <c:pt idx="16">
                  <c:v>1970.3923155534958</c:v>
                </c:pt>
                <c:pt idx="17">
                  <c:v>2367.780740971838</c:v>
                </c:pt>
                <c:pt idx="18">
                  <c:v>2166.2820633746669</c:v>
                </c:pt>
                <c:pt idx="19">
                  <c:v>1985.5600921968467</c:v>
                </c:pt>
                <c:pt idx="20">
                  <c:v>1827.4805067135737</c:v>
                </c:pt>
                <c:pt idx="21">
                  <c:v>1686.4975844230596</c:v>
                </c:pt>
                <c:pt idx="22">
                  <c:v>1584.2226796870439</c:v>
                </c:pt>
                <c:pt idx="23">
                  <c:v>1522.7753714456178</c:v>
                </c:pt>
                <c:pt idx="24">
                  <c:v>1471.0105606343427</c:v>
                </c:pt>
                <c:pt idx="25">
                  <c:v>1407.9436349041109</c:v>
                </c:pt>
                <c:pt idx="26">
                  <c:v>1376.7510168371739</c:v>
                </c:pt>
                <c:pt idx="27">
                  <c:v>1247.7730144074699</c:v>
                </c:pt>
                <c:pt idx="28">
                  <c:v>905.45015002185664</c:v>
                </c:pt>
                <c:pt idx="29">
                  <c:v>-10869.625044523464</c:v>
                </c:pt>
                <c:pt idx="30">
                  <c:v>0</c:v>
                </c:pt>
                <c:pt idx="31">
                  <c:v>0</c:v>
                </c:pt>
                <c:pt idx="32">
                  <c:v>0</c:v>
                </c:pt>
                <c:pt idx="33">
                  <c:v>0</c:v>
                </c:pt>
                <c:pt idx="34">
                  <c:v>0</c:v>
                </c:pt>
                <c:pt idx="35">
                  <c:v>0</c:v>
                </c:pt>
                <c:pt idx="36">
                  <c:v>0</c:v>
                </c:pt>
                <c:pt idx="37">
                  <c:v>0</c:v>
                </c:pt>
                <c:pt idx="38">
                  <c:v>0</c:v>
                </c:pt>
                <c:pt idx="39">
                  <c:v>0</c:v>
                </c:pt>
                <c:pt idx="40">
                  <c:v>0</c:v>
                </c:pt>
                <c:pt idx="41">
                  <c:v>0</c:v>
                </c:pt>
              </c:numCache>
            </c:numRef>
          </c:val>
          <c:smooth val="0"/>
          <c:extLst>
            <c:ext xmlns:c16="http://schemas.microsoft.com/office/drawing/2014/chart" uri="{C3380CC4-5D6E-409C-BE32-E72D297353CC}">
              <c16:uniqueId val="{00000000-FE2A-4FFF-B998-65BB1A05F76C}"/>
            </c:ext>
          </c:extLst>
        </c:ser>
        <c:dLbls>
          <c:showLegendKey val="0"/>
          <c:showVal val="0"/>
          <c:showCatName val="0"/>
          <c:showSerName val="0"/>
          <c:showPercent val="0"/>
          <c:showBubbleSize val="0"/>
        </c:dLbls>
        <c:smooth val="0"/>
        <c:axId val="1340672367"/>
        <c:axId val="1199289631"/>
      </c:lineChart>
      <c:catAx>
        <c:axId val="134067236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199289631"/>
        <c:crosses val="autoZero"/>
        <c:auto val="1"/>
        <c:lblAlgn val="ctr"/>
        <c:lblOffset val="100"/>
        <c:noMultiLvlLbl val="0"/>
      </c:catAx>
      <c:valAx>
        <c:axId val="1199289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340672367"/>
        <c:crosses val="autoZero"/>
        <c:crossBetween val="between"/>
      </c:valAx>
      <c:spPr>
        <a:noFill/>
        <a:ln>
          <a:solidFill>
            <a:schemeClr val="bg1">
              <a:lumMod val="85000"/>
            </a:schemeClr>
          </a:solidFill>
        </a:ln>
        <a:effectLst/>
      </c:spPr>
    </c:plotArea>
    <c:legend>
      <c:legendPos val="b"/>
      <c:layout>
        <c:manualLayout>
          <c:xMode val="edge"/>
          <c:yMode val="edge"/>
          <c:x val="0.21845595201912391"/>
          <c:y val="0.90080091409845964"/>
          <c:w val="0.56874778844276963"/>
          <c:h val="8.27711843395961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494737303314599"/>
          <c:y val="5.9450106329381441E-2"/>
          <c:w val="0.79967555076023655"/>
          <c:h val="0.67394944053046002"/>
        </c:manualLayout>
      </c:layout>
      <c:lineChart>
        <c:grouping val="standard"/>
        <c:varyColors val="0"/>
        <c:ser>
          <c:idx val="0"/>
          <c:order val="0"/>
          <c:tx>
            <c:strRef>
              <c:f>'Gráficos - Monografia'!$A$136</c:f>
              <c:strCache>
                <c:ptCount val="1"/>
                <c:pt idx="0">
                  <c:v>Receita Líquida</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ext>
              </c:extLst>
              <c:f>('Gráficos - Monografia'!$B$135:$AF$135,'Gráficos - Monografia'!$AQ$135)</c:f>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2065</c:v>
                </c:pt>
              </c:numCache>
            </c:numRef>
          </c:cat>
          <c:val>
            <c:numRef>
              <c:extLst>
                <c:ext xmlns:c15="http://schemas.microsoft.com/office/drawing/2012/chart" uri="{02D57815-91ED-43cb-92C2-25804820EDAC}">
                  <c15:fullRef>
                    <c15:sqref>'Gráficos - Monografia'!$B$136:$AQ$136</c15:sqref>
                  </c15:fullRef>
                </c:ext>
              </c:extLst>
              <c:f>('Gráficos - Monografia'!$B$136:$AF$136,'Gráficos - Monografia'!$AQ$136)</c:f>
              <c:numCache>
                <c:formatCode>#,##0</c:formatCode>
                <c:ptCount val="32"/>
                <c:pt idx="0">
                  <c:v>16390.386780871981</c:v>
                </c:pt>
                <c:pt idx="1">
                  <c:v>20323.351780034314</c:v>
                </c:pt>
                <c:pt idx="2">
                  <c:v>20721.904899899655</c:v>
                </c:pt>
                <c:pt idx="3">
                  <c:v>21323.319094521969</c:v>
                </c:pt>
                <c:pt idx="4">
                  <c:v>20553.244297288333</c:v>
                </c:pt>
                <c:pt idx="5">
                  <c:v>20781.192835271839</c:v>
                </c:pt>
                <c:pt idx="6">
                  <c:v>18961.693826721908</c:v>
                </c:pt>
                <c:pt idx="7">
                  <c:v>16224.666620542246</c:v>
                </c:pt>
                <c:pt idx="8">
                  <c:v>14451.927383099908</c:v>
                </c:pt>
                <c:pt idx="9">
                  <c:v>13007.420420359002</c:v>
                </c:pt>
                <c:pt idx="10">
                  <c:v>11798.203427187698</c:v>
                </c:pt>
                <c:pt idx="11">
                  <c:v>10570.288890776379</c:v>
                </c:pt>
                <c:pt idx="12">
                  <c:v>9331.6657179269641</c:v>
                </c:pt>
                <c:pt idx="13">
                  <c:v>8275.1517275991773</c:v>
                </c:pt>
                <c:pt idx="14">
                  <c:v>7515.5600073167261</c:v>
                </c:pt>
                <c:pt idx="15">
                  <c:v>6860.5560599817354</c:v>
                </c:pt>
                <c:pt idx="16">
                  <c:v>5568.6999780870374</c:v>
                </c:pt>
                <c:pt idx="17">
                  <c:v>5025.6528041598413</c:v>
                </c:pt>
                <c:pt idx="18">
                  <c:v>4549.1959123823272</c:v>
                </c:pt>
                <c:pt idx="19">
                  <c:v>4098.5154558692993</c:v>
                </c:pt>
                <c:pt idx="20">
                  <c:v>3749.8191320893975</c:v>
                </c:pt>
                <c:pt idx="21">
                  <c:v>3355.8032444751461</c:v>
                </c:pt>
                <c:pt idx="22">
                  <c:v>3132.2871289879899</c:v>
                </c:pt>
                <c:pt idx="23">
                  <c:v>2957.7798214273544</c:v>
                </c:pt>
                <c:pt idx="24">
                  <c:v>2810.6305580406165</c:v>
                </c:pt>
                <c:pt idx="25">
                  <c:v>2536.8832537542439</c:v>
                </c:pt>
                <c:pt idx="26">
                  <c:v>2382.4964886306102</c:v>
                </c:pt>
                <c:pt idx="27">
                  <c:v>2285.0377475453388</c:v>
                </c:pt>
                <c:pt idx="28">
                  <c:v>1476.5591882033877</c:v>
                </c:pt>
                <c:pt idx="29">
                  <c:v>0</c:v>
                </c:pt>
                <c:pt idx="30">
                  <c:v>0</c:v>
                </c:pt>
                <c:pt idx="31">
                  <c:v>0</c:v>
                </c:pt>
              </c:numCache>
            </c:numRef>
          </c:val>
          <c:smooth val="0"/>
          <c:extLst>
            <c:ext xmlns:c16="http://schemas.microsoft.com/office/drawing/2014/chart" uri="{C3380CC4-5D6E-409C-BE32-E72D297353CC}">
              <c16:uniqueId val="{00000000-A995-4A4B-80DB-54E5E52F020C}"/>
            </c:ext>
          </c:extLst>
        </c:ser>
        <c:dLbls>
          <c:showLegendKey val="0"/>
          <c:showVal val="0"/>
          <c:showCatName val="0"/>
          <c:showSerName val="0"/>
          <c:showPercent val="0"/>
          <c:showBubbleSize val="0"/>
        </c:dLbls>
        <c:smooth val="0"/>
        <c:axId val="1340672367"/>
        <c:axId val="1199289631"/>
      </c:lineChart>
      <c:catAx>
        <c:axId val="1340672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199289631"/>
        <c:crosses val="autoZero"/>
        <c:auto val="1"/>
        <c:lblAlgn val="ctr"/>
        <c:lblOffset val="100"/>
        <c:noMultiLvlLbl val="0"/>
      </c:catAx>
      <c:valAx>
        <c:axId val="11992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Milhões</a:t>
                </a:r>
                <a:r>
                  <a:rPr lang="pt-BR" baseline="0"/>
                  <a:t> de Reais (R$ mi)</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340672367"/>
        <c:crosses val="autoZero"/>
        <c:crossBetween val="between"/>
      </c:valAx>
      <c:spPr>
        <a:noFill/>
        <a:ln>
          <a:solidFill>
            <a:schemeClr val="bg1">
              <a:lumMod val="85000"/>
            </a:schemeClr>
          </a:solidFill>
        </a:ln>
        <a:effectLst/>
      </c:spPr>
    </c:plotArea>
    <c:legend>
      <c:legendPos val="b"/>
      <c:layout>
        <c:manualLayout>
          <c:xMode val="edge"/>
          <c:yMode val="edge"/>
          <c:x val="0.36467263749465717"/>
          <c:y val="0.92577612009025168"/>
          <c:w val="0.27065450637912242"/>
          <c:h val="7.42238799097481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3494560058894"/>
          <c:y val="5.1425899953249185E-2"/>
          <c:w val="0.80884764560484868"/>
          <c:h val="0.67175330292689572"/>
        </c:manualLayout>
      </c:layout>
      <c:lineChart>
        <c:grouping val="standard"/>
        <c:varyColors val="0"/>
        <c:ser>
          <c:idx val="1"/>
          <c:order val="0"/>
          <c:tx>
            <c:strRef>
              <c:f>'Gráficos - Monografia'!$A$137</c:f>
              <c:strCache>
                <c:ptCount val="1"/>
                <c:pt idx="0">
                  <c:v>Custos</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ext>
              </c:extLst>
              <c:f>'Gráficos - Monografia'!$B$135:$AG$135</c:f>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Monografia'!$B$137:$AQ$137</c15:sqref>
                  </c15:fullRef>
                </c:ext>
              </c:extLst>
              <c:f>'Gráficos - Monografia'!$B$137:$AG$137</c:f>
              <c:numCache>
                <c:formatCode>#,##0</c:formatCode>
                <c:ptCount val="32"/>
                <c:pt idx="0">
                  <c:v>-4812.2979228943586</c:v>
                </c:pt>
                <c:pt idx="1">
                  <c:v>-5930.0149891544279</c:v>
                </c:pt>
                <c:pt idx="2">
                  <c:v>-6614.3880973548667</c:v>
                </c:pt>
                <c:pt idx="3">
                  <c:v>-7232.9580655703303</c:v>
                </c:pt>
                <c:pt idx="4">
                  <c:v>-7525.7477916724256</c:v>
                </c:pt>
                <c:pt idx="5">
                  <c:v>-7715.5530510131266</c:v>
                </c:pt>
                <c:pt idx="6">
                  <c:v>-6977.1808909794181</c:v>
                </c:pt>
                <c:pt idx="7">
                  <c:v>-5803.4145808208605</c:v>
                </c:pt>
                <c:pt idx="8">
                  <c:v>-5015.1494813390073</c:v>
                </c:pt>
                <c:pt idx="9">
                  <c:v>-4606.1626170792142</c:v>
                </c:pt>
                <c:pt idx="10">
                  <c:v>-4062.6574317082845</c:v>
                </c:pt>
                <c:pt idx="11">
                  <c:v>-3561.0324733868138</c:v>
                </c:pt>
                <c:pt idx="12">
                  <c:v>-3083.7260029894469</c:v>
                </c:pt>
                <c:pt idx="13">
                  <c:v>-2702.4951243554383</c:v>
                </c:pt>
                <c:pt idx="14">
                  <c:v>-2387.1533790195472</c:v>
                </c:pt>
                <c:pt idx="15">
                  <c:v>-2042.7872450856769</c:v>
                </c:pt>
                <c:pt idx="16">
                  <c:v>-1686.3749226715524</c:v>
                </c:pt>
                <c:pt idx="17">
                  <c:v>-1506.5825646754108</c:v>
                </c:pt>
                <c:pt idx="18">
                  <c:v>-1346.9281963652857</c:v>
                </c:pt>
                <c:pt idx="19">
                  <c:v>-1209.4114759521672</c:v>
                </c:pt>
                <c:pt idx="20">
                  <c:v>-1089.3685940180046</c:v>
                </c:pt>
                <c:pt idx="21">
                  <c:v>-988.21118940851989</c:v>
                </c:pt>
                <c:pt idx="22">
                  <c:v>-937.54464205339104</c:v>
                </c:pt>
                <c:pt idx="23">
                  <c:v>-910.5093601864537</c:v>
                </c:pt>
                <c:pt idx="24">
                  <c:v>-875.65806382040171</c:v>
                </c:pt>
                <c:pt idx="25">
                  <c:v>-856.11388223140341</c:v>
                </c:pt>
                <c:pt idx="26">
                  <c:v>-927.18709392406413</c:v>
                </c:pt>
                <c:pt idx="27">
                  <c:v>-632.39415853140531</c:v>
                </c:pt>
                <c:pt idx="28">
                  <c:v>-2.0236447944026006</c:v>
                </c:pt>
                <c:pt idx="29">
                  <c:v>0</c:v>
                </c:pt>
                <c:pt idx="30">
                  <c:v>0</c:v>
                </c:pt>
                <c:pt idx="31">
                  <c:v>0</c:v>
                </c:pt>
              </c:numCache>
            </c:numRef>
          </c:val>
          <c:smooth val="0"/>
          <c:extLst>
            <c:ext xmlns:c16="http://schemas.microsoft.com/office/drawing/2014/chart" uri="{C3380CC4-5D6E-409C-BE32-E72D297353CC}">
              <c16:uniqueId val="{00000001-36FB-41F8-BC9C-B627EC4BCB1B}"/>
            </c:ext>
          </c:extLst>
        </c:ser>
        <c:dLbls>
          <c:showLegendKey val="0"/>
          <c:showVal val="0"/>
          <c:showCatName val="0"/>
          <c:showSerName val="0"/>
          <c:showPercent val="0"/>
          <c:showBubbleSize val="0"/>
        </c:dLbls>
        <c:smooth val="0"/>
        <c:axId val="1340672367"/>
        <c:axId val="1199289631"/>
      </c:lineChart>
      <c:catAx>
        <c:axId val="1340672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199289631"/>
        <c:crosses val="autoZero"/>
        <c:auto val="1"/>
        <c:lblAlgn val="ctr"/>
        <c:lblOffset val="100"/>
        <c:noMultiLvlLbl val="0"/>
      </c:catAx>
      <c:valAx>
        <c:axId val="11992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Milhões de </a:t>
                </a:r>
                <a:r>
                  <a:rPr lang="pt-BR" baseline="0"/>
                  <a:t>Reais (R$ mi)</a:t>
                </a:r>
                <a:endParaRPr lang="pt-BR"/>
              </a:p>
            </c:rich>
          </c:tx>
          <c:layout>
            <c:manualLayout>
              <c:xMode val="edge"/>
              <c:yMode val="edge"/>
              <c:x val="2.4968789013732832E-2"/>
              <c:y val="0.105488619672891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340672367"/>
        <c:crosses val="autoZero"/>
        <c:crossBetween val="between"/>
      </c:valAx>
      <c:spPr>
        <a:noFill/>
        <a:ln>
          <a:solidFill>
            <a:schemeClr val="bg1">
              <a:lumMod val="85000"/>
            </a:schemeClr>
          </a:solidFill>
        </a:ln>
        <a:effectLst/>
      </c:spPr>
    </c:plotArea>
    <c:legend>
      <c:legendPos val="b"/>
      <c:layout>
        <c:manualLayout>
          <c:xMode val="edge"/>
          <c:yMode val="edge"/>
          <c:x val="0.41925917187942019"/>
          <c:y val="0.92115308868298895"/>
          <c:w val="0.16148143779156196"/>
          <c:h val="7.41718295030792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279058802570305E-2"/>
          <c:y val="4.2743809313707824E-2"/>
          <c:w val="0.86094944281708807"/>
          <c:h val="0.6970816178915954"/>
        </c:manualLayout>
      </c:layout>
      <c:lineChart>
        <c:grouping val="standard"/>
        <c:varyColors val="0"/>
        <c:ser>
          <c:idx val="2"/>
          <c:order val="2"/>
          <c:tx>
            <c:strRef>
              <c:f>'Gráficos - Monografia'!$A$138</c:f>
              <c:strCache>
                <c:ptCount val="1"/>
                <c:pt idx="0">
                  <c:v>Despesas</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ext>
              </c:extLst>
              <c:f>'Gráficos - Monografia'!$B$135:$AG$135</c:f>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Monografia'!$B$138:$AQ$138</c15:sqref>
                  </c15:fullRef>
                </c:ext>
              </c:extLst>
              <c:f>'Gráficos - Monografia'!$B$138:$AG$138</c:f>
              <c:numCache>
                <c:formatCode>#,##0</c:formatCode>
                <c:ptCount val="32"/>
                <c:pt idx="0">
                  <c:v>-781.1641074364461</c:v>
                </c:pt>
                <c:pt idx="1">
                  <c:v>-968.60880500361225</c:v>
                </c:pt>
                <c:pt idx="2">
                  <c:v>-1002.5101131787386</c:v>
                </c:pt>
                <c:pt idx="3">
                  <c:v>-1037.5979671399944</c:v>
                </c:pt>
                <c:pt idx="4">
                  <c:v>-1073.9138959898942</c:v>
                </c:pt>
                <c:pt idx="5">
                  <c:v>-1106.1313128695908</c:v>
                </c:pt>
                <c:pt idx="6">
                  <c:v>-1139.3152522556786</c:v>
                </c:pt>
                <c:pt idx="7">
                  <c:v>-1173.494709823349</c:v>
                </c:pt>
                <c:pt idx="8">
                  <c:v>-1208.6995511180496</c:v>
                </c:pt>
                <c:pt idx="9">
                  <c:v>-1244.960537651591</c:v>
                </c:pt>
                <c:pt idx="10">
                  <c:v>-1282.3093537811387</c:v>
                </c:pt>
                <c:pt idx="11">
                  <c:v>-1320.7786343945731</c:v>
                </c:pt>
                <c:pt idx="12">
                  <c:v>-1360.4019934264102</c:v>
                </c:pt>
                <c:pt idx="13">
                  <c:v>-1401.2140532292026</c:v>
                </c:pt>
                <c:pt idx="14">
                  <c:v>-1333.8309869013071</c:v>
                </c:pt>
                <c:pt idx="15">
                  <c:v>-1217.5835534901532</c:v>
                </c:pt>
                <c:pt idx="16">
                  <c:v>-988.31019648541508</c:v>
                </c:pt>
                <c:pt idx="17">
                  <c:v>-891.93239533312453</c:v>
                </c:pt>
                <c:pt idx="18">
                  <c:v>-807.37276630257566</c:v>
                </c:pt>
                <c:pt idx="19">
                  <c:v>-727.38783404168305</c:v>
                </c:pt>
                <c:pt idx="20">
                  <c:v>-665.50263038108983</c:v>
                </c:pt>
                <c:pt idx="21">
                  <c:v>-595.57429507145696</c:v>
                </c:pt>
                <c:pt idx="22">
                  <c:v>-555.90556504756842</c:v>
                </c:pt>
                <c:pt idx="23">
                  <c:v>-524.93471869167661</c:v>
                </c:pt>
                <c:pt idx="24">
                  <c:v>-498.81926661440571</c:v>
                </c:pt>
                <c:pt idx="25">
                  <c:v>-450.23570974274315</c:v>
                </c:pt>
                <c:pt idx="26">
                  <c:v>-422.83577532815809</c:v>
                </c:pt>
                <c:pt idx="27">
                  <c:v>-405.53919481022302</c:v>
                </c:pt>
                <c:pt idx="28">
                  <c:v>-262.05371220536358</c:v>
                </c:pt>
                <c:pt idx="29">
                  <c:v>0</c:v>
                </c:pt>
                <c:pt idx="30">
                  <c:v>0</c:v>
                </c:pt>
                <c:pt idx="31">
                  <c:v>0</c:v>
                </c:pt>
              </c:numCache>
            </c:numRef>
          </c:val>
          <c:smooth val="0"/>
          <c:extLst>
            <c:ext xmlns:c16="http://schemas.microsoft.com/office/drawing/2014/chart" uri="{C3380CC4-5D6E-409C-BE32-E72D297353CC}">
              <c16:uniqueId val="{00000002-E755-4061-835E-4BAF98321737}"/>
            </c:ext>
          </c:extLst>
        </c:ser>
        <c:ser>
          <c:idx val="5"/>
          <c:order val="5"/>
          <c:tx>
            <c:strRef>
              <c:f>'Gráficos - Monografia'!$A$139</c:f>
              <c:strCache>
                <c:ptCount val="1"/>
                <c:pt idx="0">
                  <c:v>Pagamentos de Passivos de Arrendamento</c:v>
                </c:pt>
              </c:strCache>
            </c:strRef>
          </c:tx>
          <c:spPr>
            <a:ln w="12700" cap="rnd">
              <a:solidFill>
                <a:schemeClr val="bg1">
                  <a:lumMod val="65000"/>
                </a:schemeClr>
              </a:solidFill>
              <a:round/>
            </a:ln>
            <a:effectLst/>
          </c:spPr>
          <c:marker>
            <c:symbol val="none"/>
          </c:marker>
          <c:cat>
            <c:strLit>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'Gráficos - Monografia'!$B$139:$AQ$139</c15:sqref>
                  </c15:fullRef>
                </c:ext>
              </c:extLst>
              <c:f>'Gráficos - Monografia'!$B$139:$AG$139</c:f>
              <c:numCache>
                <c:formatCode>#,##0</c:formatCode>
                <c:ptCount val="32"/>
                <c:pt idx="0">
                  <c:v>-606.71034994196043</c:v>
                </c:pt>
                <c:pt idx="1">
                  <c:v>-752.2938924692171</c:v>
                </c:pt>
                <c:pt idx="2">
                  <c:v>-767.04682698240106</c:v>
                </c:pt>
                <c:pt idx="3">
                  <c:v>-789.3089139823976</c:v>
                </c:pt>
                <c:pt idx="4">
                  <c:v>-760.80364708678349</c:v>
                </c:pt>
                <c:pt idx="5">
                  <c:v>-769.24144291782079</c:v>
                </c:pt>
                <c:pt idx="6">
                  <c:v>-701.89044657131171</c:v>
                </c:pt>
                <c:pt idx="7">
                  <c:v>-600.57601413827888</c:v>
                </c:pt>
                <c:pt idx="8">
                  <c:v>-534.95588829965823</c:v>
                </c:pt>
                <c:pt idx="9">
                  <c:v>-481.48568429685133</c:v>
                </c:pt>
                <c:pt idx="10">
                  <c:v>-436.72502825553636</c:v>
                </c:pt>
                <c:pt idx="11">
                  <c:v>-391.27225962689403</c:v>
                </c:pt>
                <c:pt idx="12">
                  <c:v>-345.42309763379853</c:v>
                </c:pt>
                <c:pt idx="13">
                  <c:v>-306.3149312823852</c:v>
                </c:pt>
                <c:pt idx="14">
                  <c:v>-278.19770838906038</c:v>
                </c:pt>
                <c:pt idx="15">
                  <c:v>-253.95193070157154</c:v>
                </c:pt>
                <c:pt idx="16">
                  <c:v>-206.1322870287525</c:v>
                </c:pt>
                <c:pt idx="17">
                  <c:v>-186.03072717338259</c:v>
                </c:pt>
                <c:pt idx="18">
                  <c:v>-168.39408861156727</c:v>
                </c:pt>
                <c:pt idx="19">
                  <c:v>-151.71159654236703</c:v>
                </c:pt>
                <c:pt idx="20">
                  <c:v>-138.80417273032663</c:v>
                </c:pt>
                <c:pt idx="21">
                  <c:v>-124.2191894560993</c:v>
                </c:pt>
                <c:pt idx="22">
                  <c:v>-115.94546520188339</c:v>
                </c:pt>
                <c:pt idx="23">
                  <c:v>-109.4858623228896</c:v>
                </c:pt>
                <c:pt idx="24">
                  <c:v>-104.03895113789804</c:v>
                </c:pt>
                <c:pt idx="25">
                  <c:v>-93.905857575208003</c:v>
                </c:pt>
                <c:pt idx="26">
                  <c:v>-88.191041351110101</c:v>
                </c:pt>
                <c:pt idx="27">
                  <c:v>-84.583486038397581</c:v>
                </c:pt>
                <c:pt idx="28">
                  <c:v>-54.656656597656863</c:v>
                </c:pt>
                <c:pt idx="29">
                  <c:v>0</c:v>
                </c:pt>
                <c:pt idx="30">
                  <c:v>0</c:v>
                </c:pt>
                <c:pt idx="31">
                  <c:v>0</c:v>
                </c:pt>
              </c:numCache>
            </c:numRef>
          </c:val>
          <c:smooth val="0"/>
          <c:extLst>
            <c:ext xmlns:c16="http://schemas.microsoft.com/office/drawing/2014/chart" uri="{C3380CC4-5D6E-409C-BE32-E72D297353CC}">
              <c16:uniqueId val="{00000005-E755-4061-835E-4BAF98321737}"/>
            </c:ext>
          </c:extLst>
        </c:ser>
        <c:dLbls>
          <c:showLegendKey val="0"/>
          <c:showVal val="0"/>
          <c:showCatName val="0"/>
          <c:showSerName val="0"/>
          <c:showPercent val="0"/>
          <c:showBubbleSize val="0"/>
        </c:dLbls>
        <c:smooth val="0"/>
        <c:axId val="1340672367"/>
        <c:axId val="1199289631"/>
        <c:extLst>
          <c:ext xmlns:c15="http://schemas.microsoft.com/office/drawing/2012/chart" uri="{02D57815-91ED-43cb-92C2-25804820EDAC}">
            <c15:filteredLineSeries>
              <c15:ser>
                <c:idx val="0"/>
                <c:order val="0"/>
                <c:tx>
                  <c:strRef>
                    <c:extLst>
                      <c:ext uri="{02D57815-91ED-43cb-92C2-25804820EDAC}">
                        <c15:formulaRef>
                          <c15:sqref>'Gráficos - Monografia'!$A$136</c15:sqref>
                        </c15:formulaRef>
                      </c:ext>
                    </c:extLst>
                    <c:strCache>
                      <c:ptCount val="1"/>
                      <c:pt idx="0">
                        <c:v>Receita Líquida</c:v>
                      </c:pt>
                    </c:strCache>
                  </c:strRef>
                </c:tx>
                <c:spPr>
                  <a:ln w="12700" cap="rnd">
                    <a:solidFill>
                      <a:schemeClr val="tx1"/>
                    </a:solidFill>
                    <a:round/>
                  </a:ln>
                  <a:effectLst/>
                </c:spPr>
                <c:marker>
                  <c:symbol val="none"/>
                </c:marker>
                <c:cat>
                  <c:numRef>
                    <c:extLst>
                      <c:ex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uri="{02D57815-91ED-43cb-92C2-25804820EDAC}">
                        <c15:fullRef>
                          <c15:sqref>'Gráficos - Monografia'!$B$136:$AQ$136</c15:sqref>
                        </c15:fullRef>
                        <c15:formulaRef>
                          <c15:sqref>'Gráficos - Monografia'!$B$136:$AG$136</c15:sqref>
                        </c15:formulaRef>
                      </c:ext>
                    </c:extLst>
                    <c:numCache>
                      <c:formatCode>#,##0</c:formatCode>
                      <c:ptCount val="32"/>
                      <c:pt idx="0">
                        <c:v>16390.386780871981</c:v>
                      </c:pt>
                      <c:pt idx="1">
                        <c:v>20323.351780034314</c:v>
                      </c:pt>
                      <c:pt idx="2">
                        <c:v>20721.904899899655</c:v>
                      </c:pt>
                      <c:pt idx="3">
                        <c:v>21323.319094521969</c:v>
                      </c:pt>
                      <c:pt idx="4">
                        <c:v>20553.244297288333</c:v>
                      </c:pt>
                      <c:pt idx="5">
                        <c:v>20781.192835271839</c:v>
                      </c:pt>
                      <c:pt idx="6">
                        <c:v>18961.693826721908</c:v>
                      </c:pt>
                      <c:pt idx="7">
                        <c:v>16224.666620542246</c:v>
                      </c:pt>
                      <c:pt idx="8">
                        <c:v>14451.927383099908</c:v>
                      </c:pt>
                      <c:pt idx="9">
                        <c:v>13007.420420359002</c:v>
                      </c:pt>
                      <c:pt idx="10">
                        <c:v>11798.203427187698</c:v>
                      </c:pt>
                      <c:pt idx="11">
                        <c:v>10570.288890776379</c:v>
                      </c:pt>
                      <c:pt idx="12">
                        <c:v>9331.6657179269641</c:v>
                      </c:pt>
                      <c:pt idx="13">
                        <c:v>8275.1517275991773</c:v>
                      </c:pt>
                      <c:pt idx="14">
                        <c:v>7515.5600073167261</c:v>
                      </c:pt>
                      <c:pt idx="15">
                        <c:v>6860.5560599817354</c:v>
                      </c:pt>
                      <c:pt idx="16">
                        <c:v>5568.6999780870374</c:v>
                      </c:pt>
                      <c:pt idx="17">
                        <c:v>5025.6528041598413</c:v>
                      </c:pt>
                      <c:pt idx="18">
                        <c:v>4549.1959123823272</c:v>
                      </c:pt>
                      <c:pt idx="19">
                        <c:v>4098.5154558692993</c:v>
                      </c:pt>
                      <c:pt idx="20">
                        <c:v>3749.8191320893975</c:v>
                      </c:pt>
                      <c:pt idx="21">
                        <c:v>3355.8032444751461</c:v>
                      </c:pt>
                      <c:pt idx="22">
                        <c:v>3132.2871289879899</c:v>
                      </c:pt>
                      <c:pt idx="23">
                        <c:v>2957.7798214273544</c:v>
                      </c:pt>
                      <c:pt idx="24">
                        <c:v>2810.6305580406165</c:v>
                      </c:pt>
                      <c:pt idx="25">
                        <c:v>2536.8832537542439</c:v>
                      </c:pt>
                      <c:pt idx="26">
                        <c:v>2382.4964886306102</c:v>
                      </c:pt>
                      <c:pt idx="27">
                        <c:v>2285.0377475453388</c:v>
                      </c:pt>
                      <c:pt idx="28">
                        <c:v>1476.5591882033877</c:v>
                      </c:pt>
                      <c:pt idx="29">
                        <c:v>0</c:v>
                      </c:pt>
                      <c:pt idx="30">
                        <c:v>0</c:v>
                      </c:pt>
                      <c:pt idx="31">
                        <c:v>0</c:v>
                      </c:pt>
                    </c:numCache>
                  </c:numRef>
                </c:val>
                <c:smooth val="0"/>
                <c:extLst>
                  <c:ext xmlns:c16="http://schemas.microsoft.com/office/drawing/2014/chart" uri="{C3380CC4-5D6E-409C-BE32-E72D297353CC}">
                    <c16:uniqueId val="{00000000-E755-4061-835E-4BAF9832173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'Gráficos - Monografia'!$A$137</c15:sqref>
                        </c15:formulaRef>
                      </c:ext>
                    </c:extLst>
                    <c:strCache>
                      <c:ptCount val="1"/>
                      <c:pt idx="0">
                        <c:v>Custos</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Monografia'!$B$137:$AQ$137</c15:sqref>
                        </c15:fullRef>
                        <c15:formulaRef>
                          <c15:sqref>'Gráficos - Monografia'!$B$137:$AG$137</c15:sqref>
                        </c15:formulaRef>
                      </c:ext>
                    </c:extLst>
                    <c:numCache>
                      <c:formatCode>#,##0</c:formatCode>
                      <c:ptCount val="32"/>
                      <c:pt idx="0">
                        <c:v>-4812.2979228943586</c:v>
                      </c:pt>
                      <c:pt idx="1">
                        <c:v>-5930.0149891544279</c:v>
                      </c:pt>
                      <c:pt idx="2">
                        <c:v>-6614.3880973548667</c:v>
                      </c:pt>
                      <c:pt idx="3">
                        <c:v>-7232.9580655703303</c:v>
                      </c:pt>
                      <c:pt idx="4">
                        <c:v>-7525.7477916724256</c:v>
                      </c:pt>
                      <c:pt idx="5">
                        <c:v>-7715.5530510131266</c:v>
                      </c:pt>
                      <c:pt idx="6">
                        <c:v>-6977.1808909794181</c:v>
                      </c:pt>
                      <c:pt idx="7">
                        <c:v>-5803.4145808208605</c:v>
                      </c:pt>
                      <c:pt idx="8">
                        <c:v>-5015.1494813390073</c:v>
                      </c:pt>
                      <c:pt idx="9">
                        <c:v>-4606.1626170792142</c:v>
                      </c:pt>
                      <c:pt idx="10">
                        <c:v>-4062.6574317082845</c:v>
                      </c:pt>
                      <c:pt idx="11">
                        <c:v>-3561.0324733868138</c:v>
                      </c:pt>
                      <c:pt idx="12">
                        <c:v>-3083.7260029894469</c:v>
                      </c:pt>
                      <c:pt idx="13">
                        <c:v>-2702.4951243554383</c:v>
                      </c:pt>
                      <c:pt idx="14">
                        <c:v>-2387.1533790195472</c:v>
                      </c:pt>
                      <c:pt idx="15">
                        <c:v>-2042.7872450856769</c:v>
                      </c:pt>
                      <c:pt idx="16">
                        <c:v>-1686.3749226715524</c:v>
                      </c:pt>
                      <c:pt idx="17">
                        <c:v>-1506.5825646754108</c:v>
                      </c:pt>
                      <c:pt idx="18">
                        <c:v>-1346.9281963652857</c:v>
                      </c:pt>
                      <c:pt idx="19">
                        <c:v>-1209.4114759521672</c:v>
                      </c:pt>
                      <c:pt idx="20">
                        <c:v>-1089.3685940180046</c:v>
                      </c:pt>
                      <c:pt idx="21">
                        <c:v>-988.21118940851989</c:v>
                      </c:pt>
                      <c:pt idx="22">
                        <c:v>-937.54464205339104</c:v>
                      </c:pt>
                      <c:pt idx="23">
                        <c:v>-910.5093601864537</c:v>
                      </c:pt>
                      <c:pt idx="24">
                        <c:v>-875.65806382040171</c:v>
                      </c:pt>
                      <c:pt idx="25">
                        <c:v>-856.11388223140341</c:v>
                      </c:pt>
                      <c:pt idx="26">
                        <c:v>-927.18709392406413</c:v>
                      </c:pt>
                      <c:pt idx="27">
                        <c:v>-632.39415853140531</c:v>
                      </c:pt>
                      <c:pt idx="28">
                        <c:v>-2.0236447944026006</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1-E755-4061-835E-4BAF9832173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'Gráficos - Monografia'!$A$140</c15:sqref>
                        </c15:formulaRef>
                      </c:ext>
                    </c:extLst>
                    <c:strCache>
                      <c:ptCount val="1"/>
                      <c:pt idx="0">
                        <c:v>Resultado Financeiro</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Monografia'!$B$140:$AQ$140</c15:sqref>
                        </c15:fullRef>
                        <c15:formulaRef>
                          <c15:sqref>'Gráficos - Monografia'!$B$140:$AG$140</c15:sqref>
                        </c15:formulaRef>
                      </c:ext>
                    </c:extLst>
                    <c:numCache>
                      <c:formatCode>#,##0</c:formatCode>
                      <c:ptCount val="32"/>
                      <c:pt idx="0">
                        <c:v>-311.56733934736405</c:v>
                      </c:pt>
                      <c:pt idx="1">
                        <c:v>222.26858108767311</c:v>
                      </c:pt>
                      <c:pt idx="2">
                        <c:v>124.52827915828009</c:v>
                      </c:pt>
                      <c:pt idx="3">
                        <c:v>167.51869219870528</c:v>
                      </c:pt>
                      <c:pt idx="4">
                        <c:v>169.43670827938641</c:v>
                      </c:pt>
                      <c:pt idx="5">
                        <c:v>171.92155362573834</c:v>
                      </c:pt>
                      <c:pt idx="6">
                        <c:v>173.82827288767115</c:v>
                      </c:pt>
                      <c:pt idx="7">
                        <c:v>155.84240972997529</c:v>
                      </c:pt>
                      <c:pt idx="8">
                        <c:v>133.34732468085258</c:v>
                      </c:pt>
                      <c:pt idx="9">
                        <c:v>118.77753164914797</c:v>
                      </c:pt>
                      <c:pt idx="10">
                        <c:v>123.94926549949027</c:v>
                      </c:pt>
                      <c:pt idx="11">
                        <c:v>112.42649209097479</c:v>
                      </c:pt>
                      <c:pt idx="12">
                        <c:v>100.72554755579984</c:v>
                      </c:pt>
                      <c:pt idx="13">
                        <c:v>88.9225591427371</c:v>
                      </c:pt>
                      <c:pt idx="14">
                        <c:v>78.854910918951191</c:v>
                      </c:pt>
                      <c:pt idx="15">
                        <c:v>71.616670532629755</c:v>
                      </c:pt>
                      <c:pt idx="16">
                        <c:v>65.375059548459205</c:v>
                      </c:pt>
                      <c:pt idx="17">
                        <c:v>53.064808375884382</c:v>
                      </c:pt>
                      <c:pt idx="18">
                        <c:v>47.890046880938087</c:v>
                      </c:pt>
                      <c:pt idx="19">
                        <c:v>43.349832152000999</c:v>
                      </c:pt>
                      <c:pt idx="20">
                        <c:v>33.414452254262372</c:v>
                      </c:pt>
                      <c:pt idx="21">
                        <c:v>30.571594446932473</c:v>
                      </c:pt>
                      <c:pt idx="22">
                        <c:v>27.359254465329464</c:v>
                      </c:pt>
                      <c:pt idx="23">
                        <c:v>25.53696816449132</c:v>
                      </c:pt>
                      <c:pt idx="24">
                        <c:v>24.114241775072806</c:v>
                      </c:pt>
                      <c:pt idx="25">
                        <c:v>22.914560551803444</c:v>
                      </c:pt>
                      <c:pt idx="26">
                        <c:v>20.682748490265105</c:v>
                      </c:pt>
                      <c:pt idx="27">
                        <c:v>19.424061229606934</c:v>
                      </c:pt>
                      <c:pt idx="28">
                        <c:v>18.62949781126208</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3-E755-4061-835E-4BAF98321737}"/>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'Gráficos - Monografia'!$A$142</c15:sqref>
                        </c15:formulaRef>
                      </c:ext>
                    </c:extLst>
                    <c:strCache>
                      <c:ptCount val="1"/>
                      <c:pt idx="0">
                        <c:v>Lucro Líquido</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Monografia'!$B$142:$AQ$142</c15:sqref>
                        </c15:fullRef>
                        <c15:formulaRef>
                          <c15:sqref>'Gráficos - Monografia'!$B$142:$AG$142</c15:sqref>
                        </c15:formulaRef>
                      </c:ext>
                    </c:extLst>
                    <c:numCache>
                      <c:formatCode>#,##0</c:formatCode>
                      <c:ptCount val="32"/>
                      <c:pt idx="0">
                        <c:v>6519.9070604262215</c:v>
                      </c:pt>
                      <c:pt idx="1">
                        <c:v>8510.5037651665207</c:v>
                      </c:pt>
                      <c:pt idx="2">
                        <c:v>8225.2421734176714</c:v>
                      </c:pt>
                      <c:pt idx="3">
                        <c:v>8204.4420744184481</c:v>
                      </c:pt>
                      <c:pt idx="4">
                        <c:v>7499.0623427402843</c:v>
                      </c:pt>
                      <c:pt idx="5">
                        <c:v>7499.0444641840459</c:v>
                      </c:pt>
                      <c:pt idx="6">
                        <c:v>6809.3094364700919</c:v>
                      </c:pt>
                      <c:pt idx="7">
                        <c:v>5809.9956588232226</c:v>
                      </c:pt>
                      <c:pt idx="8">
                        <c:v>5165.4700594358692</c:v>
                      </c:pt>
                      <c:pt idx="9">
                        <c:v>4483.7688145671254</c:v>
                      </c:pt>
                      <c:pt idx="10">
                        <c:v>4052.7041801018704</c:v>
                      </c:pt>
                      <c:pt idx="11">
                        <c:v>3570.3571302029882</c:v>
                      </c:pt>
                      <c:pt idx="12">
                        <c:v>3064.274513145851</c:v>
                      </c:pt>
                      <c:pt idx="13">
                        <c:v>2609.6731173974267</c:v>
                      </c:pt>
                      <c:pt idx="14">
                        <c:v>2372.8536769910024</c:v>
                      </c:pt>
                      <c:pt idx="15">
                        <c:v>2255.7810008163956</c:v>
                      </c:pt>
                      <c:pt idx="16">
                        <c:v>1817.1500367568526</c:v>
                      </c:pt>
                      <c:pt idx="17">
                        <c:v>1646.1534707335131</c:v>
                      </c:pt>
                      <c:pt idx="18">
                        <c:v>1501.0979992693317</c:v>
                      </c:pt>
                      <c:pt idx="19">
                        <c:v>1355.2138917801551</c:v>
                      </c:pt>
                      <c:pt idx="20">
                        <c:v>1247.1084035613974</c:v>
                      </c:pt>
                      <c:pt idx="21">
                        <c:v>1107.7243088907619</c:v>
                      </c:pt>
                      <c:pt idx="22">
                        <c:v>1023.1654693593143</c:v>
                      </c:pt>
                      <c:pt idx="23">
                        <c:v>949.33531993794509</c:v>
                      </c:pt>
                      <c:pt idx="24">
                        <c:v>895.1108220403695</c:v>
                      </c:pt>
                      <c:pt idx="25">
                        <c:v>765.29796073941714</c:v>
                      </c:pt>
                      <c:pt idx="26">
                        <c:v>636.87711550157815</c:v>
                      </c:pt>
                      <c:pt idx="27">
                        <c:v>780.08367980064691</c:v>
                      </c:pt>
                      <c:pt idx="28">
                        <c:v>776.46008379536931</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4-E755-4061-835E-4BAF98321737}"/>
                  </c:ext>
                </c:extLst>
              </c15:ser>
            </c15:filteredLineSeries>
          </c:ext>
        </c:extLst>
      </c:lineChart>
      <c:catAx>
        <c:axId val="1340672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199289631"/>
        <c:crosses val="autoZero"/>
        <c:auto val="1"/>
        <c:lblAlgn val="ctr"/>
        <c:lblOffset val="100"/>
        <c:noMultiLvlLbl val="0"/>
      </c:catAx>
      <c:valAx>
        <c:axId val="11992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Milhões de Reai (R$ mi)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340672367"/>
        <c:crosses val="autoZero"/>
        <c:crossBetween val="between"/>
      </c:valAx>
      <c:spPr>
        <a:noFill/>
        <a:ln>
          <a:solidFill>
            <a:schemeClr val="bg1">
              <a:lumMod val="85000"/>
            </a:schemeClr>
          </a:solidFill>
        </a:ln>
        <a:effectLst/>
      </c:spPr>
    </c:plotArea>
    <c:legend>
      <c:legendPos val="b"/>
      <c:layout>
        <c:manualLayout>
          <c:xMode val="edge"/>
          <c:yMode val="edge"/>
          <c:x val="0.18775146633069459"/>
          <c:y val="0.92171151166128507"/>
          <c:w val="0.68552946008369586"/>
          <c:h val="7.491972222924564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15524846173242"/>
          <c:y val="4.6464644247292887E-2"/>
          <c:w val="0.86094944281708807"/>
          <c:h val="0.6970816178915954"/>
        </c:manualLayout>
      </c:layout>
      <c:lineChart>
        <c:grouping val="standard"/>
        <c:varyColors val="0"/>
        <c:ser>
          <c:idx val="3"/>
          <c:order val="3"/>
          <c:tx>
            <c:strRef>
              <c:f>'Gráficos - Monografia'!$A$140</c:f>
              <c:strCache>
                <c:ptCount val="1"/>
                <c:pt idx="0">
                  <c:v>Resultado Financeiro</c:v>
                </c:pt>
              </c:strCache>
              <c:extLst xmlns:c15="http://schemas.microsoft.com/office/drawing/2012/chart"/>
            </c:strRef>
          </c:tx>
          <c:spPr>
            <a:ln w="12700" cap="rnd">
              <a:solidFill>
                <a:schemeClr val="bg1">
                  <a:lumMod val="65000"/>
                </a:schemeClr>
              </a:solidFill>
              <a:round/>
            </a:ln>
            <a:effectLst/>
          </c:spPr>
          <c:marker>
            <c:symbol val="none"/>
          </c:marker>
          <c:cat>
            <c:numRef>
              <c:extLst>
                <c:ext xmlns:c15="http://schemas.microsoft.com/office/drawing/2012/chart" uri="{02D57815-91ED-43cb-92C2-25804820EDAC}">
                  <c15:fullRef>
                    <c15:sqref>'Gráficos - Monografia'!$B$135:$AQ$135</c15:sqref>
                  </c15:fullRef>
                </c:ext>
              </c:extLst>
              <c:f>'Gráficos - Monografia'!$B$135:$AG$135</c:f>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Monografia'!$B$140:$AQ$140</c15:sqref>
                  </c15:fullRef>
                </c:ext>
              </c:extLst>
              <c:f>'Gráficos - Monografia'!$B$140:$AG$140</c:f>
              <c:numCache>
                <c:formatCode>#,##0</c:formatCode>
                <c:ptCount val="32"/>
                <c:pt idx="0">
                  <c:v>-311.56733934736405</c:v>
                </c:pt>
                <c:pt idx="1">
                  <c:v>222.26858108767311</c:v>
                </c:pt>
                <c:pt idx="2">
                  <c:v>124.52827915828009</c:v>
                </c:pt>
                <c:pt idx="3">
                  <c:v>167.51869219870528</c:v>
                </c:pt>
                <c:pt idx="4">
                  <c:v>169.43670827938641</c:v>
                </c:pt>
                <c:pt idx="5">
                  <c:v>171.92155362573834</c:v>
                </c:pt>
                <c:pt idx="6">
                  <c:v>173.82827288767115</c:v>
                </c:pt>
                <c:pt idx="7">
                  <c:v>155.84240972997529</c:v>
                </c:pt>
                <c:pt idx="8">
                  <c:v>133.34732468085258</c:v>
                </c:pt>
                <c:pt idx="9">
                  <c:v>118.77753164914797</c:v>
                </c:pt>
                <c:pt idx="10">
                  <c:v>123.94926549949027</c:v>
                </c:pt>
                <c:pt idx="11">
                  <c:v>112.42649209097479</c:v>
                </c:pt>
                <c:pt idx="12">
                  <c:v>100.72554755579984</c:v>
                </c:pt>
                <c:pt idx="13">
                  <c:v>88.9225591427371</c:v>
                </c:pt>
                <c:pt idx="14">
                  <c:v>78.854910918951191</c:v>
                </c:pt>
                <c:pt idx="15">
                  <c:v>71.616670532629755</c:v>
                </c:pt>
                <c:pt idx="16">
                  <c:v>65.375059548459205</c:v>
                </c:pt>
                <c:pt idx="17">
                  <c:v>53.064808375884382</c:v>
                </c:pt>
                <c:pt idx="18">
                  <c:v>47.890046880938087</c:v>
                </c:pt>
                <c:pt idx="19">
                  <c:v>43.349832152000999</c:v>
                </c:pt>
                <c:pt idx="20">
                  <c:v>33.414452254262372</c:v>
                </c:pt>
                <c:pt idx="21">
                  <c:v>30.571594446932473</c:v>
                </c:pt>
                <c:pt idx="22">
                  <c:v>27.359254465329464</c:v>
                </c:pt>
                <c:pt idx="23">
                  <c:v>25.53696816449132</c:v>
                </c:pt>
                <c:pt idx="24">
                  <c:v>24.114241775072806</c:v>
                </c:pt>
                <c:pt idx="25">
                  <c:v>22.914560551803444</c:v>
                </c:pt>
                <c:pt idx="26">
                  <c:v>20.682748490265105</c:v>
                </c:pt>
                <c:pt idx="27">
                  <c:v>19.424061229606934</c:v>
                </c:pt>
                <c:pt idx="28">
                  <c:v>18.62949781126208</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4-93DA-4C47-AE18-02E99400F6AC}"/>
            </c:ext>
          </c:extLst>
        </c:ser>
        <c:ser>
          <c:idx val="5"/>
          <c:order val="5"/>
          <c:tx>
            <c:strRef>
              <c:f>'Gráficos - Monografia'!$A$149</c:f>
              <c:strCache>
                <c:ptCount val="1"/>
                <c:pt idx="0">
                  <c:v>Variação da Dívida Líquida</c:v>
                </c:pt>
              </c:strCache>
            </c:strRef>
          </c:tx>
          <c:spPr>
            <a:ln w="12700" cap="rnd">
              <a:solidFill>
                <a:schemeClr val="tx1"/>
              </a:solidFill>
              <a:round/>
            </a:ln>
            <a:effectLst/>
          </c:spPr>
          <c:marker>
            <c:symbol val="none"/>
          </c:marker>
          <c:cat>
            <c:strLit>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'Gráficos - Monografia'!$B$149:$AQ$149</c15:sqref>
                  </c15:fullRef>
                </c:ext>
              </c:extLst>
              <c:f>'Gráficos - Monografia'!$B$149:$AG$149</c:f>
              <c:numCache>
                <c:formatCode>#,##0</c:formatCode>
                <c:ptCount val="32"/>
                <c:pt idx="0">
                  <c:v>-2927.860289411361</c:v>
                </c:pt>
                <c:pt idx="1">
                  <c:v>-2358.6130355949017</c:v>
                </c:pt>
                <c:pt idx="2">
                  <c:v>-3249.675955458556</c:v>
                </c:pt>
                <c:pt idx="3">
                  <c:v>-905.21040074048778</c:v>
                </c:pt>
                <c:pt idx="4">
                  <c:v>-756.65530500743444</c:v>
                </c:pt>
                <c:pt idx="5">
                  <c:v>-57.008682623194545</c:v>
                </c:pt>
                <c:pt idx="6">
                  <c:v>455.04675059220978</c:v>
                </c:pt>
                <c:pt idx="7">
                  <c:v>684.51553455207568</c:v>
                </c:pt>
                <c:pt idx="8">
                  <c:v>443.35238758296373</c:v>
                </c:pt>
                <c:pt idx="9">
                  <c:v>361.26329089177534</c:v>
                </c:pt>
                <c:pt idx="10">
                  <c:v>302.41855638163361</c:v>
                </c:pt>
                <c:pt idx="11">
                  <c:v>307.09470968286951</c:v>
                </c:pt>
                <c:pt idx="12">
                  <c:v>309.77288108693756</c:v>
                </c:pt>
                <c:pt idx="13">
                  <c:v>264.2283705540558</c:v>
                </c:pt>
                <c:pt idx="14">
                  <c:v>189.96973478251289</c:v>
                </c:pt>
                <c:pt idx="15">
                  <c:v>163.81290479372024</c:v>
                </c:pt>
                <c:pt idx="16">
                  <c:v>323.08614049065204</c:v>
                </c:pt>
                <c:pt idx="17">
                  <c:v>135.81312809331598</c:v>
                </c:pt>
                <c:pt idx="18">
                  <c:v>119.15926273211358</c:v>
                </c:pt>
                <c:pt idx="19">
                  <c:v>112.71271725237602</c:v>
                </c:pt>
                <c:pt idx="20">
                  <c:v>87.207043441012843</c:v>
                </c:pt>
                <c:pt idx="21">
                  <c:v>98.541218488193522</c:v>
                </c:pt>
                <c:pt idx="22">
                  <c:v>55.90015799925186</c:v>
                </c:pt>
                <c:pt idx="23">
                  <c:v>43.643323182323911</c:v>
                </c:pt>
                <c:pt idx="24">
                  <c:v>36.801225964688228</c:v>
                </c:pt>
                <c:pt idx="25">
                  <c:v>68.462703586833186</c:v>
                </c:pt>
                <c:pt idx="26">
                  <c:v>38.611285564778086</c:v>
                </c:pt>
                <c:pt idx="27">
                  <c:v>24.373898111109156</c:v>
                </c:pt>
                <c:pt idx="28">
                  <c:v>202.19606585288761</c:v>
                </c:pt>
                <c:pt idx="29">
                  <c:v>0</c:v>
                </c:pt>
                <c:pt idx="30">
                  <c:v>0</c:v>
                </c:pt>
                <c:pt idx="31">
                  <c:v>0</c:v>
                </c:pt>
              </c:numCache>
            </c:numRef>
          </c:val>
          <c:smooth val="0"/>
          <c:extLst>
            <c:ext xmlns:c16="http://schemas.microsoft.com/office/drawing/2014/chart" uri="{C3380CC4-5D6E-409C-BE32-E72D297353CC}">
              <c16:uniqueId val="{00000006-93DA-4C47-AE18-02E99400F6AC}"/>
            </c:ext>
          </c:extLst>
        </c:ser>
        <c:dLbls>
          <c:showLegendKey val="0"/>
          <c:showVal val="0"/>
          <c:showCatName val="0"/>
          <c:showSerName val="0"/>
          <c:showPercent val="0"/>
          <c:showBubbleSize val="0"/>
        </c:dLbls>
        <c:smooth val="0"/>
        <c:axId val="1340672367"/>
        <c:axId val="1199289631"/>
        <c:extLst>
          <c:ext xmlns:c15="http://schemas.microsoft.com/office/drawing/2012/chart" uri="{02D57815-91ED-43cb-92C2-25804820EDAC}">
            <c15:filteredLineSeries>
              <c15:ser>
                <c:idx val="0"/>
                <c:order val="0"/>
                <c:tx>
                  <c:strRef>
                    <c:extLst>
                      <c:ext uri="{02D57815-91ED-43cb-92C2-25804820EDAC}">
                        <c15:formulaRef>
                          <c15:sqref>'Gráficos - Monografia'!$A$136</c15:sqref>
                        </c15:formulaRef>
                      </c:ext>
                    </c:extLst>
                    <c:strCache>
                      <c:ptCount val="1"/>
                      <c:pt idx="0">
                        <c:v>Receita Líquida</c:v>
                      </c:pt>
                    </c:strCache>
                  </c:strRef>
                </c:tx>
                <c:spPr>
                  <a:ln w="12700" cap="rnd">
                    <a:solidFill>
                      <a:schemeClr val="tx1"/>
                    </a:solidFill>
                    <a:round/>
                  </a:ln>
                  <a:effectLst/>
                </c:spPr>
                <c:marker>
                  <c:symbol val="none"/>
                </c:marker>
                <c:cat>
                  <c:numRef>
                    <c:extLst>
                      <c:ex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uri="{02D57815-91ED-43cb-92C2-25804820EDAC}">
                        <c15:fullRef>
                          <c15:sqref>'Gráficos - Monografia'!$B$136:$AQ$136</c15:sqref>
                        </c15:fullRef>
                        <c15:formulaRef>
                          <c15:sqref>'Gráficos - Monografia'!$B$136:$AG$136</c15:sqref>
                        </c15:formulaRef>
                      </c:ext>
                    </c:extLst>
                    <c:numCache>
                      <c:formatCode>#,##0</c:formatCode>
                      <c:ptCount val="32"/>
                      <c:pt idx="0">
                        <c:v>16390.386780871981</c:v>
                      </c:pt>
                      <c:pt idx="1">
                        <c:v>20323.351780034314</c:v>
                      </c:pt>
                      <c:pt idx="2">
                        <c:v>20721.904899899655</c:v>
                      </c:pt>
                      <c:pt idx="3">
                        <c:v>21323.319094521969</c:v>
                      </c:pt>
                      <c:pt idx="4">
                        <c:v>20553.244297288333</c:v>
                      </c:pt>
                      <c:pt idx="5">
                        <c:v>20781.192835271839</c:v>
                      </c:pt>
                      <c:pt idx="6">
                        <c:v>18961.693826721908</c:v>
                      </c:pt>
                      <c:pt idx="7">
                        <c:v>16224.666620542246</c:v>
                      </c:pt>
                      <c:pt idx="8">
                        <c:v>14451.927383099908</c:v>
                      </c:pt>
                      <c:pt idx="9">
                        <c:v>13007.420420359002</c:v>
                      </c:pt>
                      <c:pt idx="10">
                        <c:v>11798.203427187698</c:v>
                      </c:pt>
                      <c:pt idx="11">
                        <c:v>10570.288890776379</c:v>
                      </c:pt>
                      <c:pt idx="12">
                        <c:v>9331.6657179269641</c:v>
                      </c:pt>
                      <c:pt idx="13">
                        <c:v>8275.1517275991773</c:v>
                      </c:pt>
                      <c:pt idx="14">
                        <c:v>7515.5600073167261</c:v>
                      </c:pt>
                      <c:pt idx="15">
                        <c:v>6860.5560599817354</c:v>
                      </c:pt>
                      <c:pt idx="16">
                        <c:v>5568.6999780870374</c:v>
                      </c:pt>
                      <c:pt idx="17">
                        <c:v>5025.6528041598413</c:v>
                      </c:pt>
                      <c:pt idx="18">
                        <c:v>4549.1959123823272</c:v>
                      </c:pt>
                      <c:pt idx="19">
                        <c:v>4098.5154558692993</c:v>
                      </c:pt>
                      <c:pt idx="20">
                        <c:v>3749.8191320893975</c:v>
                      </c:pt>
                      <c:pt idx="21">
                        <c:v>3355.8032444751461</c:v>
                      </c:pt>
                      <c:pt idx="22">
                        <c:v>3132.2871289879899</c:v>
                      </c:pt>
                      <c:pt idx="23">
                        <c:v>2957.7798214273544</c:v>
                      </c:pt>
                      <c:pt idx="24">
                        <c:v>2810.6305580406165</c:v>
                      </c:pt>
                      <c:pt idx="25">
                        <c:v>2536.8832537542439</c:v>
                      </c:pt>
                      <c:pt idx="26">
                        <c:v>2382.4964886306102</c:v>
                      </c:pt>
                      <c:pt idx="27">
                        <c:v>2285.0377475453388</c:v>
                      </c:pt>
                      <c:pt idx="28">
                        <c:v>1476.5591882033877</c:v>
                      </c:pt>
                      <c:pt idx="29">
                        <c:v>0</c:v>
                      </c:pt>
                      <c:pt idx="30">
                        <c:v>0</c:v>
                      </c:pt>
                      <c:pt idx="31">
                        <c:v>0</c:v>
                      </c:pt>
                    </c:numCache>
                  </c:numRef>
                </c:val>
                <c:smooth val="0"/>
                <c:extLst>
                  <c:ext xmlns:c16="http://schemas.microsoft.com/office/drawing/2014/chart" uri="{C3380CC4-5D6E-409C-BE32-E72D297353CC}">
                    <c16:uniqueId val="{00000002-93DA-4C47-AE18-02E99400F6A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'Gráficos - Monografia'!$A$137</c15:sqref>
                        </c15:formulaRef>
                      </c:ext>
                    </c:extLst>
                    <c:strCache>
                      <c:ptCount val="1"/>
                      <c:pt idx="0">
                        <c:v>Custos</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Monografia'!$B$137:$AQ$137</c15:sqref>
                        </c15:fullRef>
                        <c15:formulaRef>
                          <c15:sqref>'Gráficos - Monografia'!$B$137:$AG$137</c15:sqref>
                        </c15:formulaRef>
                      </c:ext>
                    </c:extLst>
                    <c:numCache>
                      <c:formatCode>#,##0</c:formatCode>
                      <c:ptCount val="32"/>
                      <c:pt idx="0">
                        <c:v>-4812.2979228943586</c:v>
                      </c:pt>
                      <c:pt idx="1">
                        <c:v>-5930.0149891544279</c:v>
                      </c:pt>
                      <c:pt idx="2">
                        <c:v>-6614.3880973548667</c:v>
                      </c:pt>
                      <c:pt idx="3">
                        <c:v>-7232.9580655703303</c:v>
                      </c:pt>
                      <c:pt idx="4">
                        <c:v>-7525.7477916724256</c:v>
                      </c:pt>
                      <c:pt idx="5">
                        <c:v>-7715.5530510131266</c:v>
                      </c:pt>
                      <c:pt idx="6">
                        <c:v>-6977.1808909794181</c:v>
                      </c:pt>
                      <c:pt idx="7">
                        <c:v>-5803.4145808208605</c:v>
                      </c:pt>
                      <c:pt idx="8">
                        <c:v>-5015.1494813390073</c:v>
                      </c:pt>
                      <c:pt idx="9">
                        <c:v>-4606.1626170792142</c:v>
                      </c:pt>
                      <c:pt idx="10">
                        <c:v>-4062.6574317082845</c:v>
                      </c:pt>
                      <c:pt idx="11">
                        <c:v>-3561.0324733868138</c:v>
                      </c:pt>
                      <c:pt idx="12">
                        <c:v>-3083.7260029894469</c:v>
                      </c:pt>
                      <c:pt idx="13">
                        <c:v>-2702.4951243554383</c:v>
                      </c:pt>
                      <c:pt idx="14">
                        <c:v>-2387.1533790195472</c:v>
                      </c:pt>
                      <c:pt idx="15">
                        <c:v>-2042.7872450856769</c:v>
                      </c:pt>
                      <c:pt idx="16">
                        <c:v>-1686.3749226715524</c:v>
                      </c:pt>
                      <c:pt idx="17">
                        <c:v>-1506.5825646754108</c:v>
                      </c:pt>
                      <c:pt idx="18">
                        <c:v>-1346.9281963652857</c:v>
                      </c:pt>
                      <c:pt idx="19">
                        <c:v>-1209.4114759521672</c:v>
                      </c:pt>
                      <c:pt idx="20">
                        <c:v>-1089.3685940180046</c:v>
                      </c:pt>
                      <c:pt idx="21">
                        <c:v>-988.21118940851989</c:v>
                      </c:pt>
                      <c:pt idx="22">
                        <c:v>-937.54464205339104</c:v>
                      </c:pt>
                      <c:pt idx="23">
                        <c:v>-910.5093601864537</c:v>
                      </c:pt>
                      <c:pt idx="24">
                        <c:v>-875.65806382040171</c:v>
                      </c:pt>
                      <c:pt idx="25">
                        <c:v>-856.11388223140341</c:v>
                      </c:pt>
                      <c:pt idx="26">
                        <c:v>-927.18709392406413</c:v>
                      </c:pt>
                      <c:pt idx="27">
                        <c:v>-632.39415853140531</c:v>
                      </c:pt>
                      <c:pt idx="28">
                        <c:v>-2.0236447944026006</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3-93DA-4C47-AE18-02E99400F6A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'Gráficos - Monografia'!$A$138</c15:sqref>
                        </c15:formulaRef>
                      </c:ext>
                    </c:extLst>
                    <c:strCache>
                      <c:ptCount val="1"/>
                      <c:pt idx="0">
                        <c:v>Despesas</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Monografia'!$B$138:$AQ$138</c15:sqref>
                        </c15:fullRef>
                        <c15:formulaRef>
                          <c15:sqref>'Gráficos - Monografia'!$B$138:$AG$138</c15:sqref>
                        </c15:formulaRef>
                      </c:ext>
                    </c:extLst>
                    <c:numCache>
                      <c:formatCode>#,##0</c:formatCode>
                      <c:ptCount val="32"/>
                      <c:pt idx="0">
                        <c:v>-781.1641074364461</c:v>
                      </c:pt>
                      <c:pt idx="1">
                        <c:v>-968.60880500361225</c:v>
                      </c:pt>
                      <c:pt idx="2">
                        <c:v>-1002.5101131787386</c:v>
                      </c:pt>
                      <c:pt idx="3">
                        <c:v>-1037.5979671399944</c:v>
                      </c:pt>
                      <c:pt idx="4">
                        <c:v>-1073.9138959898942</c:v>
                      </c:pt>
                      <c:pt idx="5">
                        <c:v>-1106.1313128695908</c:v>
                      </c:pt>
                      <c:pt idx="6">
                        <c:v>-1139.3152522556786</c:v>
                      </c:pt>
                      <c:pt idx="7">
                        <c:v>-1173.494709823349</c:v>
                      </c:pt>
                      <c:pt idx="8">
                        <c:v>-1208.6995511180496</c:v>
                      </c:pt>
                      <c:pt idx="9">
                        <c:v>-1244.960537651591</c:v>
                      </c:pt>
                      <c:pt idx="10">
                        <c:v>-1282.3093537811387</c:v>
                      </c:pt>
                      <c:pt idx="11">
                        <c:v>-1320.7786343945731</c:v>
                      </c:pt>
                      <c:pt idx="12">
                        <c:v>-1360.4019934264102</c:v>
                      </c:pt>
                      <c:pt idx="13">
                        <c:v>-1401.2140532292026</c:v>
                      </c:pt>
                      <c:pt idx="14">
                        <c:v>-1333.8309869013071</c:v>
                      </c:pt>
                      <c:pt idx="15">
                        <c:v>-1217.5835534901532</c:v>
                      </c:pt>
                      <c:pt idx="16">
                        <c:v>-988.31019648541508</c:v>
                      </c:pt>
                      <c:pt idx="17">
                        <c:v>-891.93239533312453</c:v>
                      </c:pt>
                      <c:pt idx="18">
                        <c:v>-807.37276630257566</c:v>
                      </c:pt>
                      <c:pt idx="19">
                        <c:v>-727.38783404168305</c:v>
                      </c:pt>
                      <c:pt idx="20">
                        <c:v>-665.50263038108983</c:v>
                      </c:pt>
                      <c:pt idx="21">
                        <c:v>-595.57429507145696</c:v>
                      </c:pt>
                      <c:pt idx="22">
                        <c:v>-555.90556504756842</c:v>
                      </c:pt>
                      <c:pt idx="23">
                        <c:v>-524.93471869167661</c:v>
                      </c:pt>
                      <c:pt idx="24">
                        <c:v>-498.81926661440571</c:v>
                      </c:pt>
                      <c:pt idx="25">
                        <c:v>-450.23570974274315</c:v>
                      </c:pt>
                      <c:pt idx="26">
                        <c:v>-422.83577532815809</c:v>
                      </c:pt>
                      <c:pt idx="27">
                        <c:v>-405.53919481022302</c:v>
                      </c:pt>
                      <c:pt idx="28">
                        <c:v>-262.05371220536358</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0-93DA-4C47-AE18-02E99400F6A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'Gráficos - Monografia'!$A$142</c15:sqref>
                        </c15:formulaRef>
                      </c:ext>
                    </c:extLst>
                    <c:strCache>
                      <c:ptCount val="1"/>
                      <c:pt idx="0">
                        <c:v>Lucro Líquido</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Monografia'!$B$142:$AQ$142</c15:sqref>
                        </c15:fullRef>
                        <c15:formulaRef>
                          <c15:sqref>'Gráficos - Monografia'!$B$142:$AG$142</c15:sqref>
                        </c15:formulaRef>
                      </c:ext>
                    </c:extLst>
                    <c:numCache>
                      <c:formatCode>#,##0</c:formatCode>
                      <c:ptCount val="32"/>
                      <c:pt idx="0">
                        <c:v>6519.9070604262215</c:v>
                      </c:pt>
                      <c:pt idx="1">
                        <c:v>8510.5037651665207</c:v>
                      </c:pt>
                      <c:pt idx="2">
                        <c:v>8225.2421734176714</c:v>
                      </c:pt>
                      <c:pt idx="3">
                        <c:v>8204.4420744184481</c:v>
                      </c:pt>
                      <c:pt idx="4">
                        <c:v>7499.0623427402843</c:v>
                      </c:pt>
                      <c:pt idx="5">
                        <c:v>7499.0444641840459</c:v>
                      </c:pt>
                      <c:pt idx="6">
                        <c:v>6809.3094364700919</c:v>
                      </c:pt>
                      <c:pt idx="7">
                        <c:v>5809.9956588232226</c:v>
                      </c:pt>
                      <c:pt idx="8">
                        <c:v>5165.4700594358692</c:v>
                      </c:pt>
                      <c:pt idx="9">
                        <c:v>4483.7688145671254</c:v>
                      </c:pt>
                      <c:pt idx="10">
                        <c:v>4052.7041801018704</c:v>
                      </c:pt>
                      <c:pt idx="11">
                        <c:v>3570.3571302029882</c:v>
                      </c:pt>
                      <c:pt idx="12">
                        <c:v>3064.274513145851</c:v>
                      </c:pt>
                      <c:pt idx="13">
                        <c:v>2609.6731173974267</c:v>
                      </c:pt>
                      <c:pt idx="14">
                        <c:v>2372.8536769910024</c:v>
                      </c:pt>
                      <c:pt idx="15">
                        <c:v>2255.7810008163956</c:v>
                      </c:pt>
                      <c:pt idx="16">
                        <c:v>1817.1500367568526</c:v>
                      </c:pt>
                      <c:pt idx="17">
                        <c:v>1646.1534707335131</c:v>
                      </c:pt>
                      <c:pt idx="18">
                        <c:v>1501.0979992693317</c:v>
                      </c:pt>
                      <c:pt idx="19">
                        <c:v>1355.2138917801551</c:v>
                      </c:pt>
                      <c:pt idx="20">
                        <c:v>1247.1084035613974</c:v>
                      </c:pt>
                      <c:pt idx="21">
                        <c:v>1107.7243088907619</c:v>
                      </c:pt>
                      <c:pt idx="22">
                        <c:v>1023.1654693593143</c:v>
                      </c:pt>
                      <c:pt idx="23">
                        <c:v>949.33531993794509</c:v>
                      </c:pt>
                      <c:pt idx="24">
                        <c:v>895.1108220403695</c:v>
                      </c:pt>
                      <c:pt idx="25">
                        <c:v>765.29796073941714</c:v>
                      </c:pt>
                      <c:pt idx="26">
                        <c:v>636.87711550157815</c:v>
                      </c:pt>
                      <c:pt idx="27">
                        <c:v>780.08367980064691</c:v>
                      </c:pt>
                      <c:pt idx="28">
                        <c:v>776.46008379536931</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5-93DA-4C47-AE18-02E99400F6AC}"/>
                  </c:ext>
                </c:extLst>
              </c15:ser>
            </c15:filteredLineSeries>
          </c:ext>
        </c:extLst>
      </c:lineChart>
      <c:catAx>
        <c:axId val="1340672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199289631"/>
        <c:crosses val="autoZero"/>
        <c:auto val="1"/>
        <c:lblAlgn val="ctr"/>
        <c:lblOffset val="100"/>
        <c:noMultiLvlLbl val="0"/>
      </c:catAx>
      <c:valAx>
        <c:axId val="11992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Milhões de Reais (R$ mi)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340672367"/>
        <c:crosses val="autoZero"/>
        <c:crossBetween val="between"/>
      </c:valAx>
      <c:spPr>
        <a:noFill/>
        <a:ln>
          <a:solidFill>
            <a:schemeClr val="bg1">
              <a:lumMod val="85000"/>
            </a:schemeClr>
          </a:solidFill>
        </a:ln>
        <a:effectLst/>
      </c:spPr>
    </c:plotArea>
    <c:legend>
      <c:legendPos val="b"/>
      <c:layout>
        <c:manualLayout>
          <c:xMode val="edge"/>
          <c:yMode val="edge"/>
          <c:x val="0.18775146633069459"/>
          <c:y val="0.92171151166128507"/>
          <c:w val="0.65915624954333352"/>
          <c:h val="7.491972222924564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15524846173242"/>
          <c:y val="4.6464644247292887E-2"/>
          <c:w val="0.86094944281708807"/>
          <c:h val="0.6970816178915954"/>
        </c:manualLayout>
      </c:layout>
      <c:lineChart>
        <c:grouping val="standard"/>
        <c:varyColors val="0"/>
        <c:ser>
          <c:idx val="4"/>
          <c:order val="4"/>
          <c:tx>
            <c:strRef>
              <c:f>'Gráficos - Monografia'!$A$142</c:f>
              <c:strCache>
                <c:ptCount val="1"/>
                <c:pt idx="0">
                  <c:v>Lucro Líquido</c:v>
                </c:pt>
              </c:strCache>
              <c:extLst xmlns:c15="http://schemas.microsoft.com/office/drawing/2012/chart"/>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ext>
              </c:extLst>
              <c:f>'Gráficos - Monografia'!$B$135:$AG$135</c:f>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Monografia'!$B$142:$AQ$142</c15:sqref>
                  </c15:fullRef>
                </c:ext>
              </c:extLst>
              <c:f>'Gráficos - Monografia'!$B$142:$AG$142</c:f>
              <c:numCache>
                <c:formatCode>#,##0</c:formatCode>
                <c:ptCount val="32"/>
                <c:pt idx="0">
                  <c:v>6519.9070604262215</c:v>
                </c:pt>
                <c:pt idx="1">
                  <c:v>8510.5037651665207</c:v>
                </c:pt>
                <c:pt idx="2">
                  <c:v>8225.2421734176714</c:v>
                </c:pt>
                <c:pt idx="3">
                  <c:v>8204.4420744184481</c:v>
                </c:pt>
                <c:pt idx="4">
                  <c:v>7499.0623427402843</c:v>
                </c:pt>
                <c:pt idx="5">
                  <c:v>7499.0444641840459</c:v>
                </c:pt>
                <c:pt idx="6">
                  <c:v>6809.3094364700919</c:v>
                </c:pt>
                <c:pt idx="7">
                  <c:v>5809.9956588232226</c:v>
                </c:pt>
                <c:pt idx="8">
                  <c:v>5165.4700594358692</c:v>
                </c:pt>
                <c:pt idx="9">
                  <c:v>4483.7688145671254</c:v>
                </c:pt>
                <c:pt idx="10">
                  <c:v>4052.7041801018704</c:v>
                </c:pt>
                <c:pt idx="11">
                  <c:v>3570.3571302029882</c:v>
                </c:pt>
                <c:pt idx="12">
                  <c:v>3064.274513145851</c:v>
                </c:pt>
                <c:pt idx="13">
                  <c:v>2609.6731173974267</c:v>
                </c:pt>
                <c:pt idx="14">
                  <c:v>2372.8536769910024</c:v>
                </c:pt>
                <c:pt idx="15">
                  <c:v>2255.7810008163956</c:v>
                </c:pt>
                <c:pt idx="16">
                  <c:v>1817.1500367568526</c:v>
                </c:pt>
                <c:pt idx="17">
                  <c:v>1646.1534707335131</c:v>
                </c:pt>
                <c:pt idx="18">
                  <c:v>1501.0979992693317</c:v>
                </c:pt>
                <c:pt idx="19">
                  <c:v>1355.2138917801551</c:v>
                </c:pt>
                <c:pt idx="20">
                  <c:v>1247.1084035613974</c:v>
                </c:pt>
                <c:pt idx="21">
                  <c:v>1107.7243088907619</c:v>
                </c:pt>
                <c:pt idx="22">
                  <c:v>1023.1654693593143</c:v>
                </c:pt>
                <c:pt idx="23">
                  <c:v>949.33531993794509</c:v>
                </c:pt>
                <c:pt idx="24">
                  <c:v>895.1108220403695</c:v>
                </c:pt>
                <c:pt idx="25">
                  <c:v>765.29796073941714</c:v>
                </c:pt>
                <c:pt idx="26">
                  <c:v>636.87711550157815</c:v>
                </c:pt>
                <c:pt idx="27">
                  <c:v>780.08367980064691</c:v>
                </c:pt>
                <c:pt idx="28">
                  <c:v>776.46008379536931</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5-6A73-4854-8E6F-FF026FE45B9D}"/>
            </c:ext>
          </c:extLst>
        </c:ser>
        <c:dLbls>
          <c:showLegendKey val="0"/>
          <c:showVal val="0"/>
          <c:showCatName val="0"/>
          <c:showSerName val="0"/>
          <c:showPercent val="0"/>
          <c:showBubbleSize val="0"/>
        </c:dLbls>
        <c:smooth val="0"/>
        <c:axId val="1340672367"/>
        <c:axId val="1199289631"/>
        <c:extLst>
          <c:ext xmlns:c15="http://schemas.microsoft.com/office/drawing/2012/chart" uri="{02D57815-91ED-43cb-92C2-25804820EDAC}">
            <c15:filteredLineSeries>
              <c15:ser>
                <c:idx val="0"/>
                <c:order val="0"/>
                <c:tx>
                  <c:strRef>
                    <c:extLst>
                      <c:ext uri="{02D57815-91ED-43cb-92C2-25804820EDAC}">
                        <c15:formulaRef>
                          <c15:sqref>'Gráficos - Monografia'!$A$136</c15:sqref>
                        </c15:formulaRef>
                      </c:ext>
                    </c:extLst>
                    <c:strCache>
                      <c:ptCount val="1"/>
                      <c:pt idx="0">
                        <c:v>Receita Líquida</c:v>
                      </c:pt>
                    </c:strCache>
                  </c:strRef>
                </c:tx>
                <c:spPr>
                  <a:ln w="12700" cap="rnd">
                    <a:solidFill>
                      <a:schemeClr val="tx1"/>
                    </a:solidFill>
                    <a:round/>
                  </a:ln>
                  <a:effectLst/>
                </c:spPr>
                <c:marker>
                  <c:symbol val="none"/>
                </c:marker>
                <c:cat>
                  <c:numRef>
                    <c:extLst>
                      <c:ex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uri="{02D57815-91ED-43cb-92C2-25804820EDAC}">
                        <c15:fullRef>
                          <c15:sqref>'Gráficos - Monografia'!$B$136:$AQ$136</c15:sqref>
                        </c15:fullRef>
                        <c15:formulaRef>
                          <c15:sqref>'Gráficos - Monografia'!$B$136:$AG$136</c15:sqref>
                        </c15:formulaRef>
                      </c:ext>
                    </c:extLst>
                    <c:numCache>
                      <c:formatCode>#,##0</c:formatCode>
                      <c:ptCount val="32"/>
                      <c:pt idx="0">
                        <c:v>16390.386780871981</c:v>
                      </c:pt>
                      <c:pt idx="1">
                        <c:v>20323.351780034314</c:v>
                      </c:pt>
                      <c:pt idx="2">
                        <c:v>20721.904899899655</c:v>
                      </c:pt>
                      <c:pt idx="3">
                        <c:v>21323.319094521969</c:v>
                      </c:pt>
                      <c:pt idx="4">
                        <c:v>20553.244297288333</c:v>
                      </c:pt>
                      <c:pt idx="5">
                        <c:v>20781.192835271839</c:v>
                      </c:pt>
                      <c:pt idx="6">
                        <c:v>18961.693826721908</c:v>
                      </c:pt>
                      <c:pt idx="7">
                        <c:v>16224.666620542246</c:v>
                      </c:pt>
                      <c:pt idx="8">
                        <c:v>14451.927383099908</c:v>
                      </c:pt>
                      <c:pt idx="9">
                        <c:v>13007.420420359002</c:v>
                      </c:pt>
                      <c:pt idx="10">
                        <c:v>11798.203427187698</c:v>
                      </c:pt>
                      <c:pt idx="11">
                        <c:v>10570.288890776379</c:v>
                      </c:pt>
                      <c:pt idx="12">
                        <c:v>9331.6657179269641</c:v>
                      </c:pt>
                      <c:pt idx="13">
                        <c:v>8275.1517275991773</c:v>
                      </c:pt>
                      <c:pt idx="14">
                        <c:v>7515.5600073167261</c:v>
                      </c:pt>
                      <c:pt idx="15">
                        <c:v>6860.5560599817354</c:v>
                      </c:pt>
                      <c:pt idx="16">
                        <c:v>5568.6999780870374</c:v>
                      </c:pt>
                      <c:pt idx="17">
                        <c:v>5025.6528041598413</c:v>
                      </c:pt>
                      <c:pt idx="18">
                        <c:v>4549.1959123823272</c:v>
                      </c:pt>
                      <c:pt idx="19">
                        <c:v>4098.5154558692993</c:v>
                      </c:pt>
                      <c:pt idx="20">
                        <c:v>3749.8191320893975</c:v>
                      </c:pt>
                      <c:pt idx="21">
                        <c:v>3355.8032444751461</c:v>
                      </c:pt>
                      <c:pt idx="22">
                        <c:v>3132.2871289879899</c:v>
                      </c:pt>
                      <c:pt idx="23">
                        <c:v>2957.7798214273544</c:v>
                      </c:pt>
                      <c:pt idx="24">
                        <c:v>2810.6305580406165</c:v>
                      </c:pt>
                      <c:pt idx="25">
                        <c:v>2536.8832537542439</c:v>
                      </c:pt>
                      <c:pt idx="26">
                        <c:v>2382.4964886306102</c:v>
                      </c:pt>
                      <c:pt idx="27">
                        <c:v>2285.0377475453388</c:v>
                      </c:pt>
                      <c:pt idx="28">
                        <c:v>1476.5591882033877</c:v>
                      </c:pt>
                      <c:pt idx="29">
                        <c:v>0</c:v>
                      </c:pt>
                      <c:pt idx="30">
                        <c:v>0</c:v>
                      </c:pt>
                      <c:pt idx="31">
                        <c:v>0</c:v>
                      </c:pt>
                    </c:numCache>
                  </c:numRef>
                </c:val>
                <c:smooth val="0"/>
                <c:extLst>
                  <c:ext xmlns:c16="http://schemas.microsoft.com/office/drawing/2014/chart" uri="{C3380CC4-5D6E-409C-BE32-E72D297353CC}">
                    <c16:uniqueId val="{00000002-6A73-4854-8E6F-FF026FE45B9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'Gráficos - Monografia'!$A$137</c15:sqref>
                        </c15:formulaRef>
                      </c:ext>
                    </c:extLst>
                    <c:strCache>
                      <c:ptCount val="1"/>
                      <c:pt idx="0">
                        <c:v>Custos</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Monografia'!$B$137:$AQ$137</c15:sqref>
                        </c15:fullRef>
                        <c15:formulaRef>
                          <c15:sqref>'Gráficos - Monografia'!$B$137:$AG$137</c15:sqref>
                        </c15:formulaRef>
                      </c:ext>
                    </c:extLst>
                    <c:numCache>
                      <c:formatCode>#,##0</c:formatCode>
                      <c:ptCount val="32"/>
                      <c:pt idx="0">
                        <c:v>-4812.2979228943586</c:v>
                      </c:pt>
                      <c:pt idx="1">
                        <c:v>-5930.0149891544279</c:v>
                      </c:pt>
                      <c:pt idx="2">
                        <c:v>-6614.3880973548667</c:v>
                      </c:pt>
                      <c:pt idx="3">
                        <c:v>-7232.9580655703303</c:v>
                      </c:pt>
                      <c:pt idx="4">
                        <c:v>-7525.7477916724256</c:v>
                      </c:pt>
                      <c:pt idx="5">
                        <c:v>-7715.5530510131266</c:v>
                      </c:pt>
                      <c:pt idx="6">
                        <c:v>-6977.1808909794181</c:v>
                      </c:pt>
                      <c:pt idx="7">
                        <c:v>-5803.4145808208605</c:v>
                      </c:pt>
                      <c:pt idx="8">
                        <c:v>-5015.1494813390073</c:v>
                      </c:pt>
                      <c:pt idx="9">
                        <c:v>-4606.1626170792142</c:v>
                      </c:pt>
                      <c:pt idx="10">
                        <c:v>-4062.6574317082845</c:v>
                      </c:pt>
                      <c:pt idx="11">
                        <c:v>-3561.0324733868138</c:v>
                      </c:pt>
                      <c:pt idx="12">
                        <c:v>-3083.7260029894469</c:v>
                      </c:pt>
                      <c:pt idx="13">
                        <c:v>-2702.4951243554383</c:v>
                      </c:pt>
                      <c:pt idx="14">
                        <c:v>-2387.1533790195472</c:v>
                      </c:pt>
                      <c:pt idx="15">
                        <c:v>-2042.7872450856769</c:v>
                      </c:pt>
                      <c:pt idx="16">
                        <c:v>-1686.3749226715524</c:v>
                      </c:pt>
                      <c:pt idx="17">
                        <c:v>-1506.5825646754108</c:v>
                      </c:pt>
                      <c:pt idx="18">
                        <c:v>-1346.9281963652857</c:v>
                      </c:pt>
                      <c:pt idx="19">
                        <c:v>-1209.4114759521672</c:v>
                      </c:pt>
                      <c:pt idx="20">
                        <c:v>-1089.3685940180046</c:v>
                      </c:pt>
                      <c:pt idx="21">
                        <c:v>-988.21118940851989</c:v>
                      </c:pt>
                      <c:pt idx="22">
                        <c:v>-937.54464205339104</c:v>
                      </c:pt>
                      <c:pt idx="23">
                        <c:v>-910.5093601864537</c:v>
                      </c:pt>
                      <c:pt idx="24">
                        <c:v>-875.65806382040171</c:v>
                      </c:pt>
                      <c:pt idx="25">
                        <c:v>-856.11388223140341</c:v>
                      </c:pt>
                      <c:pt idx="26">
                        <c:v>-927.18709392406413</c:v>
                      </c:pt>
                      <c:pt idx="27">
                        <c:v>-632.39415853140531</c:v>
                      </c:pt>
                      <c:pt idx="28">
                        <c:v>-2.0236447944026006</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3-6A73-4854-8E6F-FF026FE45B9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'Gráficos - Monografia'!$A$138</c15:sqref>
                        </c15:formulaRef>
                      </c:ext>
                    </c:extLst>
                    <c:strCache>
                      <c:ptCount val="1"/>
                      <c:pt idx="0">
                        <c:v>Despesas</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Monografia'!$B$138:$AQ$138</c15:sqref>
                        </c15:fullRef>
                        <c15:formulaRef>
                          <c15:sqref>'Gráficos - Monografia'!$B$138:$AG$138</c15:sqref>
                        </c15:formulaRef>
                      </c:ext>
                    </c:extLst>
                    <c:numCache>
                      <c:formatCode>#,##0</c:formatCode>
                      <c:ptCount val="32"/>
                      <c:pt idx="0">
                        <c:v>-781.1641074364461</c:v>
                      </c:pt>
                      <c:pt idx="1">
                        <c:v>-968.60880500361225</c:v>
                      </c:pt>
                      <c:pt idx="2">
                        <c:v>-1002.5101131787386</c:v>
                      </c:pt>
                      <c:pt idx="3">
                        <c:v>-1037.5979671399944</c:v>
                      </c:pt>
                      <c:pt idx="4">
                        <c:v>-1073.9138959898942</c:v>
                      </c:pt>
                      <c:pt idx="5">
                        <c:v>-1106.1313128695908</c:v>
                      </c:pt>
                      <c:pt idx="6">
                        <c:v>-1139.3152522556786</c:v>
                      </c:pt>
                      <c:pt idx="7">
                        <c:v>-1173.494709823349</c:v>
                      </c:pt>
                      <c:pt idx="8">
                        <c:v>-1208.6995511180496</c:v>
                      </c:pt>
                      <c:pt idx="9">
                        <c:v>-1244.960537651591</c:v>
                      </c:pt>
                      <c:pt idx="10">
                        <c:v>-1282.3093537811387</c:v>
                      </c:pt>
                      <c:pt idx="11">
                        <c:v>-1320.7786343945731</c:v>
                      </c:pt>
                      <c:pt idx="12">
                        <c:v>-1360.4019934264102</c:v>
                      </c:pt>
                      <c:pt idx="13">
                        <c:v>-1401.2140532292026</c:v>
                      </c:pt>
                      <c:pt idx="14">
                        <c:v>-1333.8309869013071</c:v>
                      </c:pt>
                      <c:pt idx="15">
                        <c:v>-1217.5835534901532</c:v>
                      </c:pt>
                      <c:pt idx="16">
                        <c:v>-988.31019648541508</c:v>
                      </c:pt>
                      <c:pt idx="17">
                        <c:v>-891.93239533312453</c:v>
                      </c:pt>
                      <c:pt idx="18">
                        <c:v>-807.37276630257566</c:v>
                      </c:pt>
                      <c:pt idx="19">
                        <c:v>-727.38783404168305</c:v>
                      </c:pt>
                      <c:pt idx="20">
                        <c:v>-665.50263038108983</c:v>
                      </c:pt>
                      <c:pt idx="21">
                        <c:v>-595.57429507145696</c:v>
                      </c:pt>
                      <c:pt idx="22">
                        <c:v>-555.90556504756842</c:v>
                      </c:pt>
                      <c:pt idx="23">
                        <c:v>-524.93471869167661</c:v>
                      </c:pt>
                      <c:pt idx="24">
                        <c:v>-498.81926661440571</c:v>
                      </c:pt>
                      <c:pt idx="25">
                        <c:v>-450.23570974274315</c:v>
                      </c:pt>
                      <c:pt idx="26">
                        <c:v>-422.83577532815809</c:v>
                      </c:pt>
                      <c:pt idx="27">
                        <c:v>-405.53919481022302</c:v>
                      </c:pt>
                      <c:pt idx="28">
                        <c:v>-262.05371220536358</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4-6A73-4854-8E6F-FF026FE45B9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'Gráficos - Monografia'!$A$140</c15:sqref>
                        </c15:formulaRef>
                      </c:ext>
                    </c:extLst>
                    <c:strCache>
                      <c:ptCount val="1"/>
                      <c:pt idx="0">
                        <c:v>Resultado Financeiro</c:v>
                      </c:pt>
                    </c:strCache>
                  </c:strRef>
                </c:tx>
                <c:spPr>
                  <a:ln w="12700" cap="rnd">
                    <a:solidFill>
                      <a:schemeClr val="bg1">
                        <a:lumMod val="65000"/>
                      </a:schemeClr>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Monografia'!$B$140:$AQ$140</c15:sqref>
                        </c15:fullRef>
                        <c15:formulaRef>
                          <c15:sqref>'Gráficos - Monografia'!$B$140:$AG$140</c15:sqref>
                        </c15:formulaRef>
                      </c:ext>
                    </c:extLst>
                    <c:numCache>
                      <c:formatCode>#,##0</c:formatCode>
                      <c:ptCount val="32"/>
                      <c:pt idx="0">
                        <c:v>-311.56733934736405</c:v>
                      </c:pt>
                      <c:pt idx="1">
                        <c:v>222.26858108767311</c:v>
                      </c:pt>
                      <c:pt idx="2">
                        <c:v>124.52827915828009</c:v>
                      </c:pt>
                      <c:pt idx="3">
                        <c:v>167.51869219870528</c:v>
                      </c:pt>
                      <c:pt idx="4">
                        <c:v>169.43670827938641</c:v>
                      </c:pt>
                      <c:pt idx="5">
                        <c:v>171.92155362573834</c:v>
                      </c:pt>
                      <c:pt idx="6">
                        <c:v>173.82827288767115</c:v>
                      </c:pt>
                      <c:pt idx="7">
                        <c:v>155.84240972997529</c:v>
                      </c:pt>
                      <c:pt idx="8">
                        <c:v>133.34732468085258</c:v>
                      </c:pt>
                      <c:pt idx="9">
                        <c:v>118.77753164914797</c:v>
                      </c:pt>
                      <c:pt idx="10">
                        <c:v>123.94926549949027</c:v>
                      </c:pt>
                      <c:pt idx="11">
                        <c:v>112.42649209097479</c:v>
                      </c:pt>
                      <c:pt idx="12">
                        <c:v>100.72554755579984</c:v>
                      </c:pt>
                      <c:pt idx="13">
                        <c:v>88.9225591427371</c:v>
                      </c:pt>
                      <c:pt idx="14">
                        <c:v>78.854910918951191</c:v>
                      </c:pt>
                      <c:pt idx="15">
                        <c:v>71.616670532629755</c:v>
                      </c:pt>
                      <c:pt idx="16">
                        <c:v>65.375059548459205</c:v>
                      </c:pt>
                      <c:pt idx="17">
                        <c:v>53.064808375884382</c:v>
                      </c:pt>
                      <c:pt idx="18">
                        <c:v>47.890046880938087</c:v>
                      </c:pt>
                      <c:pt idx="19">
                        <c:v>43.349832152000999</c:v>
                      </c:pt>
                      <c:pt idx="20">
                        <c:v>33.414452254262372</c:v>
                      </c:pt>
                      <c:pt idx="21">
                        <c:v>30.571594446932473</c:v>
                      </c:pt>
                      <c:pt idx="22">
                        <c:v>27.359254465329464</c:v>
                      </c:pt>
                      <c:pt idx="23">
                        <c:v>25.53696816449132</c:v>
                      </c:pt>
                      <c:pt idx="24">
                        <c:v>24.114241775072806</c:v>
                      </c:pt>
                      <c:pt idx="25">
                        <c:v>22.914560551803444</c:v>
                      </c:pt>
                      <c:pt idx="26">
                        <c:v>20.682748490265105</c:v>
                      </c:pt>
                      <c:pt idx="27">
                        <c:v>19.424061229606934</c:v>
                      </c:pt>
                      <c:pt idx="28">
                        <c:v>18.62949781126208</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0-6A73-4854-8E6F-FF026FE45B9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'Gráficos - Monografia'!$A$149</c15:sqref>
                        </c15:formulaRef>
                      </c:ext>
                    </c:extLst>
                    <c:strCache>
                      <c:ptCount val="1"/>
                      <c:pt idx="0">
                        <c:v>Variação da Dívida Líquida</c:v>
                      </c:pt>
                    </c:strCache>
                  </c:strRef>
                </c:tx>
                <c:spPr>
                  <a:ln w="12700" cap="rnd">
                    <a:solidFill>
                      <a:schemeClr val="tx1"/>
                    </a:solidFill>
                    <a:round/>
                  </a:ln>
                  <a:effectLst/>
                </c:spPr>
                <c:marker>
                  <c:symbol val="none"/>
                </c:marker>
                <c:val>
                  <c:numRef>
                    <c:extLst>
                      <c:ext xmlns:c15="http://schemas.microsoft.com/office/drawing/2012/chart" uri="{02D57815-91ED-43cb-92C2-25804820EDAC}">
                        <c15:fullRef>
                          <c15:sqref>'Gráficos - Monografia'!$B$149:$AQ$149</c15:sqref>
                        </c15:fullRef>
                        <c15:formulaRef>
                          <c15:sqref>'Gráficos - Monografia'!$B$149:$AG$149</c15:sqref>
                        </c15:formulaRef>
                      </c:ext>
                    </c:extLst>
                    <c:numCache>
                      <c:formatCode>#,##0</c:formatCode>
                      <c:ptCount val="32"/>
                      <c:pt idx="0">
                        <c:v>-2927.860289411361</c:v>
                      </c:pt>
                      <c:pt idx="1">
                        <c:v>-2358.6130355949017</c:v>
                      </c:pt>
                      <c:pt idx="2">
                        <c:v>-3249.675955458556</c:v>
                      </c:pt>
                      <c:pt idx="3">
                        <c:v>-905.21040074048778</c:v>
                      </c:pt>
                      <c:pt idx="4">
                        <c:v>-756.65530500743444</c:v>
                      </c:pt>
                      <c:pt idx="5">
                        <c:v>-57.008682623194545</c:v>
                      </c:pt>
                      <c:pt idx="6">
                        <c:v>455.04675059220978</c:v>
                      </c:pt>
                      <c:pt idx="7">
                        <c:v>684.51553455207568</c:v>
                      </c:pt>
                      <c:pt idx="8">
                        <c:v>443.35238758296373</c:v>
                      </c:pt>
                      <c:pt idx="9">
                        <c:v>361.26329089177534</c:v>
                      </c:pt>
                      <c:pt idx="10">
                        <c:v>302.41855638163361</c:v>
                      </c:pt>
                      <c:pt idx="11">
                        <c:v>307.09470968286951</c:v>
                      </c:pt>
                      <c:pt idx="12">
                        <c:v>309.77288108693756</c:v>
                      </c:pt>
                      <c:pt idx="13">
                        <c:v>264.2283705540558</c:v>
                      </c:pt>
                      <c:pt idx="14">
                        <c:v>189.96973478251289</c:v>
                      </c:pt>
                      <c:pt idx="15">
                        <c:v>163.81290479372024</c:v>
                      </c:pt>
                      <c:pt idx="16">
                        <c:v>323.08614049065204</c:v>
                      </c:pt>
                      <c:pt idx="17">
                        <c:v>135.81312809331598</c:v>
                      </c:pt>
                      <c:pt idx="18">
                        <c:v>119.15926273211358</c:v>
                      </c:pt>
                      <c:pt idx="19">
                        <c:v>112.71271725237602</c:v>
                      </c:pt>
                      <c:pt idx="20">
                        <c:v>87.207043441012843</c:v>
                      </c:pt>
                      <c:pt idx="21">
                        <c:v>98.541218488193522</c:v>
                      </c:pt>
                      <c:pt idx="22">
                        <c:v>55.90015799925186</c:v>
                      </c:pt>
                      <c:pt idx="23">
                        <c:v>43.643323182323911</c:v>
                      </c:pt>
                      <c:pt idx="24">
                        <c:v>36.801225964688228</c:v>
                      </c:pt>
                      <c:pt idx="25">
                        <c:v>68.462703586833186</c:v>
                      </c:pt>
                      <c:pt idx="26">
                        <c:v>38.611285564778086</c:v>
                      </c:pt>
                      <c:pt idx="27">
                        <c:v>24.373898111109156</c:v>
                      </c:pt>
                      <c:pt idx="28">
                        <c:v>202.19606585288761</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1-6A73-4854-8E6F-FF026FE45B9D}"/>
                  </c:ext>
                </c:extLst>
              </c15:ser>
            </c15:filteredLineSeries>
          </c:ext>
        </c:extLst>
      </c:lineChart>
      <c:catAx>
        <c:axId val="1340672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199289631"/>
        <c:crosses val="autoZero"/>
        <c:auto val="1"/>
        <c:lblAlgn val="ctr"/>
        <c:lblOffset val="100"/>
        <c:noMultiLvlLbl val="0"/>
      </c:catAx>
      <c:valAx>
        <c:axId val="11992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Milhões de Reais (R$ mi)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340672367"/>
        <c:crosses val="autoZero"/>
        <c:crossBetween val="between"/>
      </c:valAx>
      <c:spPr>
        <a:noFill/>
        <a:ln>
          <a:solidFill>
            <a:schemeClr val="bg1">
              <a:lumMod val="85000"/>
            </a:schemeClr>
          </a:solidFill>
        </a:ln>
        <a:effectLst/>
      </c:spPr>
    </c:plotArea>
    <c:legend>
      <c:legendPos val="b"/>
      <c:layout>
        <c:manualLayout>
          <c:xMode val="edge"/>
          <c:yMode val="edge"/>
          <c:x val="0.18775146633069459"/>
          <c:y val="0.92171151166128507"/>
          <c:w val="0.65915624954333352"/>
          <c:h val="7.491972222924564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36751701338929"/>
          <c:y val="3.6160305964771586E-2"/>
          <c:w val="0.86103040027330136"/>
          <c:h val="0.68817943878608467"/>
        </c:manualLayout>
      </c:layout>
      <c:lineChart>
        <c:grouping val="standard"/>
        <c:varyColors val="0"/>
        <c:ser>
          <c:idx val="2"/>
          <c:order val="0"/>
          <c:tx>
            <c:strRef>
              <c:f>'Gráficos - Monografia'!$A$144</c:f>
              <c:strCache>
                <c:ptCount val="1"/>
                <c:pt idx="0">
                  <c:v>Depreciação/Amortizações</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ext>
              </c:extLst>
              <c:f>'Gráficos - Monografia'!$B$135:$AG$135</c:f>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Monografia'!$B$144:$AQ$144</c15:sqref>
                  </c15:fullRef>
                </c:ext>
              </c:extLst>
              <c:f>'Gráficos - Monografia'!$B$144:$AG$144</c:f>
              <c:numCache>
                <c:formatCode>#,##0</c:formatCode>
                <c:ptCount val="32"/>
                <c:pt idx="0">
                  <c:v>1596.9531915402797</c:v>
                </c:pt>
                <c:pt idx="1">
                  <c:v>1891.224984240544</c:v>
                </c:pt>
                <c:pt idx="2">
                  <c:v>2219.4582125376492</c:v>
                </c:pt>
                <c:pt idx="3">
                  <c:v>2392.3301476040915</c:v>
                </c:pt>
                <c:pt idx="4">
                  <c:v>2655.3508833659366</c:v>
                </c:pt>
                <c:pt idx="5">
                  <c:v>2587.6981410118365</c:v>
                </c:pt>
                <c:pt idx="6">
                  <c:v>2369.0125761991999</c:v>
                </c:pt>
                <c:pt idx="7">
                  <c:v>2064.7267952979869</c:v>
                </c:pt>
                <c:pt idx="8">
                  <c:v>1828.137374014656</c:v>
                </c:pt>
                <c:pt idx="9">
                  <c:v>1639.3550532193231</c:v>
                </c:pt>
                <c:pt idx="10">
                  <c:v>1457.6845995409428</c:v>
                </c:pt>
                <c:pt idx="11">
                  <c:v>1283.1199727102191</c:v>
                </c:pt>
                <c:pt idx="12">
                  <c:v>1140.9963347259759</c:v>
                </c:pt>
                <c:pt idx="13">
                  <c:v>1046.6193330039277</c:v>
                </c:pt>
                <c:pt idx="14">
                  <c:v>932.58941753807062</c:v>
                </c:pt>
                <c:pt idx="15">
                  <c:v>761.804332869164</c:v>
                </c:pt>
                <c:pt idx="16">
                  <c:v>696.69733130685336</c:v>
                </c:pt>
                <c:pt idx="17">
                  <c:v>643.18237575193064</c:v>
                </c:pt>
                <c:pt idx="18">
                  <c:v>595.39629467051498</c:v>
                </c:pt>
                <c:pt idx="19">
                  <c:v>564.35475797985077</c:v>
                </c:pt>
                <c:pt idx="20">
                  <c:v>528.54482289560906</c:v>
                </c:pt>
                <c:pt idx="21">
                  <c:v>521.83892808162614</c:v>
                </c:pt>
                <c:pt idx="22">
                  <c:v>528.27217103676367</c:v>
                </c:pt>
                <c:pt idx="23">
                  <c:v>547.8347497868856</c:v>
                </c:pt>
                <c:pt idx="24">
                  <c:v>553.6994209799501</c:v>
                </c:pt>
                <c:pt idx="25">
                  <c:v>603.08183312543747</c:v>
                </c:pt>
                <c:pt idx="26">
                  <c:v>717.3235814515607</c:v>
                </c:pt>
                <c:pt idx="27">
                  <c:v>453.47301428149234</c:v>
                </c:pt>
                <c:pt idx="28">
                  <c:v>10.173088515200186</c:v>
                </c:pt>
                <c:pt idx="29">
                  <c:v>0</c:v>
                </c:pt>
                <c:pt idx="30">
                  <c:v>0</c:v>
                </c:pt>
                <c:pt idx="31">
                  <c:v>0</c:v>
                </c:pt>
              </c:numCache>
            </c:numRef>
          </c:val>
          <c:smooth val="0"/>
          <c:extLst>
            <c:ext xmlns:c16="http://schemas.microsoft.com/office/drawing/2014/chart" uri="{C3380CC4-5D6E-409C-BE32-E72D297353CC}">
              <c16:uniqueId val="{00000000-4D2E-4A1B-87F4-CE2CEDFA1D8E}"/>
            </c:ext>
          </c:extLst>
        </c:ser>
        <c:dLbls>
          <c:showLegendKey val="0"/>
          <c:showVal val="0"/>
          <c:showCatName val="0"/>
          <c:showSerName val="0"/>
          <c:showPercent val="0"/>
          <c:showBubbleSize val="0"/>
        </c:dLbls>
        <c:smooth val="0"/>
        <c:axId val="1340672367"/>
        <c:axId val="1199289631"/>
        <c:extLst>
          <c:ext xmlns:c15="http://schemas.microsoft.com/office/drawing/2012/chart" uri="{02D57815-91ED-43cb-92C2-25804820EDAC}">
            <c15:filteredLineSeries>
              <c15:ser>
                <c:idx val="3"/>
                <c:order val="1"/>
                <c:tx>
                  <c:strRef>
                    <c:extLst>
                      <c:ext uri="{02D57815-91ED-43cb-92C2-25804820EDAC}">
                        <c15:formulaRef>
                          <c15:sqref>'Gráficos - Monografia'!$A$145</c15:sqref>
                        </c15:formulaRef>
                      </c:ext>
                    </c:extLst>
                    <c:strCache>
                      <c:ptCount val="1"/>
                      <c:pt idx="0">
                        <c:v>Abandono</c:v>
                      </c:pt>
                    </c:strCache>
                  </c:strRef>
                </c:tx>
                <c:spPr>
                  <a:ln w="12700" cap="rnd">
                    <a:solidFill>
                      <a:schemeClr val="tx1"/>
                    </a:solidFill>
                    <a:round/>
                  </a:ln>
                  <a:effectLst/>
                </c:spPr>
                <c:marker>
                  <c:symbol val="none"/>
                </c:marker>
                <c:cat>
                  <c:numRef>
                    <c:extLst>
                      <c:ex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uri="{02D57815-91ED-43cb-92C2-25804820EDAC}">
                        <c15:fullRef>
                          <c15:sqref>'Gráficos - Monografia'!$B$145:$AQ$145</c15:sqref>
                        </c15:fullRef>
                        <c15:formulaRef>
                          <c15:sqref>'Gráficos - Monografia'!$B$145:$AG$145</c15:sqref>
                        </c15:formulaRef>
                      </c:ext>
                    </c:extLst>
                    <c:numCache>
                      <c:formatCode>#,##0</c:formatCode>
                      <c:ptCount val="32"/>
                      <c:pt idx="0">
                        <c:v>-57.710249999999988</c:v>
                      </c:pt>
                      <c:pt idx="1">
                        <c:v>-58.866841799999989</c:v>
                      </c:pt>
                      <c:pt idx="2">
                        <c:v>-121.7268</c:v>
                      </c:pt>
                      <c:pt idx="3">
                        <c:v>0</c:v>
                      </c:pt>
                      <c:pt idx="4">
                        <c:v>-64.588726987199991</c:v>
                      </c:pt>
                      <c:pt idx="5">
                        <c:v>-66.526388796815993</c:v>
                      </c:pt>
                      <c:pt idx="6">
                        <c:v>0</c:v>
                      </c:pt>
                      <c:pt idx="7">
                        <c:v>0</c:v>
                      </c:pt>
                      <c:pt idx="8">
                        <c:v>0</c:v>
                      </c:pt>
                      <c:pt idx="9">
                        <c:v>0</c:v>
                      </c:pt>
                      <c:pt idx="10">
                        <c:v>0</c:v>
                      </c:pt>
                      <c:pt idx="11">
                        <c:v>0</c:v>
                      </c:pt>
                      <c:pt idx="12">
                        <c:v>0</c:v>
                      </c:pt>
                      <c:pt idx="13">
                        <c:v>0</c:v>
                      </c:pt>
                      <c:pt idx="14">
                        <c:v>0</c:v>
                      </c:pt>
                      <c:pt idx="15">
                        <c:v>0</c:v>
                      </c:pt>
                      <c:pt idx="16">
                        <c:v>-732.7692572934875</c:v>
                      </c:pt>
                      <c:pt idx="17">
                        <c:v>0</c:v>
                      </c:pt>
                      <c:pt idx="18">
                        <c:v>0</c:v>
                      </c:pt>
                      <c:pt idx="19">
                        <c:v>0</c:v>
                      </c:pt>
                      <c:pt idx="20">
                        <c:v>0</c:v>
                      </c:pt>
                      <c:pt idx="21">
                        <c:v>0</c:v>
                      </c:pt>
                      <c:pt idx="22">
                        <c:v>0</c:v>
                      </c:pt>
                      <c:pt idx="23">
                        <c:v>0</c:v>
                      </c:pt>
                      <c:pt idx="24">
                        <c:v>0</c:v>
                      </c:pt>
                      <c:pt idx="25">
                        <c:v>0</c:v>
                      </c:pt>
                      <c:pt idx="26">
                        <c:v>0</c:v>
                      </c:pt>
                      <c:pt idx="27">
                        <c:v>0</c:v>
                      </c:pt>
                      <c:pt idx="28">
                        <c:v>0</c:v>
                      </c:pt>
                      <c:pt idx="29">
                        <c:v>-10869.625044523464</c:v>
                      </c:pt>
                      <c:pt idx="30">
                        <c:v>0</c:v>
                      </c:pt>
                      <c:pt idx="31">
                        <c:v>0</c:v>
                      </c:pt>
                    </c:numCache>
                  </c:numRef>
                </c:val>
                <c:smooth val="0"/>
                <c:extLst>
                  <c:ext xmlns:c16="http://schemas.microsoft.com/office/drawing/2014/chart" uri="{C3380CC4-5D6E-409C-BE32-E72D297353CC}">
                    <c16:uniqueId val="{00000001-4D2E-4A1B-87F4-CE2CEDFA1D8E}"/>
                  </c:ext>
                </c:extLst>
              </c15:ser>
            </c15:filteredLineSeries>
            <c15:filteredLineSeries>
              <c15:ser>
                <c:idx val="4"/>
                <c:order val="2"/>
                <c:tx>
                  <c:strRef>
                    <c:extLst xmlns:c15="http://schemas.microsoft.com/office/drawing/2012/chart">
                      <c:ext xmlns:c15="http://schemas.microsoft.com/office/drawing/2012/chart" uri="{02D57815-91ED-43cb-92C2-25804820EDAC}">
                        <c15:formulaRef>
                          <c15:sqref>'Gráficos - Monografia'!$A$146</c15:sqref>
                        </c15:formulaRef>
                      </c:ext>
                    </c:extLst>
                    <c:strCache>
                      <c:ptCount val="1"/>
                      <c:pt idx="0">
                        <c:v>Variação do Capital de Giro</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Monografia'!$B$146:$AQ$146</c15:sqref>
                        </c15:fullRef>
                        <c15:formulaRef>
                          <c15:sqref>'Gráficos - Monografia'!$B$146:$AG$146</c15:sqref>
                        </c15:formulaRef>
                      </c:ext>
                    </c:extLst>
                    <c:numCache>
                      <c:formatCode>#,##0</c:formatCode>
                      <c:ptCount val="32"/>
                      <c:pt idx="0">
                        <c:v>-1082.6085989700173</c:v>
                      </c:pt>
                      <c:pt idx="1">
                        <c:v>-580.48134218906705</c:v>
                      </c:pt>
                      <c:pt idx="2">
                        <c:v>34.394185195168482</c:v>
                      </c:pt>
                      <c:pt idx="3">
                        <c:v>-15.756499500703532</c:v>
                      </c:pt>
                      <c:pt idx="4">
                        <c:v>200.52097917740372</c:v>
                      </c:pt>
                      <c:pt idx="5">
                        <c:v>13.530800975340419</c:v>
                      </c:pt>
                      <c:pt idx="6">
                        <c:v>287.95682717192636</c:v>
                      </c:pt>
                      <c:pt idx="7">
                        <c:v>403.67556671605769</c:v>
                      </c:pt>
                      <c:pt idx="8">
                        <c:v>244.38426108784438</c:v>
                      </c:pt>
                      <c:pt idx="9">
                        <c:v>196.66342060175981</c:v>
                      </c:pt>
                      <c:pt idx="10">
                        <c:v>168.45813702328411</c:v>
                      </c:pt>
                      <c:pt idx="11">
                        <c:v>171.85625586552359</c:v>
                      </c:pt>
                      <c:pt idx="12">
                        <c:v>176.06042563267403</c:v>
                      </c:pt>
                      <c:pt idx="13">
                        <c:v>147.34130428998614</c:v>
                      </c:pt>
                      <c:pt idx="14">
                        <c:v>107.73225064288185</c:v>
                      </c:pt>
                      <c:pt idx="15">
                        <c:v>82.225582530084878</c:v>
                      </c:pt>
                      <c:pt idx="16">
                        <c:v>189.31420478327701</c:v>
                      </c:pt>
                      <c:pt idx="17">
                        <c:v>78.444894486394475</c:v>
                      </c:pt>
                      <c:pt idx="18">
                        <c:v>69.787769434820163</c:v>
                      </c:pt>
                      <c:pt idx="19">
                        <c:v>65.991442436840728</c:v>
                      </c:pt>
                      <c:pt idx="20">
                        <c:v>51.827280256567349</c:v>
                      </c:pt>
                      <c:pt idx="21">
                        <c:v>56.934347450671602</c:v>
                      </c:pt>
                      <c:pt idx="22">
                        <c:v>32.785039290965969</c:v>
                      </c:pt>
                      <c:pt idx="23">
                        <c:v>25.605301720787015</c:v>
                      </c:pt>
                      <c:pt idx="24">
                        <c:v>22.200317614023195</c:v>
                      </c:pt>
                      <c:pt idx="25">
                        <c:v>39.563841039256481</c:v>
                      </c:pt>
                      <c:pt idx="26">
                        <c:v>22.550319884034952</c:v>
                      </c:pt>
                      <c:pt idx="27">
                        <c:v>14.216320325330628</c:v>
                      </c:pt>
                      <c:pt idx="28">
                        <c:v>118.81697771128709</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2-4D2E-4A1B-87F4-CE2CEDFA1D8E}"/>
                  </c:ext>
                </c:extLst>
              </c15:ser>
            </c15:filteredLineSeries>
            <c15:filteredLineSeries>
              <c15:ser>
                <c:idx val="5"/>
                <c:order val="3"/>
                <c:tx>
                  <c:strRef>
                    <c:extLst xmlns:c15="http://schemas.microsoft.com/office/drawing/2012/chart">
                      <c:ext xmlns:c15="http://schemas.microsoft.com/office/drawing/2012/chart" uri="{02D57815-91ED-43cb-92C2-25804820EDAC}">
                        <c15:formulaRef>
                          <c15:sqref>'Gráficos - Monografia'!$A$149</c15:sqref>
                        </c15:formulaRef>
                      </c:ext>
                    </c:extLst>
                    <c:strCache>
                      <c:ptCount val="1"/>
                      <c:pt idx="0">
                        <c:v>Variação da Dívida Líquida</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Monografia'!$B$149:$AQ$149</c15:sqref>
                        </c15:fullRef>
                        <c15:formulaRef>
                          <c15:sqref>'Gráficos - Monografia'!$B$149:$AG$149</c15:sqref>
                        </c15:formulaRef>
                      </c:ext>
                    </c:extLst>
                    <c:numCache>
                      <c:formatCode>#,##0</c:formatCode>
                      <c:ptCount val="32"/>
                      <c:pt idx="0">
                        <c:v>-2927.860289411361</c:v>
                      </c:pt>
                      <c:pt idx="1">
                        <c:v>-2358.6130355949017</c:v>
                      </c:pt>
                      <c:pt idx="2">
                        <c:v>-3249.675955458556</c:v>
                      </c:pt>
                      <c:pt idx="3">
                        <c:v>-905.21040074048778</c:v>
                      </c:pt>
                      <c:pt idx="4">
                        <c:v>-756.65530500743444</c:v>
                      </c:pt>
                      <c:pt idx="5">
                        <c:v>-57.008682623194545</c:v>
                      </c:pt>
                      <c:pt idx="6">
                        <c:v>455.04675059220978</c:v>
                      </c:pt>
                      <c:pt idx="7">
                        <c:v>684.51553455207568</c:v>
                      </c:pt>
                      <c:pt idx="8">
                        <c:v>443.35238758296373</c:v>
                      </c:pt>
                      <c:pt idx="9">
                        <c:v>361.26329089177534</c:v>
                      </c:pt>
                      <c:pt idx="10">
                        <c:v>302.41855638163361</c:v>
                      </c:pt>
                      <c:pt idx="11">
                        <c:v>307.09470968286951</c:v>
                      </c:pt>
                      <c:pt idx="12">
                        <c:v>309.77288108693756</c:v>
                      </c:pt>
                      <c:pt idx="13">
                        <c:v>264.2283705540558</c:v>
                      </c:pt>
                      <c:pt idx="14">
                        <c:v>189.96973478251289</c:v>
                      </c:pt>
                      <c:pt idx="15">
                        <c:v>163.81290479372024</c:v>
                      </c:pt>
                      <c:pt idx="16">
                        <c:v>323.08614049065204</c:v>
                      </c:pt>
                      <c:pt idx="17">
                        <c:v>135.81312809331598</c:v>
                      </c:pt>
                      <c:pt idx="18">
                        <c:v>119.15926273211358</c:v>
                      </c:pt>
                      <c:pt idx="19">
                        <c:v>112.71271725237602</c:v>
                      </c:pt>
                      <c:pt idx="20">
                        <c:v>87.207043441012843</c:v>
                      </c:pt>
                      <c:pt idx="21">
                        <c:v>98.541218488193522</c:v>
                      </c:pt>
                      <c:pt idx="22">
                        <c:v>55.90015799925186</c:v>
                      </c:pt>
                      <c:pt idx="23">
                        <c:v>43.643323182323911</c:v>
                      </c:pt>
                      <c:pt idx="24">
                        <c:v>36.801225964688228</c:v>
                      </c:pt>
                      <c:pt idx="25">
                        <c:v>68.462703586833186</c:v>
                      </c:pt>
                      <c:pt idx="26">
                        <c:v>38.611285564778086</c:v>
                      </c:pt>
                      <c:pt idx="27">
                        <c:v>24.373898111109156</c:v>
                      </c:pt>
                      <c:pt idx="28">
                        <c:v>202.19606585288761</c:v>
                      </c:pt>
                      <c:pt idx="29">
                        <c:v>0</c:v>
                      </c:pt>
                      <c:pt idx="30">
                        <c:v>0</c:v>
                      </c:pt>
                      <c:pt idx="31">
                        <c:v>0</c:v>
                      </c:pt>
                    </c:numCache>
                  </c:numRef>
                </c:val>
                <c:smooth val="0"/>
                <c:extLst xmlns:c15="http://schemas.microsoft.com/office/drawing/2012/chart">
                  <c:ext xmlns:c16="http://schemas.microsoft.com/office/drawing/2014/chart" uri="{C3380CC4-5D6E-409C-BE32-E72D297353CC}">
                    <c16:uniqueId val="{00000003-4D2E-4A1B-87F4-CE2CEDFA1D8E}"/>
                  </c:ext>
                </c:extLst>
              </c15:ser>
            </c15:filteredLineSeries>
            <c15:filteredLineSeries>
              <c15:ser>
                <c:idx val="6"/>
                <c:order val="4"/>
                <c:tx>
                  <c:strRef>
                    <c:extLst xmlns:c15="http://schemas.microsoft.com/office/drawing/2012/chart">
                      <c:ext xmlns:c15="http://schemas.microsoft.com/office/drawing/2012/chart" uri="{02D57815-91ED-43cb-92C2-25804820EDAC}">
                        <c15:formulaRef>
                          <c15:sqref>'Gráficos - Monografia'!$A$151</c15:sqref>
                        </c15:formulaRef>
                      </c:ext>
                    </c:extLst>
                    <c:strCache>
                      <c:ptCount val="1"/>
                      <c:pt idx="0">
                        <c:v>Fluxo de Caixa dos Acionistas</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15:formulaRef>
                          <c15:sqref>'Gráficos - Monografia'!$B$135:$AG$135</c15:sqref>
                        </c15:formulaRef>
                      </c:ext>
                    </c:extLst>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Monografia'!$B$151:$AQ$151</c15:sqref>
                        </c15:fullRef>
                        <c15:formulaRef>
                          <c15:sqref>'Gráficos - Monografia'!$B$151:$AG$151</c15:sqref>
                        </c15:formulaRef>
                      </c:ext>
                    </c:extLst>
                    <c:numCache>
                      <c:formatCode>#,##0</c:formatCode>
                      <c:ptCount val="32"/>
                      <c:pt idx="0">
                        <c:v>2028.778064069922</c:v>
                      </c:pt>
                      <c:pt idx="1">
                        <c:v>5389.4066413078954</c:v>
                      </c:pt>
                      <c:pt idx="2">
                        <c:v>5475.0390644567315</c:v>
                      </c:pt>
                      <c:pt idx="3">
                        <c:v>8046.28666110215</c:v>
                      </c:pt>
                      <c:pt idx="4">
                        <c:v>8213.4534465247816</c:v>
                      </c:pt>
                      <c:pt idx="5">
                        <c:v>8602.779961917422</c:v>
                      </c:pt>
                      <c:pt idx="6">
                        <c:v>9676.2561246602309</c:v>
                      </c:pt>
                      <c:pt idx="7">
                        <c:v>8710.8032305929228</c:v>
                      </c:pt>
                      <c:pt idx="8">
                        <c:v>7421.9694269731226</c:v>
                      </c:pt>
                      <c:pt idx="9">
                        <c:v>6414.2062767940388</c:v>
                      </c:pt>
                      <c:pt idx="10">
                        <c:v>5706.7144424915714</c:v>
                      </c:pt>
                      <c:pt idx="11">
                        <c:v>5049.9524890448365</c:v>
                      </c:pt>
                      <c:pt idx="12">
                        <c:v>4400.4525073649838</c:v>
                      </c:pt>
                      <c:pt idx="13">
                        <c:v>3880.4478885544186</c:v>
                      </c:pt>
                      <c:pt idx="14">
                        <c:v>3410.4061898568389</c:v>
                      </c:pt>
                      <c:pt idx="15">
                        <c:v>3065.415598394482</c:v>
                      </c:pt>
                      <c:pt idx="16">
                        <c:v>2089.6213086301491</c:v>
                      </c:pt>
                      <c:pt idx="17">
                        <c:v>2293.9343067836007</c:v>
                      </c:pt>
                      <c:pt idx="18">
                        <c:v>2069.7888195058449</c:v>
                      </c:pt>
                      <c:pt idx="19">
                        <c:v>1876.4645209152984</c:v>
                      </c:pt>
                      <c:pt idx="20">
                        <c:v>1686.5213469922296</c:v>
                      </c:pt>
                      <c:pt idx="21">
                        <c:v>1550.3419306961887</c:v>
                      </c:pt>
                      <c:pt idx="22">
                        <c:v>1398.680853841927</c:v>
                      </c:pt>
                      <c:pt idx="23">
                        <c:v>1318.0483239855555</c:v>
                      </c:pt>
                      <c:pt idx="24">
                        <c:v>1252.2855270291159</c:v>
                      </c:pt>
                      <c:pt idx="25">
                        <c:v>1213.5297533670123</c:v>
                      </c:pt>
                      <c:pt idx="26">
                        <c:v>1405.189213886752</c:v>
                      </c:pt>
                      <c:pt idx="27">
                        <c:v>1261.9738240033789</c:v>
                      </c:pt>
                      <c:pt idx="28">
                        <c:v>1097.4731273595439</c:v>
                      </c:pt>
                      <c:pt idx="29">
                        <c:v>-10869.625044523464</c:v>
                      </c:pt>
                      <c:pt idx="30">
                        <c:v>0</c:v>
                      </c:pt>
                      <c:pt idx="31">
                        <c:v>0</c:v>
                      </c:pt>
                    </c:numCache>
                  </c:numRef>
                </c:val>
                <c:smooth val="0"/>
                <c:extLst xmlns:c15="http://schemas.microsoft.com/office/drawing/2012/chart">
                  <c:ext xmlns:c16="http://schemas.microsoft.com/office/drawing/2014/chart" uri="{C3380CC4-5D6E-409C-BE32-E72D297353CC}">
                    <c16:uniqueId val="{00000004-4D2E-4A1B-87F4-CE2CEDFA1D8E}"/>
                  </c:ext>
                </c:extLst>
              </c15:ser>
            </c15:filteredLineSeries>
          </c:ext>
        </c:extLst>
      </c:lineChart>
      <c:catAx>
        <c:axId val="1340672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Ano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199289631"/>
        <c:crosses val="autoZero"/>
        <c:auto val="1"/>
        <c:lblAlgn val="ctr"/>
        <c:lblOffset val="100"/>
        <c:noMultiLvlLbl val="0"/>
      </c:catAx>
      <c:valAx>
        <c:axId val="11992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Milhões de Reais (R$</a:t>
                </a:r>
                <a:r>
                  <a:rPr lang="pt-BR" baseline="0"/>
                  <a:t> mi)</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340672367"/>
        <c:crosses val="autoZero"/>
        <c:crossBetween val="between"/>
      </c:valAx>
      <c:spPr>
        <a:noFill/>
        <a:ln>
          <a:solidFill>
            <a:schemeClr val="bg1">
              <a:lumMod val="85000"/>
            </a:schemeClr>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93451773189967E-2"/>
          <c:y val="1.8605191561050706E-2"/>
          <c:w val="0.90468312406895079"/>
          <c:h val="0.7530513009179699"/>
        </c:manualLayout>
      </c:layout>
      <c:barChart>
        <c:barDir val="col"/>
        <c:grouping val="clustered"/>
        <c:varyColors val="0"/>
        <c:ser>
          <c:idx val="0"/>
          <c:order val="5"/>
          <c:tx>
            <c:strRef>
              <c:f>'Gráficos - Monografia'!$A$147</c:f>
              <c:strCache>
                <c:ptCount val="1"/>
                <c:pt idx="0">
                  <c:v>Fluxo de Caixa Operacional</c:v>
                </c:pt>
              </c:strCache>
            </c:strRef>
          </c:tx>
          <c:spPr>
            <a:solidFill>
              <a:schemeClr val="bg1">
                <a:lumMod val="95000"/>
              </a:schemeClr>
            </a:solidFill>
            <a:ln w="12700">
              <a:solidFill>
                <a:schemeClr val="tx1"/>
              </a:solidFill>
            </a:ln>
            <a:effectLst/>
          </c:spPr>
          <c:invertIfNegative val="0"/>
          <c:cat>
            <c:numRef>
              <c:extLst>
                <c:ext xmlns:c15="http://schemas.microsoft.com/office/drawing/2012/chart" uri="{02D57815-91ED-43cb-92C2-25804820EDAC}">
                  <c15:fullRef>
                    <c15:sqref>'Gráficos - Monografia'!$B$135:$AR$135</c15:sqref>
                  </c15:fullRef>
                </c:ext>
              </c:extLst>
              <c:f>('Gráficos - Monografia'!$B$135:$AG$135,'Gráficos - Monografia'!$AR$135)</c:f>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xmlns:c15="http://schemas.microsoft.com/office/drawing/2012/chart" uri="{02D57815-91ED-43cb-92C2-25804820EDAC}">
                  <c15:fullRef>
                    <c15:sqref>'Gráficos - Monografia'!$B$147:$AQ$147</c15:sqref>
                  </c15:fullRef>
                </c:ext>
              </c:extLst>
              <c:f>'Gráficos - Monografia'!$B$147:$AG$147</c:f>
              <c:numCache>
                <c:formatCode>#,##0</c:formatCode>
                <c:ptCount val="32"/>
                <c:pt idx="0">
                  <c:v>6976.5414029964832</c:v>
                </c:pt>
                <c:pt idx="1">
                  <c:v>9762.3805654179978</c:v>
                </c:pt>
                <c:pt idx="2">
                  <c:v>10357.367771150488</c:v>
                </c:pt>
                <c:pt idx="3">
                  <c:v>10581.015722521837</c:v>
                </c:pt>
                <c:pt idx="4">
                  <c:v>10290.345478296424</c:v>
                </c:pt>
                <c:pt idx="5">
                  <c:v>10033.747017374408</c:v>
                </c:pt>
                <c:pt idx="6">
                  <c:v>9466.2788398412195</c:v>
                </c:pt>
                <c:pt idx="7">
                  <c:v>8278.3980208372668</c:v>
                </c:pt>
                <c:pt idx="8">
                  <c:v>7237.9916945383693</c:v>
                </c:pt>
                <c:pt idx="9">
                  <c:v>6319.7872883882083</c:v>
                </c:pt>
                <c:pt idx="10">
                  <c:v>5678.846916666098</c:v>
                </c:pt>
                <c:pt idx="11">
                  <c:v>5025.3333587787311</c:v>
                </c:pt>
                <c:pt idx="12">
                  <c:v>4381.331273504501</c:v>
                </c:pt>
                <c:pt idx="13">
                  <c:v>3803.6337546913405</c:v>
                </c:pt>
                <c:pt idx="14">
                  <c:v>3413.1753451719551</c:v>
                </c:pt>
                <c:pt idx="15">
                  <c:v>3099.8109162156447</c:v>
                </c:pt>
                <c:pt idx="16">
                  <c:v>1970.3923155534958</c:v>
                </c:pt>
                <c:pt idx="17">
                  <c:v>2367.780740971838</c:v>
                </c:pt>
                <c:pt idx="18">
                  <c:v>2166.2820633746669</c:v>
                </c:pt>
                <c:pt idx="19">
                  <c:v>1985.5600921968467</c:v>
                </c:pt>
                <c:pt idx="20">
                  <c:v>1827.4805067135737</c:v>
                </c:pt>
                <c:pt idx="21">
                  <c:v>1686.4975844230596</c:v>
                </c:pt>
                <c:pt idx="22">
                  <c:v>1584.2226796870439</c:v>
                </c:pt>
                <c:pt idx="23">
                  <c:v>1522.7753714456178</c:v>
                </c:pt>
                <c:pt idx="24">
                  <c:v>1471.0105606343427</c:v>
                </c:pt>
                <c:pt idx="25">
                  <c:v>1407.9436349041109</c:v>
                </c:pt>
                <c:pt idx="26">
                  <c:v>1376.7510168371739</c:v>
                </c:pt>
                <c:pt idx="27">
                  <c:v>1247.7730144074699</c:v>
                </c:pt>
                <c:pt idx="28">
                  <c:v>905.45015002185664</c:v>
                </c:pt>
                <c:pt idx="29">
                  <c:v>-10869.625044523464</c:v>
                </c:pt>
                <c:pt idx="30">
                  <c:v>0</c:v>
                </c:pt>
                <c:pt idx="31">
                  <c:v>0</c:v>
                </c:pt>
              </c:numCache>
            </c:numRef>
          </c:val>
          <c:extLst>
            <c:ext xmlns:c16="http://schemas.microsoft.com/office/drawing/2014/chart" uri="{C3380CC4-5D6E-409C-BE32-E72D297353CC}">
              <c16:uniqueId val="{00000005-AD2F-4141-90B1-2447512DC664}"/>
            </c:ext>
          </c:extLst>
        </c:ser>
        <c:dLbls>
          <c:showLegendKey val="0"/>
          <c:showVal val="0"/>
          <c:showCatName val="0"/>
          <c:showSerName val="0"/>
          <c:showPercent val="0"/>
          <c:showBubbleSize val="0"/>
        </c:dLbls>
        <c:gapWidth val="150"/>
        <c:axId val="1340672367"/>
        <c:axId val="1199289631"/>
        <c:extLst>
          <c:ext xmlns:c15="http://schemas.microsoft.com/office/drawing/2012/chart" uri="{02D57815-91ED-43cb-92C2-25804820EDAC}">
            <c15:filteredBarSeries>
              <c15:ser>
                <c:idx val="2"/>
                <c:order val="0"/>
                <c:tx>
                  <c:strRef>
                    <c:extLst>
                      <c:ext uri="{02D57815-91ED-43cb-92C2-25804820EDAC}">
                        <c15:formulaRef>
                          <c15:sqref>'Gráficos - Monografia'!$A$144</c15:sqref>
                        </c15:formulaRef>
                      </c:ext>
                    </c:extLst>
                    <c:strCache>
                      <c:ptCount val="1"/>
                      <c:pt idx="0">
                        <c:v>Depreciação/Amortizações</c:v>
                      </c:pt>
                    </c:strCache>
                  </c:strRef>
                </c:tx>
                <c:spPr>
                  <a:solidFill>
                    <a:schemeClr val="accent3"/>
                  </a:solidFill>
                  <a:ln w="12700">
                    <a:solidFill>
                      <a:schemeClr val="tx1"/>
                    </a:solidFill>
                  </a:ln>
                  <a:effectLst/>
                </c:spPr>
                <c:invertIfNegative val="0"/>
                <c:cat>
                  <c:numRef>
                    <c:extLst>
                      <c:ext uri="{02D57815-91ED-43cb-92C2-25804820EDAC}">
                        <c15:fullRef>
                          <c15:sqref>'Gráficos - Monografia'!$B$135:$AR$135</c15:sqref>
                        </c15:fullRef>
                        <c15:formulaRef>
                          <c15:sqref>('Gráficos - Monografia'!$B$135:$AG$135,'Gráficos - Monografia'!$AR$135)</c15:sqref>
                        </c15:formulaRef>
                      </c:ext>
                    </c:extLst>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uri="{02D57815-91ED-43cb-92C2-25804820EDAC}">
                        <c15:fullRef>
                          <c15:sqref>'Gráficos - Monografia'!$B$144:$AQ$144</c15:sqref>
                        </c15:fullRef>
                        <c15:formulaRef>
                          <c15:sqref>'Gráficos - Monografia'!$B$144:$AG$144</c15:sqref>
                        </c15:formulaRef>
                      </c:ext>
                    </c:extLst>
                    <c:numCache>
                      <c:formatCode>#,##0</c:formatCode>
                      <c:ptCount val="32"/>
                      <c:pt idx="0">
                        <c:v>1596.9531915402797</c:v>
                      </c:pt>
                      <c:pt idx="1">
                        <c:v>1891.224984240544</c:v>
                      </c:pt>
                      <c:pt idx="2">
                        <c:v>2219.4582125376492</c:v>
                      </c:pt>
                      <c:pt idx="3">
                        <c:v>2392.3301476040915</c:v>
                      </c:pt>
                      <c:pt idx="4">
                        <c:v>2655.3508833659366</c:v>
                      </c:pt>
                      <c:pt idx="5">
                        <c:v>2587.6981410118365</c:v>
                      </c:pt>
                      <c:pt idx="6">
                        <c:v>2369.0125761991999</c:v>
                      </c:pt>
                      <c:pt idx="7">
                        <c:v>2064.7267952979869</c:v>
                      </c:pt>
                      <c:pt idx="8">
                        <c:v>1828.137374014656</c:v>
                      </c:pt>
                      <c:pt idx="9">
                        <c:v>1639.3550532193231</c:v>
                      </c:pt>
                      <c:pt idx="10">
                        <c:v>1457.6845995409428</c:v>
                      </c:pt>
                      <c:pt idx="11">
                        <c:v>1283.1199727102191</c:v>
                      </c:pt>
                      <c:pt idx="12">
                        <c:v>1140.9963347259759</c:v>
                      </c:pt>
                      <c:pt idx="13">
                        <c:v>1046.6193330039277</c:v>
                      </c:pt>
                      <c:pt idx="14">
                        <c:v>932.58941753807062</c:v>
                      </c:pt>
                      <c:pt idx="15">
                        <c:v>761.804332869164</c:v>
                      </c:pt>
                      <c:pt idx="16">
                        <c:v>696.69733130685336</c:v>
                      </c:pt>
                      <c:pt idx="17">
                        <c:v>643.18237575193064</c:v>
                      </c:pt>
                      <c:pt idx="18">
                        <c:v>595.39629467051498</c:v>
                      </c:pt>
                      <c:pt idx="19">
                        <c:v>564.35475797985077</c:v>
                      </c:pt>
                      <c:pt idx="20">
                        <c:v>528.54482289560906</c:v>
                      </c:pt>
                      <c:pt idx="21">
                        <c:v>521.83892808162614</c:v>
                      </c:pt>
                      <c:pt idx="22">
                        <c:v>528.27217103676367</c:v>
                      </c:pt>
                      <c:pt idx="23">
                        <c:v>547.8347497868856</c:v>
                      </c:pt>
                      <c:pt idx="24">
                        <c:v>553.6994209799501</c:v>
                      </c:pt>
                      <c:pt idx="25">
                        <c:v>603.08183312543747</c:v>
                      </c:pt>
                      <c:pt idx="26">
                        <c:v>717.3235814515607</c:v>
                      </c:pt>
                      <c:pt idx="27">
                        <c:v>453.47301428149234</c:v>
                      </c:pt>
                      <c:pt idx="28">
                        <c:v>10.173088515200186</c:v>
                      </c:pt>
                      <c:pt idx="29">
                        <c:v>0</c:v>
                      </c:pt>
                      <c:pt idx="30">
                        <c:v>0</c:v>
                      </c:pt>
                      <c:pt idx="31">
                        <c:v>0</c:v>
                      </c:pt>
                    </c:numCache>
                  </c:numRef>
                </c:val>
                <c:extLst>
                  <c:ext xmlns:c16="http://schemas.microsoft.com/office/drawing/2014/chart" uri="{C3380CC4-5D6E-409C-BE32-E72D297353CC}">
                    <c16:uniqueId val="{00000000-AD2F-4141-90B1-2447512DC664}"/>
                  </c:ext>
                </c:extLst>
              </c15:ser>
            </c15:filteredBarSeries>
            <c15:filteredBarSeries>
              <c15:ser>
                <c:idx val="3"/>
                <c:order val="1"/>
                <c:tx>
                  <c:strRef>
                    <c:extLst xmlns:c15="http://schemas.microsoft.com/office/drawing/2012/chart">
                      <c:ext xmlns:c15="http://schemas.microsoft.com/office/drawing/2012/chart" uri="{02D57815-91ED-43cb-92C2-25804820EDAC}">
                        <c15:formulaRef>
                          <c15:sqref>'Gráficos - Monografia'!$A$145</c15:sqref>
                        </c15:formulaRef>
                      </c:ext>
                    </c:extLst>
                    <c:strCache>
                      <c:ptCount val="1"/>
                      <c:pt idx="0">
                        <c:v>Abandono</c:v>
                      </c:pt>
                    </c:strCache>
                  </c:strRef>
                </c:tx>
                <c:spPr>
                  <a:solidFill>
                    <a:schemeClr val="accent4"/>
                  </a:solidFill>
                  <a:ln w="12700">
                    <a:solidFill>
                      <a:schemeClr val="tx1"/>
                    </a:solidFill>
                  </a:ln>
                  <a:effectLst/>
                </c:spPr>
                <c:invertIfNegative val="0"/>
                <c:cat>
                  <c:numRef>
                    <c:extLst>
                      <c:ext xmlns:c15="http://schemas.microsoft.com/office/drawing/2012/chart" uri="{02D57815-91ED-43cb-92C2-25804820EDAC}">
                        <c15:fullRef>
                          <c15:sqref>'Gráficos - Monografia'!$B$135:$AR$135</c15:sqref>
                        </c15:fullRef>
                        <c15:formulaRef>
                          <c15:sqref>('Gráficos - Monografia'!$B$135:$AG$135,'Gráficos - Monografia'!$AR$135)</c15:sqref>
                        </c15:formulaRef>
                      </c:ext>
                    </c:extLst>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xmlns:c15="http://schemas.microsoft.com/office/drawing/2012/chart" uri="{02D57815-91ED-43cb-92C2-25804820EDAC}">
                        <c15:fullRef>
                          <c15:sqref>'Gráficos - Monografia'!$B$145:$AQ$145</c15:sqref>
                        </c15:fullRef>
                        <c15:formulaRef>
                          <c15:sqref>'Gráficos - Monografia'!$B$145:$AG$145</c15:sqref>
                        </c15:formulaRef>
                      </c:ext>
                    </c:extLst>
                    <c:numCache>
                      <c:formatCode>#,##0</c:formatCode>
                      <c:ptCount val="32"/>
                      <c:pt idx="0">
                        <c:v>-57.710249999999988</c:v>
                      </c:pt>
                      <c:pt idx="1">
                        <c:v>-58.866841799999989</c:v>
                      </c:pt>
                      <c:pt idx="2">
                        <c:v>-121.7268</c:v>
                      </c:pt>
                      <c:pt idx="3">
                        <c:v>0</c:v>
                      </c:pt>
                      <c:pt idx="4">
                        <c:v>-64.588726987199991</c:v>
                      </c:pt>
                      <c:pt idx="5">
                        <c:v>-66.526388796815993</c:v>
                      </c:pt>
                      <c:pt idx="6">
                        <c:v>0</c:v>
                      </c:pt>
                      <c:pt idx="7">
                        <c:v>0</c:v>
                      </c:pt>
                      <c:pt idx="8">
                        <c:v>0</c:v>
                      </c:pt>
                      <c:pt idx="9">
                        <c:v>0</c:v>
                      </c:pt>
                      <c:pt idx="10">
                        <c:v>0</c:v>
                      </c:pt>
                      <c:pt idx="11">
                        <c:v>0</c:v>
                      </c:pt>
                      <c:pt idx="12">
                        <c:v>0</c:v>
                      </c:pt>
                      <c:pt idx="13">
                        <c:v>0</c:v>
                      </c:pt>
                      <c:pt idx="14">
                        <c:v>0</c:v>
                      </c:pt>
                      <c:pt idx="15">
                        <c:v>0</c:v>
                      </c:pt>
                      <c:pt idx="16">
                        <c:v>-732.7692572934875</c:v>
                      </c:pt>
                      <c:pt idx="17">
                        <c:v>0</c:v>
                      </c:pt>
                      <c:pt idx="18">
                        <c:v>0</c:v>
                      </c:pt>
                      <c:pt idx="19">
                        <c:v>0</c:v>
                      </c:pt>
                      <c:pt idx="20">
                        <c:v>0</c:v>
                      </c:pt>
                      <c:pt idx="21">
                        <c:v>0</c:v>
                      </c:pt>
                      <c:pt idx="22">
                        <c:v>0</c:v>
                      </c:pt>
                      <c:pt idx="23">
                        <c:v>0</c:v>
                      </c:pt>
                      <c:pt idx="24">
                        <c:v>0</c:v>
                      </c:pt>
                      <c:pt idx="25">
                        <c:v>0</c:v>
                      </c:pt>
                      <c:pt idx="26">
                        <c:v>0</c:v>
                      </c:pt>
                      <c:pt idx="27">
                        <c:v>0</c:v>
                      </c:pt>
                      <c:pt idx="28">
                        <c:v>0</c:v>
                      </c:pt>
                      <c:pt idx="29">
                        <c:v>-10869.625044523464</c:v>
                      </c:pt>
                      <c:pt idx="30">
                        <c:v>0</c:v>
                      </c:pt>
                      <c:pt idx="31">
                        <c:v>0</c:v>
                      </c:pt>
                    </c:numCache>
                  </c:numRef>
                </c:val>
                <c:extLst xmlns:c15="http://schemas.microsoft.com/office/drawing/2012/chart">
                  <c:ext xmlns:c16="http://schemas.microsoft.com/office/drawing/2014/chart" uri="{C3380CC4-5D6E-409C-BE32-E72D297353CC}">
                    <c16:uniqueId val="{00000001-AD2F-4141-90B1-2447512DC664}"/>
                  </c:ext>
                </c:extLst>
              </c15:ser>
            </c15:filteredBarSeries>
            <c15:filteredBarSeries>
              <c15:ser>
                <c:idx val="4"/>
                <c:order val="2"/>
                <c:tx>
                  <c:strRef>
                    <c:extLst xmlns:c15="http://schemas.microsoft.com/office/drawing/2012/chart">
                      <c:ext xmlns:c15="http://schemas.microsoft.com/office/drawing/2012/chart" uri="{02D57815-91ED-43cb-92C2-25804820EDAC}">
                        <c15:formulaRef>
                          <c15:sqref>'Gráficos - Monografia'!$A$146</c15:sqref>
                        </c15:formulaRef>
                      </c:ext>
                    </c:extLst>
                    <c:strCache>
                      <c:ptCount val="1"/>
                      <c:pt idx="0">
                        <c:v>Variação do Capital de Giro</c:v>
                      </c:pt>
                    </c:strCache>
                  </c:strRef>
                </c:tx>
                <c:spPr>
                  <a:solidFill>
                    <a:schemeClr val="accent5"/>
                  </a:solidFill>
                  <a:ln w="12700">
                    <a:solidFill>
                      <a:schemeClr val="tx1"/>
                    </a:solidFill>
                  </a:ln>
                  <a:effectLst/>
                </c:spPr>
                <c:invertIfNegative val="0"/>
                <c:cat>
                  <c:numRef>
                    <c:extLst>
                      <c:ext xmlns:c15="http://schemas.microsoft.com/office/drawing/2012/chart" uri="{02D57815-91ED-43cb-92C2-25804820EDAC}">
                        <c15:fullRef>
                          <c15:sqref>'Gráficos - Monografia'!$B$135:$AR$135</c15:sqref>
                        </c15:fullRef>
                        <c15:formulaRef>
                          <c15:sqref>('Gráficos - Monografia'!$B$135:$AG$135,'Gráficos - Monografia'!$AR$135)</c15:sqref>
                        </c15:formulaRef>
                      </c:ext>
                    </c:extLst>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xmlns:c15="http://schemas.microsoft.com/office/drawing/2012/chart" uri="{02D57815-91ED-43cb-92C2-25804820EDAC}">
                        <c15:fullRef>
                          <c15:sqref>'Gráficos - Monografia'!$B$146:$AQ$146</c15:sqref>
                        </c15:fullRef>
                        <c15:formulaRef>
                          <c15:sqref>'Gráficos - Monografia'!$B$146:$AG$146</c15:sqref>
                        </c15:formulaRef>
                      </c:ext>
                    </c:extLst>
                    <c:numCache>
                      <c:formatCode>#,##0</c:formatCode>
                      <c:ptCount val="32"/>
                      <c:pt idx="0">
                        <c:v>-1082.6085989700173</c:v>
                      </c:pt>
                      <c:pt idx="1">
                        <c:v>-580.48134218906705</c:v>
                      </c:pt>
                      <c:pt idx="2">
                        <c:v>34.394185195168482</c:v>
                      </c:pt>
                      <c:pt idx="3">
                        <c:v>-15.756499500703532</c:v>
                      </c:pt>
                      <c:pt idx="4">
                        <c:v>200.52097917740372</c:v>
                      </c:pt>
                      <c:pt idx="5">
                        <c:v>13.530800975340419</c:v>
                      </c:pt>
                      <c:pt idx="6">
                        <c:v>287.95682717192636</c:v>
                      </c:pt>
                      <c:pt idx="7">
                        <c:v>403.67556671605769</c:v>
                      </c:pt>
                      <c:pt idx="8">
                        <c:v>244.38426108784438</c:v>
                      </c:pt>
                      <c:pt idx="9">
                        <c:v>196.66342060175981</c:v>
                      </c:pt>
                      <c:pt idx="10">
                        <c:v>168.45813702328411</c:v>
                      </c:pt>
                      <c:pt idx="11">
                        <c:v>171.85625586552359</c:v>
                      </c:pt>
                      <c:pt idx="12">
                        <c:v>176.06042563267403</c:v>
                      </c:pt>
                      <c:pt idx="13">
                        <c:v>147.34130428998614</c:v>
                      </c:pt>
                      <c:pt idx="14">
                        <c:v>107.73225064288185</c:v>
                      </c:pt>
                      <c:pt idx="15">
                        <c:v>82.225582530084878</c:v>
                      </c:pt>
                      <c:pt idx="16">
                        <c:v>189.31420478327701</c:v>
                      </c:pt>
                      <c:pt idx="17">
                        <c:v>78.444894486394475</c:v>
                      </c:pt>
                      <c:pt idx="18">
                        <c:v>69.787769434820163</c:v>
                      </c:pt>
                      <c:pt idx="19">
                        <c:v>65.991442436840728</c:v>
                      </c:pt>
                      <c:pt idx="20">
                        <c:v>51.827280256567349</c:v>
                      </c:pt>
                      <c:pt idx="21">
                        <c:v>56.934347450671602</c:v>
                      </c:pt>
                      <c:pt idx="22">
                        <c:v>32.785039290965969</c:v>
                      </c:pt>
                      <c:pt idx="23">
                        <c:v>25.605301720787015</c:v>
                      </c:pt>
                      <c:pt idx="24">
                        <c:v>22.200317614023195</c:v>
                      </c:pt>
                      <c:pt idx="25">
                        <c:v>39.563841039256481</c:v>
                      </c:pt>
                      <c:pt idx="26">
                        <c:v>22.550319884034952</c:v>
                      </c:pt>
                      <c:pt idx="27">
                        <c:v>14.216320325330628</c:v>
                      </c:pt>
                      <c:pt idx="28">
                        <c:v>118.81697771128709</c:v>
                      </c:pt>
                      <c:pt idx="29">
                        <c:v>0</c:v>
                      </c:pt>
                      <c:pt idx="30">
                        <c:v>0</c:v>
                      </c:pt>
                      <c:pt idx="31">
                        <c:v>0</c:v>
                      </c:pt>
                    </c:numCache>
                  </c:numRef>
                </c:val>
                <c:extLst xmlns:c15="http://schemas.microsoft.com/office/drawing/2012/chart">
                  <c:ext xmlns:c16="http://schemas.microsoft.com/office/drawing/2014/chart" uri="{C3380CC4-5D6E-409C-BE32-E72D297353CC}">
                    <c16:uniqueId val="{00000002-AD2F-4141-90B1-2447512DC664}"/>
                  </c:ext>
                </c:extLst>
              </c15:ser>
            </c15:filteredBarSeries>
            <c15:filteredBarSeries>
              <c15:ser>
                <c:idx val="5"/>
                <c:order val="3"/>
                <c:tx>
                  <c:strRef>
                    <c:extLst xmlns:c15="http://schemas.microsoft.com/office/drawing/2012/chart">
                      <c:ext xmlns:c15="http://schemas.microsoft.com/office/drawing/2012/chart" uri="{02D57815-91ED-43cb-92C2-25804820EDAC}">
                        <c15:formulaRef>
                          <c15:sqref>'Gráficos - Monografia'!$A$149</c15:sqref>
                        </c15:formulaRef>
                      </c:ext>
                    </c:extLst>
                    <c:strCache>
                      <c:ptCount val="1"/>
                      <c:pt idx="0">
                        <c:v>Variação da Dívida Líquida</c:v>
                      </c:pt>
                    </c:strCache>
                  </c:strRef>
                </c:tx>
                <c:spPr>
                  <a:solidFill>
                    <a:schemeClr val="accent6"/>
                  </a:solidFill>
                  <a:ln w="12700">
                    <a:solidFill>
                      <a:schemeClr val="tx1"/>
                    </a:solidFill>
                  </a:ln>
                  <a:effectLst/>
                </c:spPr>
                <c:invertIfNegative val="0"/>
                <c:cat>
                  <c:numRef>
                    <c:extLst>
                      <c:ext xmlns:c15="http://schemas.microsoft.com/office/drawing/2012/chart" uri="{02D57815-91ED-43cb-92C2-25804820EDAC}">
                        <c15:fullRef>
                          <c15:sqref>'Gráficos - Monografia'!$B$135:$AR$135</c15:sqref>
                        </c15:fullRef>
                        <c15:formulaRef>
                          <c15:sqref>('Gráficos - Monografia'!$B$135:$AG$135,'Gráficos - Monografia'!$AR$135)</c15:sqref>
                        </c15:formulaRef>
                      </c:ext>
                    </c:extLst>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xmlns:c15="http://schemas.microsoft.com/office/drawing/2012/chart" uri="{02D57815-91ED-43cb-92C2-25804820EDAC}">
                        <c15:fullRef>
                          <c15:sqref>'Gráficos - Monografia'!$B$149:$AQ$149</c15:sqref>
                        </c15:fullRef>
                        <c15:formulaRef>
                          <c15:sqref>'Gráficos - Monografia'!$B$149:$AG$149</c15:sqref>
                        </c15:formulaRef>
                      </c:ext>
                    </c:extLst>
                    <c:numCache>
                      <c:formatCode>#,##0</c:formatCode>
                      <c:ptCount val="32"/>
                      <c:pt idx="0">
                        <c:v>-2927.860289411361</c:v>
                      </c:pt>
                      <c:pt idx="1">
                        <c:v>-2358.6130355949017</c:v>
                      </c:pt>
                      <c:pt idx="2">
                        <c:v>-3249.675955458556</c:v>
                      </c:pt>
                      <c:pt idx="3">
                        <c:v>-905.21040074048778</c:v>
                      </c:pt>
                      <c:pt idx="4">
                        <c:v>-756.65530500743444</c:v>
                      </c:pt>
                      <c:pt idx="5">
                        <c:v>-57.008682623194545</c:v>
                      </c:pt>
                      <c:pt idx="6">
                        <c:v>455.04675059220978</c:v>
                      </c:pt>
                      <c:pt idx="7">
                        <c:v>684.51553455207568</c:v>
                      </c:pt>
                      <c:pt idx="8">
                        <c:v>443.35238758296373</c:v>
                      </c:pt>
                      <c:pt idx="9">
                        <c:v>361.26329089177534</c:v>
                      </c:pt>
                      <c:pt idx="10">
                        <c:v>302.41855638163361</c:v>
                      </c:pt>
                      <c:pt idx="11">
                        <c:v>307.09470968286951</c:v>
                      </c:pt>
                      <c:pt idx="12">
                        <c:v>309.77288108693756</c:v>
                      </c:pt>
                      <c:pt idx="13">
                        <c:v>264.2283705540558</c:v>
                      </c:pt>
                      <c:pt idx="14">
                        <c:v>189.96973478251289</c:v>
                      </c:pt>
                      <c:pt idx="15">
                        <c:v>163.81290479372024</c:v>
                      </c:pt>
                      <c:pt idx="16">
                        <c:v>323.08614049065204</c:v>
                      </c:pt>
                      <c:pt idx="17">
                        <c:v>135.81312809331598</c:v>
                      </c:pt>
                      <c:pt idx="18">
                        <c:v>119.15926273211358</c:v>
                      </c:pt>
                      <c:pt idx="19">
                        <c:v>112.71271725237602</c:v>
                      </c:pt>
                      <c:pt idx="20">
                        <c:v>87.207043441012843</c:v>
                      </c:pt>
                      <c:pt idx="21">
                        <c:v>98.541218488193522</c:v>
                      </c:pt>
                      <c:pt idx="22">
                        <c:v>55.90015799925186</c:v>
                      </c:pt>
                      <c:pt idx="23">
                        <c:v>43.643323182323911</c:v>
                      </c:pt>
                      <c:pt idx="24">
                        <c:v>36.801225964688228</c:v>
                      </c:pt>
                      <c:pt idx="25">
                        <c:v>68.462703586833186</c:v>
                      </c:pt>
                      <c:pt idx="26">
                        <c:v>38.611285564778086</c:v>
                      </c:pt>
                      <c:pt idx="27">
                        <c:v>24.373898111109156</c:v>
                      </c:pt>
                      <c:pt idx="28">
                        <c:v>202.19606585288761</c:v>
                      </c:pt>
                      <c:pt idx="29">
                        <c:v>0</c:v>
                      </c:pt>
                      <c:pt idx="30">
                        <c:v>0</c:v>
                      </c:pt>
                      <c:pt idx="31">
                        <c:v>0</c:v>
                      </c:pt>
                    </c:numCache>
                  </c:numRef>
                </c:val>
                <c:extLst xmlns:c15="http://schemas.microsoft.com/office/drawing/2012/chart">
                  <c:ext xmlns:c16="http://schemas.microsoft.com/office/drawing/2014/chart" uri="{C3380CC4-5D6E-409C-BE32-E72D297353CC}">
                    <c16:uniqueId val="{00000003-AD2F-4141-90B1-2447512DC664}"/>
                  </c:ext>
                </c:extLst>
              </c15:ser>
            </c15:filteredBarSeries>
            <c15:filteredBarSeries>
              <c15:ser>
                <c:idx val="6"/>
                <c:order val="4"/>
                <c:tx>
                  <c:strRef>
                    <c:extLst xmlns:c15="http://schemas.microsoft.com/office/drawing/2012/chart">
                      <c:ext xmlns:c15="http://schemas.microsoft.com/office/drawing/2012/chart" uri="{02D57815-91ED-43cb-92C2-25804820EDAC}">
                        <c15:formulaRef>
                          <c15:sqref>'Gráficos - Monografia'!$A$151</c15:sqref>
                        </c15:formulaRef>
                      </c:ext>
                    </c:extLst>
                    <c:strCache>
                      <c:ptCount val="1"/>
                      <c:pt idx="0">
                        <c:v>Fluxo de Caixa dos Acionistas</c:v>
                      </c:pt>
                    </c:strCache>
                  </c:strRef>
                </c:tx>
                <c:spPr>
                  <a:solidFill>
                    <a:schemeClr val="accent1">
                      <a:lumMod val="60000"/>
                    </a:schemeClr>
                  </a:solidFill>
                  <a:ln w="12700">
                    <a:solidFill>
                      <a:schemeClr val="tx1"/>
                    </a:solidFill>
                  </a:ln>
                  <a:effectLst/>
                </c:spPr>
                <c:invertIfNegative val="0"/>
                <c:cat>
                  <c:numRef>
                    <c:extLst>
                      <c:ext xmlns:c15="http://schemas.microsoft.com/office/drawing/2012/chart" uri="{02D57815-91ED-43cb-92C2-25804820EDAC}">
                        <c15:fullRef>
                          <c15:sqref>'Gráficos - Monografia'!$B$135:$AR$135</c15:sqref>
                        </c15:fullRef>
                        <c15:formulaRef>
                          <c15:sqref>('Gráficos - Monografia'!$B$135:$AG$135,'Gráficos - Monografia'!$AR$135)</c15:sqref>
                        </c15:formulaRef>
                      </c:ext>
                    </c:extLst>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xmlns:c15="http://schemas.microsoft.com/office/drawing/2012/chart" uri="{02D57815-91ED-43cb-92C2-25804820EDAC}">
                        <c15:fullRef>
                          <c15:sqref>'Gráficos - Monografia'!$B$151:$AQ$151</c15:sqref>
                        </c15:fullRef>
                        <c15:formulaRef>
                          <c15:sqref>'Gráficos - Monografia'!$B$151:$AG$151</c15:sqref>
                        </c15:formulaRef>
                      </c:ext>
                    </c:extLst>
                    <c:numCache>
                      <c:formatCode>#,##0</c:formatCode>
                      <c:ptCount val="32"/>
                      <c:pt idx="0">
                        <c:v>2028.778064069922</c:v>
                      </c:pt>
                      <c:pt idx="1">
                        <c:v>5389.4066413078954</c:v>
                      </c:pt>
                      <c:pt idx="2">
                        <c:v>5475.0390644567315</c:v>
                      </c:pt>
                      <c:pt idx="3">
                        <c:v>8046.28666110215</c:v>
                      </c:pt>
                      <c:pt idx="4">
                        <c:v>8213.4534465247816</c:v>
                      </c:pt>
                      <c:pt idx="5">
                        <c:v>8602.779961917422</c:v>
                      </c:pt>
                      <c:pt idx="6">
                        <c:v>9676.2561246602309</c:v>
                      </c:pt>
                      <c:pt idx="7">
                        <c:v>8710.8032305929228</c:v>
                      </c:pt>
                      <c:pt idx="8">
                        <c:v>7421.9694269731226</c:v>
                      </c:pt>
                      <c:pt idx="9">
                        <c:v>6414.2062767940388</c:v>
                      </c:pt>
                      <c:pt idx="10">
                        <c:v>5706.7144424915714</c:v>
                      </c:pt>
                      <c:pt idx="11">
                        <c:v>5049.9524890448365</c:v>
                      </c:pt>
                      <c:pt idx="12">
                        <c:v>4400.4525073649838</c:v>
                      </c:pt>
                      <c:pt idx="13">
                        <c:v>3880.4478885544186</c:v>
                      </c:pt>
                      <c:pt idx="14">
                        <c:v>3410.4061898568389</c:v>
                      </c:pt>
                      <c:pt idx="15">
                        <c:v>3065.415598394482</c:v>
                      </c:pt>
                      <c:pt idx="16">
                        <c:v>2089.6213086301491</c:v>
                      </c:pt>
                      <c:pt idx="17">
                        <c:v>2293.9343067836007</c:v>
                      </c:pt>
                      <c:pt idx="18">
                        <c:v>2069.7888195058449</c:v>
                      </c:pt>
                      <c:pt idx="19">
                        <c:v>1876.4645209152984</c:v>
                      </c:pt>
                      <c:pt idx="20">
                        <c:v>1686.5213469922296</c:v>
                      </c:pt>
                      <c:pt idx="21">
                        <c:v>1550.3419306961887</c:v>
                      </c:pt>
                      <c:pt idx="22">
                        <c:v>1398.680853841927</c:v>
                      </c:pt>
                      <c:pt idx="23">
                        <c:v>1318.0483239855555</c:v>
                      </c:pt>
                      <c:pt idx="24">
                        <c:v>1252.2855270291159</c:v>
                      </c:pt>
                      <c:pt idx="25">
                        <c:v>1213.5297533670123</c:v>
                      </c:pt>
                      <c:pt idx="26">
                        <c:v>1405.189213886752</c:v>
                      </c:pt>
                      <c:pt idx="27">
                        <c:v>1261.9738240033789</c:v>
                      </c:pt>
                      <c:pt idx="28">
                        <c:v>1097.4731273595439</c:v>
                      </c:pt>
                      <c:pt idx="29">
                        <c:v>-10869.625044523464</c:v>
                      </c:pt>
                      <c:pt idx="30">
                        <c:v>0</c:v>
                      </c:pt>
                      <c:pt idx="31">
                        <c:v>0</c:v>
                      </c:pt>
                    </c:numCache>
                  </c:numRef>
                </c:val>
                <c:extLst xmlns:c15="http://schemas.microsoft.com/office/drawing/2012/chart">
                  <c:ext xmlns:c16="http://schemas.microsoft.com/office/drawing/2014/chart" uri="{C3380CC4-5D6E-409C-BE32-E72D297353CC}">
                    <c16:uniqueId val="{00000004-AD2F-4141-90B1-2447512DC664}"/>
                  </c:ext>
                </c:extLst>
              </c15:ser>
            </c15:filteredBarSeries>
          </c:ext>
        </c:extLst>
      </c:barChart>
      <c:catAx>
        <c:axId val="1340672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199289631"/>
        <c:crosses val="autoZero"/>
        <c:auto val="1"/>
        <c:lblAlgn val="ctr"/>
        <c:lblOffset val="100"/>
        <c:noMultiLvlLbl val="0"/>
      </c:catAx>
      <c:valAx>
        <c:axId val="11992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Milhões de Reais</a:t>
                </a:r>
                <a:r>
                  <a:rPr lang="pt-BR" baseline="0"/>
                  <a:t> (R$ mi)</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340672367"/>
        <c:crosses val="autoZero"/>
        <c:crossBetween val="between"/>
      </c:valAx>
      <c:spPr>
        <a:noFill/>
        <a:ln>
          <a:solidFill>
            <a:schemeClr val="bg1">
              <a:lumMod val="85000"/>
            </a:schemeClr>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93451773189967E-2"/>
          <c:y val="1.8605191561050706E-2"/>
          <c:w val="0.90468312406895079"/>
          <c:h val="0.75687811277605788"/>
        </c:manualLayout>
      </c:layout>
      <c:barChart>
        <c:barDir val="col"/>
        <c:grouping val="clustered"/>
        <c:varyColors val="0"/>
        <c:ser>
          <c:idx val="6"/>
          <c:order val="4"/>
          <c:tx>
            <c:strRef>
              <c:f>'Gráficos - Monografia'!$A$151</c:f>
              <c:strCache>
                <c:ptCount val="1"/>
                <c:pt idx="0">
                  <c:v>Fluxo de Caixa dos Acionistas</c:v>
                </c:pt>
              </c:strCache>
              <c:extLst xmlns:c15="http://schemas.microsoft.com/office/drawing/2012/chart"/>
            </c:strRef>
          </c:tx>
          <c:spPr>
            <a:solidFill>
              <a:schemeClr val="bg1">
                <a:lumMod val="85000"/>
              </a:schemeClr>
            </a:solidFill>
            <a:ln w="12700">
              <a:solidFill>
                <a:schemeClr val="tx1"/>
              </a:solidFill>
            </a:ln>
            <a:effectLst/>
          </c:spPr>
          <c:invertIfNegative val="0"/>
          <c:cat>
            <c:numRef>
              <c:extLst>
                <c:ext xmlns:c15="http://schemas.microsoft.com/office/drawing/2012/chart" uri="{02D57815-91ED-43cb-92C2-25804820EDAC}">
                  <c15:fullRef>
                    <c15:sqref>'Gráficos - Monografia'!$B$135:$AR$135</c15:sqref>
                  </c15:fullRef>
                </c:ext>
              </c:extLst>
              <c:f>('Gráficos - Monografia'!$B$135:$AG$135,'Gráficos - Monografia'!$AR$135)</c:f>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xmlns:c15="http://schemas.microsoft.com/office/drawing/2012/chart" uri="{02D57815-91ED-43cb-92C2-25804820EDAC}">
                  <c15:fullRef>
                    <c15:sqref>'Gráficos - Monografia'!$B$151:$AQ$151</c15:sqref>
                  </c15:fullRef>
                </c:ext>
              </c:extLst>
              <c:f>'Gráficos - Monografia'!$B$151:$AG$151</c:f>
              <c:numCache>
                <c:formatCode>#,##0</c:formatCode>
                <c:ptCount val="32"/>
                <c:pt idx="0">
                  <c:v>2028.778064069922</c:v>
                </c:pt>
                <c:pt idx="1">
                  <c:v>5389.4066413078954</c:v>
                </c:pt>
                <c:pt idx="2">
                  <c:v>5475.0390644567315</c:v>
                </c:pt>
                <c:pt idx="3">
                  <c:v>8046.28666110215</c:v>
                </c:pt>
                <c:pt idx="4">
                  <c:v>8213.4534465247816</c:v>
                </c:pt>
                <c:pt idx="5">
                  <c:v>8602.779961917422</c:v>
                </c:pt>
                <c:pt idx="6">
                  <c:v>9676.2561246602309</c:v>
                </c:pt>
                <c:pt idx="7">
                  <c:v>8710.8032305929228</c:v>
                </c:pt>
                <c:pt idx="8">
                  <c:v>7421.9694269731226</c:v>
                </c:pt>
                <c:pt idx="9">
                  <c:v>6414.2062767940388</c:v>
                </c:pt>
                <c:pt idx="10">
                  <c:v>5706.7144424915714</c:v>
                </c:pt>
                <c:pt idx="11">
                  <c:v>5049.9524890448365</c:v>
                </c:pt>
                <c:pt idx="12">
                  <c:v>4400.4525073649838</c:v>
                </c:pt>
                <c:pt idx="13">
                  <c:v>3880.4478885544186</c:v>
                </c:pt>
                <c:pt idx="14">
                  <c:v>3410.4061898568389</c:v>
                </c:pt>
                <c:pt idx="15">
                  <c:v>3065.415598394482</c:v>
                </c:pt>
                <c:pt idx="16">
                  <c:v>2089.6213086301491</c:v>
                </c:pt>
                <c:pt idx="17">
                  <c:v>2293.9343067836007</c:v>
                </c:pt>
                <c:pt idx="18">
                  <c:v>2069.7888195058449</c:v>
                </c:pt>
                <c:pt idx="19">
                  <c:v>1876.4645209152984</c:v>
                </c:pt>
                <c:pt idx="20">
                  <c:v>1686.5213469922296</c:v>
                </c:pt>
                <c:pt idx="21">
                  <c:v>1550.3419306961887</c:v>
                </c:pt>
                <c:pt idx="22">
                  <c:v>1398.680853841927</c:v>
                </c:pt>
                <c:pt idx="23">
                  <c:v>1318.0483239855555</c:v>
                </c:pt>
                <c:pt idx="24">
                  <c:v>1252.2855270291159</c:v>
                </c:pt>
                <c:pt idx="25">
                  <c:v>1213.5297533670123</c:v>
                </c:pt>
                <c:pt idx="26">
                  <c:v>1405.189213886752</c:v>
                </c:pt>
                <c:pt idx="27">
                  <c:v>1261.9738240033789</c:v>
                </c:pt>
                <c:pt idx="28">
                  <c:v>1097.4731273595439</c:v>
                </c:pt>
                <c:pt idx="29">
                  <c:v>-10869.625044523464</c:v>
                </c:pt>
                <c:pt idx="30">
                  <c:v>0</c:v>
                </c:pt>
                <c:pt idx="31">
                  <c:v>0</c:v>
                </c:pt>
              </c:numCache>
            </c:numRef>
          </c:val>
          <c:extLst xmlns:c15="http://schemas.microsoft.com/office/drawing/2012/chart">
            <c:ext xmlns:c16="http://schemas.microsoft.com/office/drawing/2014/chart" uri="{C3380CC4-5D6E-409C-BE32-E72D297353CC}">
              <c16:uniqueId val="{00000005-60F6-436A-9F0C-0D88CB35F0FF}"/>
            </c:ext>
          </c:extLst>
        </c:ser>
        <c:dLbls>
          <c:showLegendKey val="0"/>
          <c:showVal val="0"/>
          <c:showCatName val="0"/>
          <c:showSerName val="0"/>
          <c:showPercent val="0"/>
          <c:showBubbleSize val="0"/>
        </c:dLbls>
        <c:gapWidth val="150"/>
        <c:axId val="1340672367"/>
        <c:axId val="1199289631"/>
        <c:extLst>
          <c:ext xmlns:c15="http://schemas.microsoft.com/office/drawing/2012/chart" uri="{02D57815-91ED-43cb-92C2-25804820EDAC}">
            <c15:filteredBarSeries>
              <c15:ser>
                <c:idx val="2"/>
                <c:order val="0"/>
                <c:tx>
                  <c:strRef>
                    <c:extLst>
                      <c:ext uri="{02D57815-91ED-43cb-92C2-25804820EDAC}">
                        <c15:formulaRef>
                          <c15:sqref>'Gráficos - Monografia'!$A$144</c15:sqref>
                        </c15:formulaRef>
                      </c:ext>
                    </c:extLst>
                    <c:strCache>
                      <c:ptCount val="1"/>
                      <c:pt idx="0">
                        <c:v>Depreciação/Amortizações</c:v>
                      </c:pt>
                    </c:strCache>
                  </c:strRef>
                </c:tx>
                <c:spPr>
                  <a:solidFill>
                    <a:schemeClr val="accent3"/>
                  </a:solidFill>
                  <a:ln w="12700">
                    <a:solidFill>
                      <a:schemeClr val="tx1"/>
                    </a:solidFill>
                  </a:ln>
                  <a:effectLst/>
                </c:spPr>
                <c:invertIfNegative val="0"/>
                <c:cat>
                  <c:numRef>
                    <c:extLst>
                      <c:ext uri="{02D57815-91ED-43cb-92C2-25804820EDAC}">
                        <c15:fullRef>
                          <c15:sqref>'Gráficos - Monografia'!$B$135:$AR$135</c15:sqref>
                        </c15:fullRef>
                        <c15:formulaRef>
                          <c15:sqref>('Gráficos - Monografia'!$B$135:$AG$135,'Gráficos - Monografia'!$AR$135)</c15:sqref>
                        </c15:formulaRef>
                      </c:ext>
                    </c:extLst>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uri="{02D57815-91ED-43cb-92C2-25804820EDAC}">
                        <c15:fullRef>
                          <c15:sqref>'Gráficos - Monografia'!$B$144:$AQ$144</c15:sqref>
                        </c15:fullRef>
                        <c15:formulaRef>
                          <c15:sqref>'Gráficos - Monografia'!$B$144:$AG$144</c15:sqref>
                        </c15:formulaRef>
                      </c:ext>
                    </c:extLst>
                    <c:numCache>
                      <c:formatCode>#,##0</c:formatCode>
                      <c:ptCount val="32"/>
                      <c:pt idx="0">
                        <c:v>1596.9531915402797</c:v>
                      </c:pt>
                      <c:pt idx="1">
                        <c:v>1891.224984240544</c:v>
                      </c:pt>
                      <c:pt idx="2">
                        <c:v>2219.4582125376492</c:v>
                      </c:pt>
                      <c:pt idx="3">
                        <c:v>2392.3301476040915</c:v>
                      </c:pt>
                      <c:pt idx="4">
                        <c:v>2655.3508833659366</c:v>
                      </c:pt>
                      <c:pt idx="5">
                        <c:v>2587.6981410118365</c:v>
                      </c:pt>
                      <c:pt idx="6">
                        <c:v>2369.0125761991999</c:v>
                      </c:pt>
                      <c:pt idx="7">
                        <c:v>2064.7267952979869</c:v>
                      </c:pt>
                      <c:pt idx="8">
                        <c:v>1828.137374014656</c:v>
                      </c:pt>
                      <c:pt idx="9">
                        <c:v>1639.3550532193231</c:v>
                      </c:pt>
                      <c:pt idx="10">
                        <c:v>1457.6845995409428</c:v>
                      </c:pt>
                      <c:pt idx="11">
                        <c:v>1283.1199727102191</c:v>
                      </c:pt>
                      <c:pt idx="12">
                        <c:v>1140.9963347259759</c:v>
                      </c:pt>
                      <c:pt idx="13">
                        <c:v>1046.6193330039277</c:v>
                      </c:pt>
                      <c:pt idx="14">
                        <c:v>932.58941753807062</c:v>
                      </c:pt>
                      <c:pt idx="15">
                        <c:v>761.804332869164</c:v>
                      </c:pt>
                      <c:pt idx="16">
                        <c:v>696.69733130685336</c:v>
                      </c:pt>
                      <c:pt idx="17">
                        <c:v>643.18237575193064</c:v>
                      </c:pt>
                      <c:pt idx="18">
                        <c:v>595.39629467051498</c:v>
                      </c:pt>
                      <c:pt idx="19">
                        <c:v>564.35475797985077</c:v>
                      </c:pt>
                      <c:pt idx="20">
                        <c:v>528.54482289560906</c:v>
                      </c:pt>
                      <c:pt idx="21">
                        <c:v>521.83892808162614</c:v>
                      </c:pt>
                      <c:pt idx="22">
                        <c:v>528.27217103676367</c:v>
                      </c:pt>
                      <c:pt idx="23">
                        <c:v>547.8347497868856</c:v>
                      </c:pt>
                      <c:pt idx="24">
                        <c:v>553.6994209799501</c:v>
                      </c:pt>
                      <c:pt idx="25">
                        <c:v>603.08183312543747</c:v>
                      </c:pt>
                      <c:pt idx="26">
                        <c:v>717.3235814515607</c:v>
                      </c:pt>
                      <c:pt idx="27">
                        <c:v>453.47301428149234</c:v>
                      </c:pt>
                      <c:pt idx="28">
                        <c:v>10.173088515200186</c:v>
                      </c:pt>
                      <c:pt idx="29">
                        <c:v>0</c:v>
                      </c:pt>
                      <c:pt idx="30">
                        <c:v>0</c:v>
                      </c:pt>
                      <c:pt idx="31">
                        <c:v>0</c:v>
                      </c:pt>
                    </c:numCache>
                  </c:numRef>
                </c:val>
                <c:extLst>
                  <c:ext xmlns:c16="http://schemas.microsoft.com/office/drawing/2014/chart" uri="{C3380CC4-5D6E-409C-BE32-E72D297353CC}">
                    <c16:uniqueId val="{00000001-60F6-436A-9F0C-0D88CB35F0FF}"/>
                  </c:ext>
                </c:extLst>
              </c15:ser>
            </c15:filteredBarSeries>
            <c15:filteredBarSeries>
              <c15:ser>
                <c:idx val="3"/>
                <c:order val="1"/>
                <c:tx>
                  <c:strRef>
                    <c:extLst xmlns:c15="http://schemas.microsoft.com/office/drawing/2012/chart">
                      <c:ext xmlns:c15="http://schemas.microsoft.com/office/drawing/2012/chart" uri="{02D57815-91ED-43cb-92C2-25804820EDAC}">
                        <c15:formulaRef>
                          <c15:sqref>'Gráficos - Monografia'!$A$145</c15:sqref>
                        </c15:formulaRef>
                      </c:ext>
                    </c:extLst>
                    <c:strCache>
                      <c:ptCount val="1"/>
                      <c:pt idx="0">
                        <c:v>Abandono</c:v>
                      </c:pt>
                    </c:strCache>
                  </c:strRef>
                </c:tx>
                <c:spPr>
                  <a:solidFill>
                    <a:schemeClr val="accent4"/>
                  </a:solidFill>
                  <a:ln w="12700">
                    <a:solidFill>
                      <a:schemeClr val="tx1"/>
                    </a:solidFill>
                  </a:ln>
                  <a:effectLst/>
                </c:spPr>
                <c:invertIfNegative val="0"/>
                <c:cat>
                  <c:numRef>
                    <c:extLst>
                      <c:ext xmlns:c15="http://schemas.microsoft.com/office/drawing/2012/chart" uri="{02D57815-91ED-43cb-92C2-25804820EDAC}">
                        <c15:fullRef>
                          <c15:sqref>'Gráficos - Monografia'!$B$135:$AR$135</c15:sqref>
                        </c15:fullRef>
                        <c15:formulaRef>
                          <c15:sqref>('Gráficos - Monografia'!$B$135:$AG$135,'Gráficos - Monografia'!$AR$135)</c15:sqref>
                        </c15:formulaRef>
                      </c:ext>
                    </c:extLst>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xmlns:c15="http://schemas.microsoft.com/office/drawing/2012/chart" uri="{02D57815-91ED-43cb-92C2-25804820EDAC}">
                        <c15:fullRef>
                          <c15:sqref>'Gráficos - Monografia'!$B$145:$AQ$145</c15:sqref>
                        </c15:fullRef>
                        <c15:formulaRef>
                          <c15:sqref>'Gráficos - Monografia'!$B$145:$AG$145</c15:sqref>
                        </c15:formulaRef>
                      </c:ext>
                    </c:extLst>
                    <c:numCache>
                      <c:formatCode>#,##0</c:formatCode>
                      <c:ptCount val="32"/>
                      <c:pt idx="0">
                        <c:v>-57.710249999999988</c:v>
                      </c:pt>
                      <c:pt idx="1">
                        <c:v>-58.866841799999989</c:v>
                      </c:pt>
                      <c:pt idx="2">
                        <c:v>-121.7268</c:v>
                      </c:pt>
                      <c:pt idx="3">
                        <c:v>0</c:v>
                      </c:pt>
                      <c:pt idx="4">
                        <c:v>-64.588726987199991</c:v>
                      </c:pt>
                      <c:pt idx="5">
                        <c:v>-66.526388796815993</c:v>
                      </c:pt>
                      <c:pt idx="6">
                        <c:v>0</c:v>
                      </c:pt>
                      <c:pt idx="7">
                        <c:v>0</c:v>
                      </c:pt>
                      <c:pt idx="8">
                        <c:v>0</c:v>
                      </c:pt>
                      <c:pt idx="9">
                        <c:v>0</c:v>
                      </c:pt>
                      <c:pt idx="10">
                        <c:v>0</c:v>
                      </c:pt>
                      <c:pt idx="11">
                        <c:v>0</c:v>
                      </c:pt>
                      <c:pt idx="12">
                        <c:v>0</c:v>
                      </c:pt>
                      <c:pt idx="13">
                        <c:v>0</c:v>
                      </c:pt>
                      <c:pt idx="14">
                        <c:v>0</c:v>
                      </c:pt>
                      <c:pt idx="15">
                        <c:v>0</c:v>
                      </c:pt>
                      <c:pt idx="16">
                        <c:v>-732.7692572934875</c:v>
                      </c:pt>
                      <c:pt idx="17">
                        <c:v>0</c:v>
                      </c:pt>
                      <c:pt idx="18">
                        <c:v>0</c:v>
                      </c:pt>
                      <c:pt idx="19">
                        <c:v>0</c:v>
                      </c:pt>
                      <c:pt idx="20">
                        <c:v>0</c:v>
                      </c:pt>
                      <c:pt idx="21">
                        <c:v>0</c:v>
                      </c:pt>
                      <c:pt idx="22">
                        <c:v>0</c:v>
                      </c:pt>
                      <c:pt idx="23">
                        <c:v>0</c:v>
                      </c:pt>
                      <c:pt idx="24">
                        <c:v>0</c:v>
                      </c:pt>
                      <c:pt idx="25">
                        <c:v>0</c:v>
                      </c:pt>
                      <c:pt idx="26">
                        <c:v>0</c:v>
                      </c:pt>
                      <c:pt idx="27">
                        <c:v>0</c:v>
                      </c:pt>
                      <c:pt idx="28">
                        <c:v>0</c:v>
                      </c:pt>
                      <c:pt idx="29">
                        <c:v>-10869.625044523464</c:v>
                      </c:pt>
                      <c:pt idx="30">
                        <c:v>0</c:v>
                      </c:pt>
                      <c:pt idx="31">
                        <c:v>0</c:v>
                      </c:pt>
                    </c:numCache>
                  </c:numRef>
                </c:val>
                <c:extLst xmlns:c15="http://schemas.microsoft.com/office/drawing/2012/chart">
                  <c:ext xmlns:c16="http://schemas.microsoft.com/office/drawing/2014/chart" uri="{C3380CC4-5D6E-409C-BE32-E72D297353CC}">
                    <c16:uniqueId val="{00000002-60F6-436A-9F0C-0D88CB35F0FF}"/>
                  </c:ext>
                </c:extLst>
              </c15:ser>
            </c15:filteredBarSeries>
            <c15:filteredBarSeries>
              <c15:ser>
                <c:idx val="4"/>
                <c:order val="2"/>
                <c:tx>
                  <c:strRef>
                    <c:extLst xmlns:c15="http://schemas.microsoft.com/office/drawing/2012/chart">
                      <c:ext xmlns:c15="http://schemas.microsoft.com/office/drawing/2012/chart" uri="{02D57815-91ED-43cb-92C2-25804820EDAC}">
                        <c15:formulaRef>
                          <c15:sqref>'Gráficos - Monografia'!$A$146</c15:sqref>
                        </c15:formulaRef>
                      </c:ext>
                    </c:extLst>
                    <c:strCache>
                      <c:ptCount val="1"/>
                      <c:pt idx="0">
                        <c:v>Variação do Capital de Giro</c:v>
                      </c:pt>
                    </c:strCache>
                  </c:strRef>
                </c:tx>
                <c:spPr>
                  <a:solidFill>
                    <a:schemeClr val="accent5"/>
                  </a:solidFill>
                  <a:ln w="12700">
                    <a:solidFill>
                      <a:schemeClr val="tx1"/>
                    </a:solidFill>
                  </a:ln>
                  <a:effectLst/>
                </c:spPr>
                <c:invertIfNegative val="0"/>
                <c:cat>
                  <c:numRef>
                    <c:extLst>
                      <c:ext xmlns:c15="http://schemas.microsoft.com/office/drawing/2012/chart" uri="{02D57815-91ED-43cb-92C2-25804820EDAC}">
                        <c15:fullRef>
                          <c15:sqref>'Gráficos - Monografia'!$B$135:$AR$135</c15:sqref>
                        </c15:fullRef>
                        <c15:formulaRef>
                          <c15:sqref>('Gráficos - Monografia'!$B$135:$AG$135,'Gráficos - Monografia'!$AR$135)</c15:sqref>
                        </c15:formulaRef>
                      </c:ext>
                    </c:extLst>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xmlns:c15="http://schemas.microsoft.com/office/drawing/2012/chart" uri="{02D57815-91ED-43cb-92C2-25804820EDAC}">
                        <c15:fullRef>
                          <c15:sqref>'Gráficos - Monografia'!$B$146:$AQ$146</c15:sqref>
                        </c15:fullRef>
                        <c15:formulaRef>
                          <c15:sqref>'Gráficos - Monografia'!$B$146:$AG$146</c15:sqref>
                        </c15:formulaRef>
                      </c:ext>
                    </c:extLst>
                    <c:numCache>
                      <c:formatCode>#,##0</c:formatCode>
                      <c:ptCount val="32"/>
                      <c:pt idx="0">
                        <c:v>-1082.6085989700173</c:v>
                      </c:pt>
                      <c:pt idx="1">
                        <c:v>-580.48134218906705</c:v>
                      </c:pt>
                      <c:pt idx="2">
                        <c:v>34.394185195168482</c:v>
                      </c:pt>
                      <c:pt idx="3">
                        <c:v>-15.756499500703532</c:v>
                      </c:pt>
                      <c:pt idx="4">
                        <c:v>200.52097917740372</c:v>
                      </c:pt>
                      <c:pt idx="5">
                        <c:v>13.530800975340419</c:v>
                      </c:pt>
                      <c:pt idx="6">
                        <c:v>287.95682717192636</c:v>
                      </c:pt>
                      <c:pt idx="7">
                        <c:v>403.67556671605769</c:v>
                      </c:pt>
                      <c:pt idx="8">
                        <c:v>244.38426108784438</c:v>
                      </c:pt>
                      <c:pt idx="9">
                        <c:v>196.66342060175981</c:v>
                      </c:pt>
                      <c:pt idx="10">
                        <c:v>168.45813702328411</c:v>
                      </c:pt>
                      <c:pt idx="11">
                        <c:v>171.85625586552359</c:v>
                      </c:pt>
                      <c:pt idx="12">
                        <c:v>176.06042563267403</c:v>
                      </c:pt>
                      <c:pt idx="13">
                        <c:v>147.34130428998614</c:v>
                      </c:pt>
                      <c:pt idx="14">
                        <c:v>107.73225064288185</c:v>
                      </c:pt>
                      <c:pt idx="15">
                        <c:v>82.225582530084878</c:v>
                      </c:pt>
                      <c:pt idx="16">
                        <c:v>189.31420478327701</c:v>
                      </c:pt>
                      <c:pt idx="17">
                        <c:v>78.444894486394475</c:v>
                      </c:pt>
                      <c:pt idx="18">
                        <c:v>69.787769434820163</c:v>
                      </c:pt>
                      <c:pt idx="19">
                        <c:v>65.991442436840728</c:v>
                      </c:pt>
                      <c:pt idx="20">
                        <c:v>51.827280256567349</c:v>
                      </c:pt>
                      <c:pt idx="21">
                        <c:v>56.934347450671602</c:v>
                      </c:pt>
                      <c:pt idx="22">
                        <c:v>32.785039290965969</c:v>
                      </c:pt>
                      <c:pt idx="23">
                        <c:v>25.605301720787015</c:v>
                      </c:pt>
                      <c:pt idx="24">
                        <c:v>22.200317614023195</c:v>
                      </c:pt>
                      <c:pt idx="25">
                        <c:v>39.563841039256481</c:v>
                      </c:pt>
                      <c:pt idx="26">
                        <c:v>22.550319884034952</c:v>
                      </c:pt>
                      <c:pt idx="27">
                        <c:v>14.216320325330628</c:v>
                      </c:pt>
                      <c:pt idx="28">
                        <c:v>118.81697771128709</c:v>
                      </c:pt>
                      <c:pt idx="29">
                        <c:v>0</c:v>
                      </c:pt>
                      <c:pt idx="30">
                        <c:v>0</c:v>
                      </c:pt>
                      <c:pt idx="31">
                        <c:v>0</c:v>
                      </c:pt>
                    </c:numCache>
                  </c:numRef>
                </c:val>
                <c:extLst xmlns:c15="http://schemas.microsoft.com/office/drawing/2012/chart">
                  <c:ext xmlns:c16="http://schemas.microsoft.com/office/drawing/2014/chart" uri="{C3380CC4-5D6E-409C-BE32-E72D297353CC}">
                    <c16:uniqueId val="{00000003-60F6-436A-9F0C-0D88CB35F0FF}"/>
                  </c:ext>
                </c:extLst>
              </c15:ser>
            </c15:filteredBarSeries>
            <c15:filteredBarSeries>
              <c15:ser>
                <c:idx val="5"/>
                <c:order val="3"/>
                <c:tx>
                  <c:strRef>
                    <c:extLst xmlns:c15="http://schemas.microsoft.com/office/drawing/2012/chart">
                      <c:ext xmlns:c15="http://schemas.microsoft.com/office/drawing/2012/chart" uri="{02D57815-91ED-43cb-92C2-25804820EDAC}">
                        <c15:formulaRef>
                          <c15:sqref>'Gráficos - Monografia'!$A$149</c15:sqref>
                        </c15:formulaRef>
                      </c:ext>
                    </c:extLst>
                    <c:strCache>
                      <c:ptCount val="1"/>
                      <c:pt idx="0">
                        <c:v>Variação da Dívida Líquida</c:v>
                      </c:pt>
                    </c:strCache>
                  </c:strRef>
                </c:tx>
                <c:spPr>
                  <a:solidFill>
                    <a:schemeClr val="accent6"/>
                  </a:solidFill>
                  <a:ln w="12700">
                    <a:solidFill>
                      <a:schemeClr val="tx1"/>
                    </a:solidFill>
                  </a:ln>
                  <a:effectLst/>
                </c:spPr>
                <c:invertIfNegative val="0"/>
                <c:cat>
                  <c:numRef>
                    <c:extLst>
                      <c:ext xmlns:c15="http://schemas.microsoft.com/office/drawing/2012/chart" uri="{02D57815-91ED-43cb-92C2-25804820EDAC}">
                        <c15:fullRef>
                          <c15:sqref>'Gráficos - Monografia'!$B$135:$AR$135</c15:sqref>
                        </c15:fullRef>
                        <c15:formulaRef>
                          <c15:sqref>('Gráficos - Monografia'!$B$135:$AG$135,'Gráficos - Monografia'!$AR$135)</c15:sqref>
                        </c15:formulaRef>
                      </c:ext>
                    </c:extLst>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xmlns:c15="http://schemas.microsoft.com/office/drawing/2012/chart" uri="{02D57815-91ED-43cb-92C2-25804820EDAC}">
                        <c15:fullRef>
                          <c15:sqref>'Gráficos - Monografia'!$B$149:$AQ$149</c15:sqref>
                        </c15:fullRef>
                        <c15:formulaRef>
                          <c15:sqref>'Gráficos - Monografia'!$B$149:$AG$149</c15:sqref>
                        </c15:formulaRef>
                      </c:ext>
                    </c:extLst>
                    <c:numCache>
                      <c:formatCode>#,##0</c:formatCode>
                      <c:ptCount val="32"/>
                      <c:pt idx="0">
                        <c:v>-2927.860289411361</c:v>
                      </c:pt>
                      <c:pt idx="1">
                        <c:v>-2358.6130355949017</c:v>
                      </c:pt>
                      <c:pt idx="2">
                        <c:v>-3249.675955458556</c:v>
                      </c:pt>
                      <c:pt idx="3">
                        <c:v>-905.21040074048778</c:v>
                      </c:pt>
                      <c:pt idx="4">
                        <c:v>-756.65530500743444</c:v>
                      </c:pt>
                      <c:pt idx="5">
                        <c:v>-57.008682623194545</c:v>
                      </c:pt>
                      <c:pt idx="6">
                        <c:v>455.04675059220978</c:v>
                      </c:pt>
                      <c:pt idx="7">
                        <c:v>684.51553455207568</c:v>
                      </c:pt>
                      <c:pt idx="8">
                        <c:v>443.35238758296373</c:v>
                      </c:pt>
                      <c:pt idx="9">
                        <c:v>361.26329089177534</c:v>
                      </c:pt>
                      <c:pt idx="10">
                        <c:v>302.41855638163361</c:v>
                      </c:pt>
                      <c:pt idx="11">
                        <c:v>307.09470968286951</c:v>
                      </c:pt>
                      <c:pt idx="12">
                        <c:v>309.77288108693756</c:v>
                      </c:pt>
                      <c:pt idx="13">
                        <c:v>264.2283705540558</c:v>
                      </c:pt>
                      <c:pt idx="14">
                        <c:v>189.96973478251289</c:v>
                      </c:pt>
                      <c:pt idx="15">
                        <c:v>163.81290479372024</c:v>
                      </c:pt>
                      <c:pt idx="16">
                        <c:v>323.08614049065204</c:v>
                      </c:pt>
                      <c:pt idx="17">
                        <c:v>135.81312809331598</c:v>
                      </c:pt>
                      <c:pt idx="18">
                        <c:v>119.15926273211358</c:v>
                      </c:pt>
                      <c:pt idx="19">
                        <c:v>112.71271725237602</c:v>
                      </c:pt>
                      <c:pt idx="20">
                        <c:v>87.207043441012843</c:v>
                      </c:pt>
                      <c:pt idx="21">
                        <c:v>98.541218488193522</c:v>
                      </c:pt>
                      <c:pt idx="22">
                        <c:v>55.90015799925186</c:v>
                      </c:pt>
                      <c:pt idx="23">
                        <c:v>43.643323182323911</c:v>
                      </c:pt>
                      <c:pt idx="24">
                        <c:v>36.801225964688228</c:v>
                      </c:pt>
                      <c:pt idx="25">
                        <c:v>68.462703586833186</c:v>
                      </c:pt>
                      <c:pt idx="26">
                        <c:v>38.611285564778086</c:v>
                      </c:pt>
                      <c:pt idx="27">
                        <c:v>24.373898111109156</c:v>
                      </c:pt>
                      <c:pt idx="28">
                        <c:v>202.19606585288761</c:v>
                      </c:pt>
                      <c:pt idx="29">
                        <c:v>0</c:v>
                      </c:pt>
                      <c:pt idx="30">
                        <c:v>0</c:v>
                      </c:pt>
                      <c:pt idx="31">
                        <c:v>0</c:v>
                      </c:pt>
                    </c:numCache>
                  </c:numRef>
                </c:val>
                <c:extLst xmlns:c15="http://schemas.microsoft.com/office/drawing/2012/chart">
                  <c:ext xmlns:c16="http://schemas.microsoft.com/office/drawing/2014/chart" uri="{C3380CC4-5D6E-409C-BE32-E72D297353CC}">
                    <c16:uniqueId val="{00000004-60F6-436A-9F0C-0D88CB35F0FF}"/>
                  </c:ext>
                </c:extLst>
              </c15:ser>
            </c15:filteredBarSeries>
            <c15:filteredBarSeries>
              <c15:ser>
                <c:idx val="0"/>
                <c:order val="5"/>
                <c:tx>
                  <c:strRef>
                    <c:extLst xmlns:c15="http://schemas.microsoft.com/office/drawing/2012/chart">
                      <c:ext xmlns:c15="http://schemas.microsoft.com/office/drawing/2012/chart" uri="{02D57815-91ED-43cb-92C2-25804820EDAC}">
                        <c15:formulaRef>
                          <c15:sqref>'Gráficos - Monografia'!$A$147</c15:sqref>
                        </c15:formulaRef>
                      </c:ext>
                    </c:extLst>
                    <c:strCache>
                      <c:ptCount val="1"/>
                      <c:pt idx="0">
                        <c:v>Fluxo de Caixa Operacional</c:v>
                      </c:pt>
                    </c:strCache>
                  </c:strRef>
                </c:tx>
                <c:spPr>
                  <a:solidFill>
                    <a:schemeClr val="bg1">
                      <a:lumMod val="95000"/>
                    </a:schemeClr>
                  </a:solidFill>
                  <a:ln w="12700">
                    <a:solidFill>
                      <a:schemeClr val="tx1"/>
                    </a:solidFill>
                  </a:ln>
                  <a:effectLst/>
                </c:spPr>
                <c:invertIfNegative val="0"/>
                <c:cat>
                  <c:numRef>
                    <c:extLst>
                      <c:ext xmlns:c15="http://schemas.microsoft.com/office/drawing/2012/chart" uri="{02D57815-91ED-43cb-92C2-25804820EDAC}">
                        <c15:fullRef>
                          <c15:sqref>'Gráficos - Monografia'!$B$135:$AR$135</c15:sqref>
                        </c15:fullRef>
                        <c15:formulaRef>
                          <c15:sqref>('Gráficos - Monografia'!$B$135:$AG$135,'Gráficos - Monografia'!$AR$135)</c15:sqref>
                        </c15:formulaRef>
                      </c:ext>
                    </c:extLst>
                    <c:numCache>
                      <c:formatCode>General</c:formatCod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2066</c:v>
                      </c:pt>
                    </c:numCache>
                  </c:numRef>
                </c:cat>
                <c:val>
                  <c:numRef>
                    <c:extLst>
                      <c:ext xmlns:c15="http://schemas.microsoft.com/office/drawing/2012/chart" uri="{02D57815-91ED-43cb-92C2-25804820EDAC}">
                        <c15:fullRef>
                          <c15:sqref>'Gráficos - Monografia'!$B$147:$AQ$147</c15:sqref>
                        </c15:fullRef>
                        <c15:formulaRef>
                          <c15:sqref>'Gráficos - Monografia'!$B$147:$AG$147</c15:sqref>
                        </c15:formulaRef>
                      </c:ext>
                    </c:extLst>
                    <c:numCache>
                      <c:formatCode>#,##0</c:formatCode>
                      <c:ptCount val="32"/>
                      <c:pt idx="0">
                        <c:v>6976.5414029964832</c:v>
                      </c:pt>
                      <c:pt idx="1">
                        <c:v>9762.3805654179978</c:v>
                      </c:pt>
                      <c:pt idx="2">
                        <c:v>10357.367771150488</c:v>
                      </c:pt>
                      <c:pt idx="3">
                        <c:v>10581.015722521837</c:v>
                      </c:pt>
                      <c:pt idx="4">
                        <c:v>10290.345478296424</c:v>
                      </c:pt>
                      <c:pt idx="5">
                        <c:v>10033.747017374408</c:v>
                      </c:pt>
                      <c:pt idx="6">
                        <c:v>9466.2788398412195</c:v>
                      </c:pt>
                      <c:pt idx="7">
                        <c:v>8278.3980208372668</c:v>
                      </c:pt>
                      <c:pt idx="8">
                        <c:v>7237.9916945383693</c:v>
                      </c:pt>
                      <c:pt idx="9">
                        <c:v>6319.7872883882083</c:v>
                      </c:pt>
                      <c:pt idx="10">
                        <c:v>5678.846916666098</c:v>
                      </c:pt>
                      <c:pt idx="11">
                        <c:v>5025.3333587787311</c:v>
                      </c:pt>
                      <c:pt idx="12">
                        <c:v>4381.331273504501</c:v>
                      </c:pt>
                      <c:pt idx="13">
                        <c:v>3803.6337546913405</c:v>
                      </c:pt>
                      <c:pt idx="14">
                        <c:v>3413.1753451719551</c:v>
                      </c:pt>
                      <c:pt idx="15">
                        <c:v>3099.8109162156447</c:v>
                      </c:pt>
                      <c:pt idx="16">
                        <c:v>1970.3923155534958</c:v>
                      </c:pt>
                      <c:pt idx="17">
                        <c:v>2367.780740971838</c:v>
                      </c:pt>
                      <c:pt idx="18">
                        <c:v>2166.2820633746669</c:v>
                      </c:pt>
                      <c:pt idx="19">
                        <c:v>1985.5600921968467</c:v>
                      </c:pt>
                      <c:pt idx="20">
                        <c:v>1827.4805067135737</c:v>
                      </c:pt>
                      <c:pt idx="21">
                        <c:v>1686.4975844230596</c:v>
                      </c:pt>
                      <c:pt idx="22">
                        <c:v>1584.2226796870439</c:v>
                      </c:pt>
                      <c:pt idx="23">
                        <c:v>1522.7753714456178</c:v>
                      </c:pt>
                      <c:pt idx="24">
                        <c:v>1471.0105606343427</c:v>
                      </c:pt>
                      <c:pt idx="25">
                        <c:v>1407.9436349041109</c:v>
                      </c:pt>
                      <c:pt idx="26">
                        <c:v>1376.7510168371739</c:v>
                      </c:pt>
                      <c:pt idx="27">
                        <c:v>1247.7730144074699</c:v>
                      </c:pt>
                      <c:pt idx="28">
                        <c:v>905.45015002185664</c:v>
                      </c:pt>
                      <c:pt idx="29">
                        <c:v>-10869.625044523464</c:v>
                      </c:pt>
                      <c:pt idx="30">
                        <c:v>0</c:v>
                      </c:pt>
                      <c:pt idx="31">
                        <c:v>0</c:v>
                      </c:pt>
                    </c:numCache>
                  </c:numRef>
                </c:val>
                <c:extLst xmlns:c15="http://schemas.microsoft.com/office/drawing/2012/chart">
                  <c:ext xmlns:c16="http://schemas.microsoft.com/office/drawing/2014/chart" uri="{C3380CC4-5D6E-409C-BE32-E72D297353CC}">
                    <c16:uniqueId val="{00000000-60F6-436A-9F0C-0D88CB35F0FF}"/>
                  </c:ext>
                </c:extLst>
              </c15:ser>
            </c15:filteredBarSeries>
          </c:ext>
        </c:extLst>
      </c:barChart>
      <c:catAx>
        <c:axId val="1340672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199289631"/>
        <c:crosses val="autoZero"/>
        <c:auto val="1"/>
        <c:lblAlgn val="ctr"/>
        <c:lblOffset val="100"/>
        <c:noMultiLvlLbl val="0"/>
      </c:catAx>
      <c:valAx>
        <c:axId val="11992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Milhões de Reais</a:t>
                </a:r>
                <a:r>
                  <a:rPr lang="pt-BR" baseline="0"/>
                  <a:t> (R$ mi)</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340672367"/>
        <c:crosses val="autoZero"/>
        <c:crossBetween val="between"/>
      </c:valAx>
      <c:spPr>
        <a:noFill/>
        <a:ln>
          <a:solidFill>
            <a:schemeClr val="bg1">
              <a:lumMod val="85000"/>
            </a:schemeClr>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57708740651323"/>
          <c:y val="3.3587980968573933E-2"/>
          <c:w val="0.79447342630302509"/>
          <c:h val="0.71795813343495396"/>
        </c:manualLayout>
      </c:layout>
      <c:barChart>
        <c:barDir val="col"/>
        <c:grouping val="clustered"/>
        <c:varyColors val="0"/>
        <c:ser>
          <c:idx val="2"/>
          <c:order val="1"/>
          <c:tx>
            <c:strRef>
              <c:f>'Avaliação e Simulações'!$A$14</c:f>
              <c:strCache>
                <c:ptCount val="1"/>
                <c:pt idx="0">
                  <c:v>Beta Alavancado</c:v>
                </c:pt>
              </c:strCache>
            </c:strRef>
          </c:tx>
          <c:spPr>
            <a:solidFill>
              <a:schemeClr val="bg1">
                <a:lumMod val="85000"/>
              </a:schemeClr>
            </a:solidFill>
            <a:ln>
              <a:solidFill>
                <a:schemeClr val="tx1"/>
              </a:solidFill>
            </a:ln>
            <a:effectLst/>
          </c:spPr>
          <c:invertIfNegative val="0"/>
          <c:cat>
            <c:strRef>
              <c:extLst>
                <c:ext xmlns:c15="http://schemas.microsoft.com/office/drawing/2012/chart" uri="{02D57815-91ED-43cb-92C2-25804820EDAC}">
                  <c15:fullRef>
                    <c15:sqref>'Avaliação e Simulações'!$B$1:$AU$1</c15:sqref>
                  </c15:fullRef>
                </c:ext>
              </c:extLst>
              <c:f>'Avaliação e Simulações'!$E$1:$AK$1</c:f>
              <c:strCach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strCache>
            </c:strRef>
          </c:cat>
          <c:val>
            <c:numRef>
              <c:extLst>
                <c:ext xmlns:c15="http://schemas.microsoft.com/office/drawing/2012/chart" uri="{02D57815-91ED-43cb-92C2-25804820EDAC}">
                  <c15:fullRef>
                    <c15:sqref>'Avaliação e Simulações'!$B$14:$AU$14</c15:sqref>
                  </c15:fullRef>
                </c:ext>
              </c:extLst>
              <c:f>'Avaliação e Simulações'!$E$14:$AK$14</c:f>
              <c:numCache>
                <c:formatCode>General</c:formatCode>
                <c:ptCount val="33"/>
                <c:pt idx="0" formatCode="#,##0.00">
                  <c:v>1.3211446375959874</c:v>
                </c:pt>
                <c:pt idx="1" formatCode="#,##0.00">
                  <c:v>1.2455517907635743</c:v>
                </c:pt>
                <c:pt idx="2" formatCode="#,##0.00">
                  <c:v>1.138883916589569</c:v>
                </c:pt>
                <c:pt idx="3" formatCode="#,##0.00">
                  <c:v>1.117060341891265</c:v>
                </c:pt>
                <c:pt idx="4" formatCode="#,##0.00">
                  <c:v>1.0900000000000001</c:v>
                </c:pt>
                <c:pt idx="5" formatCode="#,##0.00">
                  <c:v>1.0900000000000001</c:v>
                </c:pt>
                <c:pt idx="6" formatCode="#,##0.00">
                  <c:v>1.0900000000000001</c:v>
                </c:pt>
                <c:pt idx="7" formatCode="#,##0.00">
                  <c:v>1.0900000000000001</c:v>
                </c:pt>
                <c:pt idx="8" formatCode="#,##0.00">
                  <c:v>1.0900000000000001</c:v>
                </c:pt>
                <c:pt idx="9" formatCode="#,##0.00">
                  <c:v>1.0900000000000001</c:v>
                </c:pt>
                <c:pt idx="10" formatCode="#,##0.00">
                  <c:v>1.0900000000000001</c:v>
                </c:pt>
                <c:pt idx="11" formatCode="#,##0.00">
                  <c:v>1.0900000000000001</c:v>
                </c:pt>
                <c:pt idx="12" formatCode="#,##0.00">
                  <c:v>1.0900000000000001</c:v>
                </c:pt>
                <c:pt idx="13" formatCode="#,##0.00">
                  <c:v>1.0900000000000001</c:v>
                </c:pt>
                <c:pt idx="14" formatCode="#,##0.00">
                  <c:v>1.0900000000000001</c:v>
                </c:pt>
                <c:pt idx="15" formatCode="#,##0.00">
                  <c:v>1.0900000000000001</c:v>
                </c:pt>
                <c:pt idx="16" formatCode="#,##0.00">
                  <c:v>1.0900000000000001</c:v>
                </c:pt>
                <c:pt idx="17" formatCode="#,##0.00">
                  <c:v>1.0900000000000001</c:v>
                </c:pt>
                <c:pt idx="18" formatCode="#,##0.00">
                  <c:v>1.0900000000000001</c:v>
                </c:pt>
                <c:pt idx="19" formatCode="#,##0.00">
                  <c:v>1.0900000000000001</c:v>
                </c:pt>
                <c:pt idx="20" formatCode="#,##0.00">
                  <c:v>1.0900000000000001</c:v>
                </c:pt>
                <c:pt idx="21" formatCode="#,##0.00">
                  <c:v>1.0900000000000001</c:v>
                </c:pt>
                <c:pt idx="22" formatCode="#,##0.00">
                  <c:v>1.0900000000000001</c:v>
                </c:pt>
                <c:pt idx="23" formatCode="#,##0.00">
                  <c:v>1.0900000000000001</c:v>
                </c:pt>
                <c:pt idx="24" formatCode="#,##0.00">
                  <c:v>1.0900000000000001</c:v>
                </c:pt>
                <c:pt idx="25" formatCode="#,##0.00">
                  <c:v>1.0900000000000001</c:v>
                </c:pt>
                <c:pt idx="26" formatCode="#,##0.00">
                  <c:v>1.0900000000000001</c:v>
                </c:pt>
                <c:pt idx="27" formatCode="#,##0.00">
                  <c:v>1.0900000000000001</c:v>
                </c:pt>
                <c:pt idx="28" formatCode="#,##0.00">
                  <c:v>1.0900000000000001</c:v>
                </c:pt>
                <c:pt idx="29" formatCode="#,##0.00">
                  <c:v>1.0900000000000001</c:v>
                </c:pt>
                <c:pt idx="30" formatCode="#,##0.00">
                  <c:v>1.0900000000000001</c:v>
                </c:pt>
                <c:pt idx="31" formatCode="#,##0.00">
                  <c:v>1.0900000000000001</c:v>
                </c:pt>
                <c:pt idx="32" formatCode="#,##0.00">
                  <c:v>1.0900000000000001</c:v>
                </c:pt>
              </c:numCache>
            </c:numRef>
          </c:val>
          <c:extLst>
            <c:ext xmlns:c16="http://schemas.microsoft.com/office/drawing/2014/chart" uri="{C3380CC4-5D6E-409C-BE32-E72D297353CC}">
              <c16:uniqueId val="{00000002-261A-459F-AFD2-4C3C585405CC}"/>
            </c:ext>
          </c:extLst>
        </c:ser>
        <c:dLbls>
          <c:showLegendKey val="0"/>
          <c:showVal val="0"/>
          <c:showCatName val="0"/>
          <c:showSerName val="0"/>
          <c:showPercent val="0"/>
          <c:showBubbleSize val="0"/>
        </c:dLbls>
        <c:gapWidth val="150"/>
        <c:axId val="967774863"/>
        <c:axId val="833582175"/>
      </c:barChart>
      <c:lineChart>
        <c:grouping val="standard"/>
        <c:varyColors val="0"/>
        <c:ser>
          <c:idx val="1"/>
          <c:order val="0"/>
          <c:tx>
            <c:strRef>
              <c:f>'Avaliação e Simulações'!$A$16</c:f>
              <c:strCache>
                <c:ptCount val="1"/>
                <c:pt idx="0">
                  <c:v>D/E Ratio</c:v>
                </c:pt>
              </c:strCache>
            </c:strRef>
          </c:tx>
          <c:spPr>
            <a:ln w="19050" cap="rnd">
              <a:solidFill>
                <a:srgbClr val="C00000"/>
              </a:solidFill>
              <a:round/>
            </a:ln>
            <a:effectLst/>
          </c:spPr>
          <c:marker>
            <c:symbol val="none"/>
          </c:marker>
          <c:cat>
            <c:strRef>
              <c:extLst>
                <c:ext xmlns:c15="http://schemas.microsoft.com/office/drawing/2012/chart" uri="{02D57815-91ED-43cb-92C2-25804820EDAC}">
                  <c15:fullRef>
                    <c15:sqref>'Avaliação e Simulações'!$B$1:$AU$1</c15:sqref>
                  </c15:fullRef>
                </c:ext>
              </c:extLst>
              <c:f>'Avaliação e Simulações'!$E$1:$AK$1</c:f>
              <c:strCach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strCache>
            </c:strRef>
          </c:cat>
          <c:val>
            <c:numRef>
              <c:extLst>
                <c:ext xmlns:c15="http://schemas.microsoft.com/office/drawing/2012/chart" uri="{02D57815-91ED-43cb-92C2-25804820EDAC}">
                  <c15:fullRef>
                    <c15:sqref>'Avaliação e Simulações'!$B$16:$AU$16</c15:sqref>
                  </c15:fullRef>
                </c:ext>
              </c:extLst>
              <c:f>'Avaliação e Simulações'!$E$16:$AK$16</c:f>
              <c:numCache>
                <c:formatCode>General</c:formatCode>
                <c:ptCount val="33"/>
                <c:pt idx="0" formatCode="#,##0.00">
                  <c:v>0.32130197052542037</c:v>
                </c:pt>
                <c:pt idx="1" formatCode="#,##0.00">
                  <c:v>0.21622434078895497</c:v>
                </c:pt>
                <c:pt idx="2" formatCode="#,##0.00">
                  <c:v>6.795095439195005E-2</c:v>
                </c:pt>
                <c:pt idx="3" formatCode="#,##0.00">
                  <c:v>3.7615154144099244E-2</c:v>
                </c:pt>
                <c:pt idx="4" formatCode="#,##0.00">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numCache>
            </c:numRef>
          </c:val>
          <c:smooth val="0"/>
          <c:extLst>
            <c:ext xmlns:c16="http://schemas.microsoft.com/office/drawing/2014/chart" uri="{C3380CC4-5D6E-409C-BE32-E72D297353CC}">
              <c16:uniqueId val="{00000001-261A-459F-AFD2-4C3C585405CC}"/>
            </c:ext>
          </c:extLst>
        </c:ser>
        <c:dLbls>
          <c:showLegendKey val="0"/>
          <c:showVal val="0"/>
          <c:showCatName val="0"/>
          <c:showSerName val="0"/>
          <c:showPercent val="0"/>
          <c:showBubbleSize val="0"/>
        </c:dLbls>
        <c:marker val="1"/>
        <c:smooth val="0"/>
        <c:axId val="957536895"/>
        <c:axId val="983038143"/>
      </c:lineChart>
      <c:catAx>
        <c:axId val="957536895"/>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983038143"/>
        <c:crosses val="autoZero"/>
        <c:auto val="1"/>
        <c:lblAlgn val="ctr"/>
        <c:lblOffset val="100"/>
        <c:noMultiLvlLbl val="0"/>
      </c:catAx>
      <c:valAx>
        <c:axId val="983038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pt-BR"/>
                  <a:t>Vaor do D/E Ratio</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title>
        <c:numFmt formatCode="#,##0.00\x"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957536895"/>
        <c:crosses val="autoZero"/>
        <c:crossBetween val="between"/>
      </c:valAx>
      <c:valAx>
        <c:axId val="833582175"/>
        <c:scaling>
          <c:orientation val="minMax"/>
        </c:scaling>
        <c:delete val="0"/>
        <c:axPos val="r"/>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pt-BR"/>
                  <a:t>Valor Coeficiente Beta </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967774863"/>
        <c:crosses val="max"/>
        <c:crossBetween val="between"/>
      </c:valAx>
      <c:catAx>
        <c:axId val="967774863"/>
        <c:scaling>
          <c:orientation val="minMax"/>
        </c:scaling>
        <c:delete val="1"/>
        <c:axPos val="b"/>
        <c:numFmt formatCode="General" sourceLinked="1"/>
        <c:majorTickMark val="out"/>
        <c:minorTickMark val="none"/>
        <c:tickLblPos val="nextTo"/>
        <c:crossAx val="833582175"/>
        <c:crosses val="autoZero"/>
        <c:auto val="1"/>
        <c:lblAlgn val="ctr"/>
        <c:lblOffset val="100"/>
        <c:noMultiLvlLbl val="0"/>
      </c:catAx>
      <c:spPr>
        <a:noFill/>
        <a:ln>
          <a:solidFill>
            <a:schemeClr val="bg1">
              <a:lumMod val="85000"/>
            </a:schemeClr>
          </a:solidFill>
        </a:ln>
        <a:effectLst/>
      </c:spPr>
    </c:plotArea>
    <c:legend>
      <c:legendPos val="b"/>
      <c:layout>
        <c:manualLayout>
          <c:xMode val="edge"/>
          <c:yMode val="edge"/>
          <c:x val="0.28123738766792489"/>
          <c:y val="0.91812353736746932"/>
          <c:w val="0.42775723485188616"/>
          <c:h val="5.9409011688676613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57563293846089"/>
          <c:y val="5.0961315728515172E-2"/>
          <c:w val="0.87184159713153142"/>
          <c:h val="0.73324846147719924"/>
        </c:manualLayout>
      </c:layout>
      <c:barChart>
        <c:barDir val="col"/>
        <c:grouping val="clustered"/>
        <c:varyColors val="0"/>
        <c:ser>
          <c:idx val="0"/>
          <c:order val="0"/>
          <c:tx>
            <c:strRef>
              <c:f>'Avaliação e Simulações'!$A$20</c:f>
              <c:strCache>
                <c:ptCount val="1"/>
                <c:pt idx="0">
                  <c:v>Ke BR</c:v>
                </c:pt>
              </c:strCache>
            </c:strRef>
          </c:tx>
          <c:spPr>
            <a:solidFill>
              <a:schemeClr val="bg1">
                <a:lumMod val="85000"/>
              </a:schemeClr>
            </a:solidFill>
            <a:ln>
              <a:solidFill>
                <a:schemeClr val="tx1"/>
              </a:solidFill>
            </a:ln>
            <a:effectLst/>
          </c:spPr>
          <c:invertIfNegative val="0"/>
          <c:cat>
            <c:strRef>
              <c:extLst>
                <c:ext xmlns:c15="http://schemas.microsoft.com/office/drawing/2012/chart" uri="{02D57815-91ED-43cb-92C2-25804820EDAC}">
                  <c15:fullRef>
                    <c15:sqref>'Avaliação e Simulações'!$B$1:$AU$1</c15:sqref>
                  </c15:fullRef>
                </c:ext>
              </c:extLst>
              <c:f>'Avaliação e Simulações'!$E$1:$AK$1</c:f>
              <c:strCache>
                <c:ptCount val="33"/>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pt idx="32">
                  <c:v>2056</c:v>
                </c:pt>
              </c:strCache>
            </c:strRef>
          </c:cat>
          <c:val>
            <c:numRef>
              <c:extLst>
                <c:ext xmlns:c15="http://schemas.microsoft.com/office/drawing/2012/chart" uri="{02D57815-91ED-43cb-92C2-25804820EDAC}">
                  <c15:fullRef>
                    <c15:sqref>'Avaliação e Simulações'!$B$20:$AU$20</c15:sqref>
                  </c15:fullRef>
                </c:ext>
              </c:extLst>
              <c:f>'Avaliação e Simulações'!$E$20:$AK$20</c:f>
              <c:numCache>
                <c:formatCode>General</c:formatCode>
                <c:ptCount val="33"/>
                <c:pt idx="0" formatCode="0.0%">
                  <c:v>0.1390504512028623</c:v>
                </c:pt>
                <c:pt idx="1" formatCode="0.0%">
                  <c:v>0.1334187196434693</c:v>
                </c:pt>
                <c:pt idx="2" formatCode="0.0%">
                  <c:v>0.12579710897074503</c:v>
                </c:pt>
                <c:pt idx="3" formatCode="0.0%">
                  <c:v>0.12501487163306391</c:v>
                </c:pt>
                <c:pt idx="4" formatCode="0.0%">
                  <c:v>0.12386711519067006</c:v>
                </c:pt>
                <c:pt idx="5" formatCode="0.0%">
                  <c:v>0.12136104236363932</c:v>
                </c:pt>
                <c:pt idx="6" formatCode="0.0%">
                  <c:v>0.12136104236363932</c:v>
                </c:pt>
                <c:pt idx="7" formatCode="0.0%">
                  <c:v>0.12077198536196665</c:v>
                </c:pt>
                <c:pt idx="8" formatCode="0.0%">
                  <c:v>0.12077198536196665</c:v>
                </c:pt>
                <c:pt idx="9" formatCode="0.0%">
                  <c:v>0.12077198536196665</c:v>
                </c:pt>
                <c:pt idx="10" formatCode="0.0%">
                  <c:v>0.12606263989366018</c:v>
                </c:pt>
                <c:pt idx="11" formatCode="0.0%">
                  <c:v>0.12606263989366018</c:v>
                </c:pt>
                <c:pt idx="12" formatCode="0.0%">
                  <c:v>0.12606263989366018</c:v>
                </c:pt>
                <c:pt idx="13" formatCode="0.0%">
                  <c:v>0.12606263989366018</c:v>
                </c:pt>
                <c:pt idx="14" formatCode="0.0%">
                  <c:v>0.12606263989366018</c:v>
                </c:pt>
                <c:pt idx="15" formatCode="0.0%">
                  <c:v>0.12606263989366018</c:v>
                </c:pt>
                <c:pt idx="16" formatCode="0.0%">
                  <c:v>0.12606263989366018</c:v>
                </c:pt>
                <c:pt idx="17" formatCode="0.0%">
                  <c:v>0.12606263989366018</c:v>
                </c:pt>
                <c:pt idx="18" formatCode="0.0%">
                  <c:v>0.12606263989366018</c:v>
                </c:pt>
                <c:pt idx="19" formatCode="0.0%">
                  <c:v>0.12606263989366018</c:v>
                </c:pt>
                <c:pt idx="20" formatCode="0.0%">
                  <c:v>0.12050556359206799</c:v>
                </c:pt>
                <c:pt idx="21" formatCode="0.0%">
                  <c:v>0.12050556359206799</c:v>
                </c:pt>
                <c:pt idx="22" formatCode="0.0%">
                  <c:v>0.12050556359206799</c:v>
                </c:pt>
                <c:pt idx="23" formatCode="0.0%">
                  <c:v>0.12050556359206799</c:v>
                </c:pt>
                <c:pt idx="24" formatCode="0.0%">
                  <c:v>0.12050556359206799</c:v>
                </c:pt>
                <c:pt idx="25" formatCode="0.0%">
                  <c:v>0.12050556359206799</c:v>
                </c:pt>
                <c:pt idx="26" formatCode="0.0%">
                  <c:v>0.12050556359206799</c:v>
                </c:pt>
                <c:pt idx="27" formatCode="0.0%">
                  <c:v>0.12050556359206799</c:v>
                </c:pt>
                <c:pt idx="28" formatCode="0.0%">
                  <c:v>0.12050556359206799</c:v>
                </c:pt>
                <c:pt idx="29" formatCode="0.0%">
                  <c:v>0.12050556359206799</c:v>
                </c:pt>
                <c:pt idx="30" formatCode="0.0%">
                  <c:v>0.12050556359206799</c:v>
                </c:pt>
                <c:pt idx="31" formatCode="0.0%">
                  <c:v>0.12050556359206799</c:v>
                </c:pt>
                <c:pt idx="32" formatCode="0.0%">
                  <c:v>0.12050556359206799</c:v>
                </c:pt>
              </c:numCache>
            </c:numRef>
          </c:val>
          <c:extLst>
            <c:ext xmlns:c16="http://schemas.microsoft.com/office/drawing/2014/chart" uri="{C3380CC4-5D6E-409C-BE32-E72D297353CC}">
              <c16:uniqueId val="{00000000-A597-4048-AA52-8EFFA22783E4}"/>
            </c:ext>
          </c:extLst>
        </c:ser>
        <c:dLbls>
          <c:showLegendKey val="0"/>
          <c:showVal val="0"/>
          <c:showCatName val="0"/>
          <c:showSerName val="0"/>
          <c:showPercent val="0"/>
          <c:showBubbleSize val="0"/>
        </c:dLbls>
        <c:gapWidth val="150"/>
        <c:axId val="967785423"/>
        <c:axId val="1005893311"/>
      </c:barChart>
      <c:catAx>
        <c:axId val="967785423"/>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pt-BR"/>
                  <a:t>Período</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1005893311"/>
        <c:crosses val="autoZero"/>
        <c:auto val="1"/>
        <c:lblAlgn val="ctr"/>
        <c:lblOffset val="100"/>
        <c:noMultiLvlLbl val="0"/>
      </c:catAx>
      <c:valAx>
        <c:axId val="1005893311"/>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pt-BR"/>
                  <a:t>Valor do Custo de Capital dos  Acionistas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967785423"/>
        <c:crosses val="autoZero"/>
        <c:crossBetween val="between"/>
      </c:valAx>
      <c:spPr>
        <a:noFill/>
        <a:ln>
          <a:solidFill>
            <a:schemeClr val="bg1">
              <a:lumMod val="85000"/>
            </a:schemeClr>
          </a:solidFill>
        </a:ln>
        <a:effectLst/>
      </c:spPr>
    </c:plotArea>
    <c:legend>
      <c:legendPos val="r"/>
      <c:layout>
        <c:manualLayout>
          <c:xMode val="edge"/>
          <c:yMode val="edge"/>
          <c:x val="0.49600937464269496"/>
          <c:y val="0.92421719084148035"/>
          <c:w val="9.0766334935674264E-2"/>
          <c:h val="7.3552871259659994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3494560058894"/>
          <c:y val="5.1425899953249185E-2"/>
          <c:w val="0.80884764560484868"/>
          <c:h val="0.74240773432099083"/>
        </c:manualLayout>
      </c:layout>
      <c:lineChart>
        <c:grouping val="standard"/>
        <c:varyColors val="0"/>
        <c:ser>
          <c:idx val="1"/>
          <c:order val="0"/>
          <c:tx>
            <c:strRef>
              <c:f>'Gráficos - Monografia'!$A$146</c:f>
              <c:strCache>
                <c:ptCount val="1"/>
                <c:pt idx="0">
                  <c:v>Variação do Capital de Giro</c:v>
                </c:pt>
              </c:strCache>
            </c:strRef>
          </c:tx>
          <c:spPr>
            <a:ln w="12700" cap="rnd">
              <a:solidFill>
                <a:schemeClr val="tx1"/>
              </a:solidFill>
              <a:round/>
            </a:ln>
            <a:effectLst/>
          </c:spPr>
          <c:marker>
            <c:symbol val="none"/>
          </c:marker>
          <c:cat>
            <c:numRef>
              <c:extLst>
                <c:ext xmlns:c15="http://schemas.microsoft.com/office/drawing/2012/chart" uri="{02D57815-91ED-43cb-92C2-25804820EDAC}">
                  <c15:fullRef>
                    <c15:sqref>'Gráficos - Monografia'!$B$135:$AQ$135</c15:sqref>
                  </c15:fullRef>
                </c:ext>
              </c:extLst>
              <c:f>'Gráficos - Monografia'!$B$135:$AG$135</c:f>
              <c:numCache>
                <c:formatCode>General</c:formatCode>
                <c:ptCount val="32"/>
                <c:pt idx="0">
                  <c:v>2024</c:v>
                </c:pt>
                <c:pt idx="1">
                  <c:v>2025</c:v>
                </c:pt>
                <c:pt idx="2">
                  <c:v>2026</c:v>
                </c:pt>
                <c:pt idx="3">
                  <c:v>2027</c:v>
                </c:pt>
                <c:pt idx="4">
                  <c:v>2028</c:v>
                </c:pt>
                <c:pt idx="5">
                  <c:v>2029</c:v>
                </c:pt>
                <c:pt idx="6">
                  <c:v>2030</c:v>
                </c:pt>
                <c:pt idx="7">
                  <c:v>2031</c:v>
                </c:pt>
                <c:pt idx="8">
                  <c:v>2032</c:v>
                </c:pt>
                <c:pt idx="9">
                  <c:v>2033</c:v>
                </c:pt>
                <c:pt idx="10">
                  <c:v>2034</c:v>
                </c:pt>
                <c:pt idx="11">
                  <c:v>2035</c:v>
                </c:pt>
                <c:pt idx="12">
                  <c:v>2036</c:v>
                </c:pt>
                <c:pt idx="13">
                  <c:v>2037</c:v>
                </c:pt>
                <c:pt idx="14">
                  <c:v>2038</c:v>
                </c:pt>
                <c:pt idx="15">
                  <c:v>2039</c:v>
                </c:pt>
                <c:pt idx="16">
                  <c:v>2040</c:v>
                </c:pt>
                <c:pt idx="17">
                  <c:v>2041</c:v>
                </c:pt>
                <c:pt idx="18">
                  <c:v>2042</c:v>
                </c:pt>
                <c:pt idx="19">
                  <c:v>2043</c:v>
                </c:pt>
                <c:pt idx="20">
                  <c:v>2044</c:v>
                </c:pt>
                <c:pt idx="21">
                  <c:v>2045</c:v>
                </c:pt>
                <c:pt idx="22">
                  <c:v>2046</c:v>
                </c:pt>
                <c:pt idx="23">
                  <c:v>2047</c:v>
                </c:pt>
                <c:pt idx="24">
                  <c:v>2048</c:v>
                </c:pt>
                <c:pt idx="25">
                  <c:v>2049</c:v>
                </c:pt>
                <c:pt idx="26">
                  <c:v>2050</c:v>
                </c:pt>
                <c:pt idx="27">
                  <c:v>2051</c:v>
                </c:pt>
                <c:pt idx="28">
                  <c:v>2052</c:v>
                </c:pt>
                <c:pt idx="29">
                  <c:v>2053</c:v>
                </c:pt>
                <c:pt idx="30">
                  <c:v>2054</c:v>
                </c:pt>
                <c:pt idx="31">
                  <c:v>2055</c:v>
                </c:pt>
              </c:numCache>
            </c:numRef>
          </c:cat>
          <c:val>
            <c:numRef>
              <c:extLst>
                <c:ext xmlns:c15="http://schemas.microsoft.com/office/drawing/2012/chart" uri="{02D57815-91ED-43cb-92C2-25804820EDAC}">
                  <c15:fullRef>
                    <c15:sqref>'Gráficos - Monografia'!$B$146:$AQ$146</c15:sqref>
                  </c15:fullRef>
                </c:ext>
              </c:extLst>
              <c:f>'Gráficos - Monografia'!$B$146:$AG$146</c:f>
              <c:numCache>
                <c:formatCode>#,##0</c:formatCode>
                <c:ptCount val="32"/>
                <c:pt idx="0">
                  <c:v>-1082.6085989700173</c:v>
                </c:pt>
                <c:pt idx="1">
                  <c:v>-580.48134218906705</c:v>
                </c:pt>
                <c:pt idx="2">
                  <c:v>34.394185195168482</c:v>
                </c:pt>
                <c:pt idx="3">
                  <c:v>-15.756499500703532</c:v>
                </c:pt>
                <c:pt idx="4">
                  <c:v>200.52097917740372</c:v>
                </c:pt>
                <c:pt idx="5">
                  <c:v>13.530800975340419</c:v>
                </c:pt>
                <c:pt idx="6">
                  <c:v>287.95682717192636</c:v>
                </c:pt>
                <c:pt idx="7">
                  <c:v>403.67556671605769</c:v>
                </c:pt>
                <c:pt idx="8">
                  <c:v>244.38426108784438</c:v>
                </c:pt>
                <c:pt idx="9">
                  <c:v>196.66342060175981</c:v>
                </c:pt>
                <c:pt idx="10">
                  <c:v>168.45813702328411</c:v>
                </c:pt>
                <c:pt idx="11">
                  <c:v>171.85625586552359</c:v>
                </c:pt>
                <c:pt idx="12">
                  <c:v>176.06042563267403</c:v>
                </c:pt>
                <c:pt idx="13">
                  <c:v>147.34130428998614</c:v>
                </c:pt>
                <c:pt idx="14">
                  <c:v>107.73225064288185</c:v>
                </c:pt>
                <c:pt idx="15">
                  <c:v>82.225582530084878</c:v>
                </c:pt>
                <c:pt idx="16">
                  <c:v>189.31420478327701</c:v>
                </c:pt>
                <c:pt idx="17">
                  <c:v>78.444894486394475</c:v>
                </c:pt>
                <c:pt idx="18">
                  <c:v>69.787769434820163</c:v>
                </c:pt>
                <c:pt idx="19">
                  <c:v>65.991442436840728</c:v>
                </c:pt>
                <c:pt idx="20">
                  <c:v>51.827280256567349</c:v>
                </c:pt>
                <c:pt idx="21">
                  <c:v>56.934347450671602</c:v>
                </c:pt>
                <c:pt idx="22">
                  <c:v>32.785039290965969</c:v>
                </c:pt>
                <c:pt idx="23">
                  <c:v>25.605301720787015</c:v>
                </c:pt>
                <c:pt idx="24">
                  <c:v>22.200317614023195</c:v>
                </c:pt>
                <c:pt idx="25">
                  <c:v>39.563841039256481</c:v>
                </c:pt>
                <c:pt idx="26">
                  <c:v>22.550319884034952</c:v>
                </c:pt>
                <c:pt idx="27">
                  <c:v>14.216320325330628</c:v>
                </c:pt>
                <c:pt idx="28">
                  <c:v>118.81697771128709</c:v>
                </c:pt>
                <c:pt idx="29">
                  <c:v>0</c:v>
                </c:pt>
                <c:pt idx="30">
                  <c:v>0</c:v>
                </c:pt>
                <c:pt idx="31">
                  <c:v>0</c:v>
                </c:pt>
              </c:numCache>
            </c:numRef>
          </c:val>
          <c:smooth val="0"/>
          <c:extLst>
            <c:ext xmlns:c16="http://schemas.microsoft.com/office/drawing/2014/chart" uri="{C3380CC4-5D6E-409C-BE32-E72D297353CC}">
              <c16:uniqueId val="{00000000-E578-4958-81E5-5B948DD2CB15}"/>
            </c:ext>
          </c:extLst>
        </c:ser>
        <c:dLbls>
          <c:showLegendKey val="0"/>
          <c:showVal val="0"/>
          <c:showCatName val="0"/>
          <c:showSerName val="0"/>
          <c:showPercent val="0"/>
          <c:showBubbleSize val="0"/>
        </c:dLbls>
        <c:smooth val="0"/>
        <c:axId val="1340672367"/>
        <c:axId val="1199289631"/>
      </c:lineChart>
      <c:catAx>
        <c:axId val="1340672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Data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199289631"/>
        <c:crosses val="autoZero"/>
        <c:auto val="1"/>
        <c:lblAlgn val="ctr"/>
        <c:lblOffset val="100"/>
        <c:noMultiLvlLbl val="0"/>
      </c:catAx>
      <c:valAx>
        <c:axId val="1199289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pt-BR"/>
                  <a:t>Milhões de </a:t>
                </a:r>
                <a:r>
                  <a:rPr lang="pt-BR" baseline="0"/>
                  <a:t>Reais (R$ mi)</a:t>
                </a:r>
                <a:endParaRPr lang="pt-BR"/>
              </a:p>
            </c:rich>
          </c:tx>
          <c:layout>
            <c:manualLayout>
              <c:xMode val="edge"/>
              <c:yMode val="edge"/>
              <c:x val="2.4968789013732832E-2"/>
              <c:y val="0.105488619672891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crossAx val="1340672367"/>
        <c:crosses val="autoZero"/>
        <c:crossBetween val="between"/>
      </c:valAx>
      <c:spPr>
        <a:noFill/>
        <a:ln>
          <a:solidFill>
            <a:schemeClr val="bg1">
              <a:lumMod val="85000"/>
            </a:schemeClr>
          </a:solidFill>
        </a:ln>
        <a:effectLst/>
      </c:spPr>
    </c:plotArea>
    <c:legend>
      <c:legendPos val="b"/>
      <c:layout>
        <c:manualLayout>
          <c:xMode val="edge"/>
          <c:yMode val="edge"/>
          <c:x val="0.27236454478059324"/>
          <c:y val="0.92115322619135109"/>
          <c:w val="0.51624580959744859"/>
          <c:h val="7.41718295030792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pt-BR"/>
        </a:p>
      </c:txPr>
    </c:legend>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0.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914400" cy="239809"/>
    <xdr:sp macro="" textlink="">
      <xdr:nvSpPr>
        <xdr:cNvPr id="19" name="TextBox 3">
          <a:extLst>
            <a:ext uri="{FF2B5EF4-FFF2-40B4-BE49-F238E27FC236}">
              <a16:creationId xmlns:a16="http://schemas.microsoft.com/office/drawing/2014/main" id="{406F6C5F-22EB-4310-B0EA-0C9BEF2B4CAF}"/>
            </a:ext>
          </a:extLst>
        </xdr:cNvPr>
        <xdr:cNvSpPr txBox="1"/>
      </xdr:nvSpPr>
      <xdr:spPr>
        <a:xfrm>
          <a:off x="0" y="0"/>
          <a:ext cx="91440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en-US" sz="1000">
              <a:latin typeface="Arial" panose="020B0604020202020204" pitchFamily="34" charset="0"/>
            </a:rPr>
            <a:t>2/29/2024</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914400" cy="239809"/>
    <xdr:sp macro="" textlink="">
      <xdr:nvSpPr>
        <xdr:cNvPr id="13" name="TextBox 3">
          <a:extLst>
            <a:ext uri="{FF2B5EF4-FFF2-40B4-BE49-F238E27FC236}">
              <a16:creationId xmlns:a16="http://schemas.microsoft.com/office/drawing/2014/main" id="{55C9C4EE-24C5-4E88-8748-0E5CCBB5E680}"/>
            </a:ext>
          </a:extLst>
        </xdr:cNvPr>
        <xdr:cNvSpPr txBox="1"/>
      </xdr:nvSpPr>
      <xdr:spPr>
        <a:xfrm>
          <a:off x="0" y="0"/>
          <a:ext cx="91440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en-US" sz="1000">
              <a:latin typeface="Arial" panose="020B0604020202020204" pitchFamily="34" charset="0"/>
            </a:rPr>
            <a:t>2/29/2024</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914400" cy="239809"/>
    <xdr:sp macro="" textlink="">
      <xdr:nvSpPr>
        <xdr:cNvPr id="9" name="TextBox 3">
          <a:extLst>
            <a:ext uri="{FF2B5EF4-FFF2-40B4-BE49-F238E27FC236}">
              <a16:creationId xmlns:a16="http://schemas.microsoft.com/office/drawing/2014/main" id="{577E81F9-E72A-44FE-B086-C31E4BC94994}"/>
            </a:ext>
          </a:extLst>
        </xdr:cNvPr>
        <xdr:cNvSpPr txBox="1"/>
      </xdr:nvSpPr>
      <xdr:spPr>
        <a:xfrm>
          <a:off x="0" y="0"/>
          <a:ext cx="91440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en-US" sz="1000">
              <a:latin typeface="Arial" panose="020B0604020202020204" pitchFamily="34" charset="0"/>
            </a:rPr>
            <a:t>2/29/2024</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914400" cy="239809"/>
    <xdr:sp macro="" textlink="">
      <xdr:nvSpPr>
        <xdr:cNvPr id="25" name="TextBox 3">
          <a:extLst>
            <a:ext uri="{FF2B5EF4-FFF2-40B4-BE49-F238E27FC236}">
              <a16:creationId xmlns:a16="http://schemas.microsoft.com/office/drawing/2014/main" id="{7AA7303E-2F3A-4CC3-B990-D7950D00BE7D}"/>
            </a:ext>
          </a:extLst>
        </xdr:cNvPr>
        <xdr:cNvSpPr txBox="1"/>
      </xdr:nvSpPr>
      <xdr:spPr>
        <a:xfrm>
          <a:off x="0" y="0"/>
          <a:ext cx="91440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en-US" sz="1000">
              <a:latin typeface="Arial" panose="020B0604020202020204" pitchFamily="34" charset="0"/>
            </a:rPr>
            <a:t>2/29/2024</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914400" cy="239809"/>
    <xdr:sp macro="" textlink="">
      <xdr:nvSpPr>
        <xdr:cNvPr id="37" name="TextBox 3">
          <a:extLst>
            <a:ext uri="{FF2B5EF4-FFF2-40B4-BE49-F238E27FC236}">
              <a16:creationId xmlns:a16="http://schemas.microsoft.com/office/drawing/2014/main" id="{10BF7582-F499-43C8-A2C1-4C5AF91311C9}"/>
            </a:ext>
          </a:extLst>
        </xdr:cNvPr>
        <xdr:cNvSpPr txBox="1"/>
      </xdr:nvSpPr>
      <xdr:spPr>
        <a:xfrm>
          <a:off x="0" y="0"/>
          <a:ext cx="91440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en-US" sz="1000">
              <a:latin typeface="Arial" panose="020B0604020202020204" pitchFamily="34" charset="0"/>
            </a:rPr>
            <a:t>2/29/2024</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914400" cy="239809"/>
    <xdr:sp macro="" textlink="">
      <xdr:nvSpPr>
        <xdr:cNvPr id="15" name="TextBox 3">
          <a:extLst>
            <a:ext uri="{FF2B5EF4-FFF2-40B4-BE49-F238E27FC236}">
              <a16:creationId xmlns:a16="http://schemas.microsoft.com/office/drawing/2014/main" id="{53F1713C-2D52-4710-9BFA-D1D86E636E27}"/>
            </a:ext>
          </a:extLst>
        </xdr:cNvPr>
        <xdr:cNvSpPr txBox="1"/>
      </xdr:nvSpPr>
      <xdr:spPr>
        <a:xfrm>
          <a:off x="0" y="0"/>
          <a:ext cx="91440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en-US" sz="1000">
              <a:latin typeface="Arial" panose="020B0604020202020204" pitchFamily="34" charset="0"/>
            </a:rPr>
            <a:t>2/29/2024</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914400" cy="239809"/>
    <xdr:sp macro="" textlink="">
      <xdr:nvSpPr>
        <xdr:cNvPr id="16" name="TextBox 3">
          <a:extLst>
            <a:ext uri="{FF2B5EF4-FFF2-40B4-BE49-F238E27FC236}">
              <a16:creationId xmlns:a16="http://schemas.microsoft.com/office/drawing/2014/main" id="{2D5763A0-FCAE-4253-91D8-9A600DE5AFC3}"/>
            </a:ext>
          </a:extLst>
        </xdr:cNvPr>
        <xdr:cNvSpPr txBox="1"/>
      </xdr:nvSpPr>
      <xdr:spPr>
        <a:xfrm>
          <a:off x="0" y="0"/>
          <a:ext cx="91440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en-US" sz="1000">
              <a:latin typeface="Arial" panose="020B0604020202020204" pitchFamily="34" charset="0"/>
            </a:rPr>
            <a:t>2/29/2024</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914400" cy="239809"/>
    <xdr:sp macro="" textlink="">
      <xdr:nvSpPr>
        <xdr:cNvPr id="3" name="TextBox 3">
          <a:extLst>
            <a:ext uri="{FF2B5EF4-FFF2-40B4-BE49-F238E27FC236}">
              <a16:creationId xmlns:a16="http://schemas.microsoft.com/office/drawing/2014/main" id="{82A792E7-87CE-414C-85F3-50C319F245CA}"/>
            </a:ext>
          </a:extLst>
        </xdr:cNvPr>
        <xdr:cNvSpPr txBox="1"/>
      </xdr:nvSpPr>
      <xdr:spPr>
        <a:xfrm>
          <a:off x="0" y="0"/>
          <a:ext cx="91440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en-US" sz="1000">
              <a:latin typeface="Arial" panose="020B0604020202020204" pitchFamily="34" charset="0"/>
            </a:rPr>
            <a:t>2/292024</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914400" cy="239809"/>
    <xdr:sp macro="" textlink="">
      <xdr:nvSpPr>
        <xdr:cNvPr id="4" name="TextBox 3">
          <a:extLst>
            <a:ext uri="{FF2B5EF4-FFF2-40B4-BE49-F238E27FC236}">
              <a16:creationId xmlns:a16="http://schemas.microsoft.com/office/drawing/2014/main" id="{A7EB914C-7E2A-4FBC-9306-E9ABD4B4CCAD}"/>
            </a:ext>
          </a:extLst>
        </xdr:cNvPr>
        <xdr:cNvSpPr txBox="1"/>
      </xdr:nvSpPr>
      <xdr:spPr>
        <a:xfrm>
          <a:off x="0" y="0"/>
          <a:ext cx="91440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r>
            <a:rPr lang="en-US" sz="1000">
              <a:latin typeface="Arial" panose="020B0604020202020204" pitchFamily="34" charset="0"/>
            </a:rPr>
            <a:t>2/29/2024</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8</xdr:col>
      <xdr:colOff>120178</xdr:colOff>
      <xdr:row>25</xdr:row>
      <xdr:rowOff>156882</xdr:rowOff>
    </xdr:from>
    <xdr:to>
      <xdr:col>15</xdr:col>
      <xdr:colOff>403412</xdr:colOff>
      <xdr:row>41</xdr:row>
      <xdr:rowOff>101524</xdr:rowOff>
    </xdr:to>
    <xdr:graphicFrame macro="">
      <xdr:nvGraphicFramePr>
        <xdr:cNvPr id="3" name="Gráfico 2">
          <a:extLst>
            <a:ext uri="{FF2B5EF4-FFF2-40B4-BE49-F238E27FC236}">
              <a16:creationId xmlns:a16="http://schemas.microsoft.com/office/drawing/2014/main" id="{E4D2049C-411A-44E5-A697-72C1DBF1A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224135</xdr:colOff>
      <xdr:row>25</xdr:row>
      <xdr:rowOff>76106</xdr:rowOff>
    </xdr:from>
    <xdr:to>
      <xdr:col>25</xdr:col>
      <xdr:colOff>184951</xdr:colOff>
      <xdr:row>41</xdr:row>
      <xdr:rowOff>76105</xdr:rowOff>
    </xdr:to>
    <xdr:graphicFrame macro="">
      <xdr:nvGraphicFramePr>
        <xdr:cNvPr id="5" name="Gráfico 4">
          <a:extLst>
            <a:ext uri="{FF2B5EF4-FFF2-40B4-BE49-F238E27FC236}">
              <a16:creationId xmlns:a16="http://schemas.microsoft.com/office/drawing/2014/main" id="{5FDBB5BA-8E9C-41A2-8483-BCA7B40F8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34177</xdr:colOff>
      <xdr:row>66</xdr:row>
      <xdr:rowOff>121359</xdr:rowOff>
    </xdr:from>
    <xdr:to>
      <xdr:col>11</xdr:col>
      <xdr:colOff>696669</xdr:colOff>
      <xdr:row>81</xdr:row>
      <xdr:rowOff>113963</xdr:rowOff>
    </xdr:to>
    <xdr:graphicFrame macro="">
      <xdr:nvGraphicFramePr>
        <xdr:cNvPr id="6" name="Gráfico 5">
          <a:extLst>
            <a:ext uri="{FF2B5EF4-FFF2-40B4-BE49-F238E27FC236}">
              <a16:creationId xmlns:a16="http://schemas.microsoft.com/office/drawing/2014/main" id="{CD61F1CE-3CAC-4776-8D66-1255D7463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724571</xdr:colOff>
      <xdr:row>66</xdr:row>
      <xdr:rowOff>85389</xdr:rowOff>
    </xdr:from>
    <xdr:to>
      <xdr:col>17</xdr:col>
      <xdr:colOff>714935</xdr:colOff>
      <xdr:row>81</xdr:row>
      <xdr:rowOff>85388</xdr:rowOff>
    </xdr:to>
    <xdr:graphicFrame macro="">
      <xdr:nvGraphicFramePr>
        <xdr:cNvPr id="7" name="Gráfico 6">
          <a:extLst>
            <a:ext uri="{FF2B5EF4-FFF2-40B4-BE49-F238E27FC236}">
              <a16:creationId xmlns:a16="http://schemas.microsoft.com/office/drawing/2014/main" id="{3D34071B-6BB6-46FA-87B7-AB1B21F31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67</xdr:row>
      <xdr:rowOff>5604</xdr:rowOff>
    </xdr:from>
    <xdr:to>
      <xdr:col>6</xdr:col>
      <xdr:colOff>183889</xdr:colOff>
      <xdr:row>82</xdr:row>
      <xdr:rowOff>5603</xdr:rowOff>
    </xdr:to>
    <xdr:graphicFrame macro="">
      <xdr:nvGraphicFramePr>
        <xdr:cNvPr id="9" name="Gráfico 8">
          <a:extLst>
            <a:ext uri="{FF2B5EF4-FFF2-40B4-BE49-F238E27FC236}">
              <a16:creationId xmlns:a16="http://schemas.microsoft.com/office/drawing/2014/main" id="{B699A971-E9CB-4D41-A122-B250C8A41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150719</xdr:colOff>
      <xdr:row>66</xdr:row>
      <xdr:rowOff>73734</xdr:rowOff>
    </xdr:from>
    <xdr:to>
      <xdr:col>26</xdr:col>
      <xdr:colOff>387164</xdr:colOff>
      <xdr:row>81</xdr:row>
      <xdr:rowOff>50874</xdr:rowOff>
    </xdr:to>
    <xdr:graphicFrame macro="">
      <xdr:nvGraphicFramePr>
        <xdr:cNvPr id="10" name="Gráfico 9">
          <a:extLst>
            <a:ext uri="{FF2B5EF4-FFF2-40B4-BE49-F238E27FC236}">
              <a16:creationId xmlns:a16="http://schemas.microsoft.com/office/drawing/2014/main" id="{1BE8A305-8CAD-4B51-922E-2ECCC5EEF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194534</xdr:colOff>
      <xdr:row>118</xdr:row>
      <xdr:rowOff>54013</xdr:rowOff>
    </xdr:from>
    <xdr:to>
      <xdr:col>15</xdr:col>
      <xdr:colOff>590886</xdr:colOff>
      <xdr:row>130</xdr:row>
      <xdr:rowOff>169658</xdr:rowOff>
    </xdr:to>
    <xdr:graphicFrame macro="">
      <xdr:nvGraphicFramePr>
        <xdr:cNvPr id="4" name="Gráfico 3">
          <a:extLst>
            <a:ext uri="{FF2B5EF4-FFF2-40B4-BE49-F238E27FC236}">
              <a16:creationId xmlns:a16="http://schemas.microsoft.com/office/drawing/2014/main" id="{D5ADD492-46FB-4D57-8298-BCBCE5C7A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186691</xdr:colOff>
      <xdr:row>154</xdr:row>
      <xdr:rowOff>58943</xdr:rowOff>
    </xdr:from>
    <xdr:to>
      <xdr:col>24</xdr:col>
      <xdr:colOff>488914</xdr:colOff>
      <xdr:row>169</xdr:row>
      <xdr:rowOff>11206</xdr:rowOff>
    </xdr:to>
    <xdr:graphicFrame macro="">
      <xdr:nvGraphicFramePr>
        <xdr:cNvPr id="8" name="Gráfico 7">
          <a:extLst>
            <a:ext uri="{FF2B5EF4-FFF2-40B4-BE49-F238E27FC236}">
              <a16:creationId xmlns:a16="http://schemas.microsoft.com/office/drawing/2014/main" id="{E9915C09-1E26-4F9A-89B1-4DDD6B082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433248</xdr:colOff>
      <xdr:row>177</xdr:row>
      <xdr:rowOff>91689</xdr:rowOff>
    </xdr:from>
    <xdr:to>
      <xdr:col>16</xdr:col>
      <xdr:colOff>394252</xdr:colOff>
      <xdr:row>190</xdr:row>
      <xdr:rowOff>632557</xdr:rowOff>
    </xdr:to>
    <xdr:graphicFrame macro="">
      <xdr:nvGraphicFramePr>
        <xdr:cNvPr id="2" name="Gráfico 1">
          <a:extLst>
            <a:ext uri="{FF2B5EF4-FFF2-40B4-BE49-F238E27FC236}">
              <a16:creationId xmlns:a16="http://schemas.microsoft.com/office/drawing/2014/main" id="{7508ACF3-82B1-4AE8-9D66-10AC59F96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418651</xdr:colOff>
      <xdr:row>115</xdr:row>
      <xdr:rowOff>151615</xdr:rowOff>
    </xdr:from>
    <xdr:to>
      <xdr:col>24</xdr:col>
      <xdr:colOff>124048</xdr:colOff>
      <xdr:row>132</xdr:row>
      <xdr:rowOff>97492</xdr:rowOff>
    </xdr:to>
    <xdr:graphicFrame macro="">
      <xdr:nvGraphicFramePr>
        <xdr:cNvPr id="11" name="Gráfico 10">
          <a:extLst>
            <a:ext uri="{FF2B5EF4-FFF2-40B4-BE49-F238E27FC236}">
              <a16:creationId xmlns:a16="http://schemas.microsoft.com/office/drawing/2014/main" id="{B361A78C-69F5-4CB5-B347-532E035B4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603257</xdr:colOff>
      <xdr:row>115</xdr:row>
      <xdr:rowOff>125788</xdr:rowOff>
    </xdr:from>
    <xdr:to>
      <xdr:col>33</xdr:col>
      <xdr:colOff>325881</xdr:colOff>
      <xdr:row>132</xdr:row>
      <xdr:rowOff>69759</xdr:rowOff>
    </xdr:to>
    <xdr:graphicFrame macro="">
      <xdr:nvGraphicFramePr>
        <xdr:cNvPr id="14" name="Gráfico 13">
          <a:extLst>
            <a:ext uri="{FF2B5EF4-FFF2-40B4-BE49-F238E27FC236}">
              <a16:creationId xmlns:a16="http://schemas.microsoft.com/office/drawing/2014/main" id="{4F9E75A0-AF5C-4007-B007-53E0459A8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432884</xdr:colOff>
      <xdr:row>115</xdr:row>
      <xdr:rowOff>163605</xdr:rowOff>
    </xdr:from>
    <xdr:to>
      <xdr:col>42</xdr:col>
      <xdr:colOff>152931</xdr:colOff>
      <xdr:row>132</xdr:row>
      <xdr:rowOff>107578</xdr:rowOff>
    </xdr:to>
    <xdr:graphicFrame macro="">
      <xdr:nvGraphicFramePr>
        <xdr:cNvPr id="15" name="Gráfico 14">
          <a:extLst>
            <a:ext uri="{FF2B5EF4-FFF2-40B4-BE49-F238E27FC236}">
              <a16:creationId xmlns:a16="http://schemas.microsoft.com/office/drawing/2014/main" id="{6D648B78-D02A-4C82-9D73-ED721B9C8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42</xdr:col>
      <xdr:colOff>97043</xdr:colOff>
      <xdr:row>114</xdr:row>
      <xdr:rowOff>7060</xdr:rowOff>
    </xdr:from>
    <xdr:to>
      <xdr:col>50</xdr:col>
      <xdr:colOff>424785</xdr:colOff>
      <xdr:row>130</xdr:row>
      <xdr:rowOff>130324</xdr:rowOff>
    </xdr:to>
    <xdr:graphicFrame macro="">
      <xdr:nvGraphicFramePr>
        <xdr:cNvPr id="16" name="Gráfico 15">
          <a:extLst>
            <a:ext uri="{FF2B5EF4-FFF2-40B4-BE49-F238E27FC236}">
              <a16:creationId xmlns:a16="http://schemas.microsoft.com/office/drawing/2014/main" id="{86264A33-96FC-4E84-B9A9-AF80985DA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25</xdr:col>
      <xdr:colOff>197275</xdr:colOff>
      <xdr:row>154</xdr:row>
      <xdr:rowOff>109449</xdr:rowOff>
    </xdr:from>
    <xdr:to>
      <xdr:col>33</xdr:col>
      <xdr:colOff>391339</xdr:colOff>
      <xdr:row>169</xdr:row>
      <xdr:rowOff>127753</xdr:rowOff>
    </xdr:to>
    <xdr:graphicFrame macro="">
      <xdr:nvGraphicFramePr>
        <xdr:cNvPr id="13" name="Gráfico 12">
          <a:extLst>
            <a:ext uri="{FF2B5EF4-FFF2-40B4-BE49-F238E27FC236}">
              <a16:creationId xmlns:a16="http://schemas.microsoft.com/office/drawing/2014/main" id="{148915C9-3A21-427D-9683-6BE856791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437030</xdr:colOff>
      <xdr:row>172</xdr:row>
      <xdr:rowOff>112059</xdr:rowOff>
    </xdr:from>
    <xdr:to>
      <xdr:col>39</xdr:col>
      <xdr:colOff>134135</xdr:colOff>
      <xdr:row>190</xdr:row>
      <xdr:rowOff>142986</xdr:rowOff>
    </xdr:to>
    <xdr:graphicFrame macro="">
      <xdr:nvGraphicFramePr>
        <xdr:cNvPr id="22" name="Gráfico 21">
          <a:extLst>
            <a:ext uri="{FF2B5EF4-FFF2-40B4-BE49-F238E27FC236}">
              <a16:creationId xmlns:a16="http://schemas.microsoft.com/office/drawing/2014/main" id="{D3AF9965-38B7-469F-9DF3-4F537F9B7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27</xdr:col>
      <xdr:colOff>13111</xdr:colOff>
      <xdr:row>192</xdr:row>
      <xdr:rowOff>223</xdr:rowOff>
    </xdr:from>
    <xdr:to>
      <xdr:col>39</xdr:col>
      <xdr:colOff>305808</xdr:colOff>
      <xdr:row>209</xdr:row>
      <xdr:rowOff>36418</xdr:rowOff>
    </xdr:to>
    <xdr:graphicFrame macro="">
      <xdr:nvGraphicFramePr>
        <xdr:cNvPr id="23" name="Gráfico 22">
          <a:extLst>
            <a:ext uri="{FF2B5EF4-FFF2-40B4-BE49-F238E27FC236}">
              <a16:creationId xmlns:a16="http://schemas.microsoft.com/office/drawing/2014/main" id="{2D4E700F-9C32-4F94-8A75-50083571D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2303368</xdr:colOff>
      <xdr:row>249</xdr:row>
      <xdr:rowOff>86061</xdr:rowOff>
    </xdr:from>
    <xdr:to>
      <xdr:col>11</xdr:col>
      <xdr:colOff>130660</xdr:colOff>
      <xdr:row>268</xdr:row>
      <xdr:rowOff>71046</xdr:rowOff>
    </xdr:to>
    <xdr:graphicFrame macro="">
      <xdr:nvGraphicFramePr>
        <xdr:cNvPr id="12" name="Gráfico 11">
          <a:extLst>
            <a:ext uri="{FF2B5EF4-FFF2-40B4-BE49-F238E27FC236}">
              <a16:creationId xmlns:a16="http://schemas.microsoft.com/office/drawing/2014/main" id="{CBBEF74B-1684-4EBC-B293-A941477093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2117912</xdr:colOff>
      <xdr:row>267</xdr:row>
      <xdr:rowOff>149488</xdr:rowOff>
    </xdr:from>
    <xdr:to>
      <xdr:col>12</xdr:col>
      <xdr:colOff>18601</xdr:colOff>
      <xdr:row>286</xdr:row>
      <xdr:rowOff>147581</xdr:rowOff>
    </xdr:to>
    <xdr:graphicFrame macro="">
      <xdr:nvGraphicFramePr>
        <xdr:cNvPr id="17" name="Gráfico 16">
          <a:extLst>
            <a:ext uri="{FF2B5EF4-FFF2-40B4-BE49-F238E27FC236}">
              <a16:creationId xmlns:a16="http://schemas.microsoft.com/office/drawing/2014/main" id="{4B85EE9E-B744-41B4-BA4E-F6103F87A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723564</xdr:colOff>
      <xdr:row>154</xdr:row>
      <xdr:rowOff>138281</xdr:rowOff>
    </xdr:from>
    <xdr:to>
      <xdr:col>11</xdr:col>
      <xdr:colOff>350184</xdr:colOff>
      <xdr:row>167</xdr:row>
      <xdr:rowOff>38439</xdr:rowOff>
    </xdr:to>
    <xdr:graphicFrame macro="">
      <xdr:nvGraphicFramePr>
        <xdr:cNvPr id="18" name="Gráfico 17">
          <a:extLst>
            <a:ext uri="{FF2B5EF4-FFF2-40B4-BE49-F238E27FC236}">
              <a16:creationId xmlns:a16="http://schemas.microsoft.com/office/drawing/2014/main" id="{9A305683-7CFF-4CDC-A4F0-BF7418EF2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14</xdr:col>
      <xdr:colOff>0</xdr:colOff>
      <xdr:row>263</xdr:row>
      <xdr:rowOff>0</xdr:rowOff>
    </xdr:from>
    <xdr:to>
      <xdr:col>23</xdr:col>
      <xdr:colOff>169209</xdr:colOff>
      <xdr:row>281</xdr:row>
      <xdr:rowOff>93345</xdr:rowOff>
    </xdr:to>
    <xdr:pic>
      <xdr:nvPicPr>
        <xdr:cNvPr id="24" name="Imagem 23">
          <a:extLst>
            <a:ext uri="{FF2B5EF4-FFF2-40B4-BE49-F238E27FC236}">
              <a16:creationId xmlns:a16="http://schemas.microsoft.com/office/drawing/2014/main" id="{1964CBFD-413D-EF83-9CBA-2A7C8C9FE9E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0020300" y="61638180"/>
          <a:ext cx="6766560" cy="3398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C7633-1B04-4A31-AD4D-57ADDC3C1195}">
  <dimension ref="A1"/>
  <sheetViews>
    <sheetView workbookViewId="0"/>
  </sheetViews>
  <sheetFormatPr defaultRowHeight="14.4" x14ac:dyDescent="0.3"/>
  <sheetData>
    <row r="1" spans="1:1" x14ac:dyDescent="0.3">
      <c r="A1" t="s">
        <v>102</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1E3B3-012B-4B2A-BFE7-89353FEAC178}">
  <sheetPr>
    <tabColor rgb="FF7030A0"/>
    <pageSetUpPr fitToPage="1"/>
  </sheetPr>
  <dimension ref="A1:AF66"/>
  <sheetViews>
    <sheetView showGridLines="0" zoomScale="85" zoomScaleNormal="85" zoomScaleSheetLayoutView="85" workbookViewId="0">
      <selection activeCell="Q21" sqref="Q21"/>
    </sheetView>
  </sheetViews>
  <sheetFormatPr defaultRowHeight="14.4" x14ac:dyDescent="0.3"/>
  <cols>
    <col min="1" max="1" width="5.77734375" bestFit="1" customWidth="1"/>
    <col min="2" max="2" width="1.77734375" customWidth="1"/>
    <col min="3" max="3" width="9.6640625" customWidth="1"/>
    <col min="4" max="4" width="1.77734375" customWidth="1"/>
    <col min="5" max="5" width="9.6640625" customWidth="1"/>
    <col min="6" max="6" width="1.77734375" customWidth="1"/>
    <col min="7" max="7" width="9.6640625" customWidth="1"/>
    <col min="8" max="8" width="1.77734375" customWidth="1"/>
    <col min="9" max="9" width="9.6640625" customWidth="1"/>
    <col min="10" max="10" width="1.77734375" customWidth="1"/>
    <col min="11" max="11" width="13.44140625" customWidth="1"/>
    <col min="12" max="12" width="1.77734375" customWidth="1"/>
    <col min="13" max="13" width="13.44140625" customWidth="1"/>
    <col min="14" max="14" width="1.77734375" customWidth="1"/>
    <col min="15" max="15" width="14.6640625" customWidth="1"/>
    <col min="16" max="16" width="1.77734375" customWidth="1"/>
    <col min="17" max="17" width="14.6640625" customWidth="1"/>
    <col min="18" max="18" width="1.77734375" customWidth="1"/>
    <col min="19" max="19" width="14.6640625" customWidth="1"/>
    <col min="20" max="20" width="1.77734375" customWidth="1"/>
    <col min="21" max="21" width="14.6640625" customWidth="1"/>
    <col min="22" max="22" width="1.77734375" customWidth="1"/>
    <col min="23" max="23" width="14.77734375" bestFit="1" customWidth="1"/>
    <col min="24" max="24" width="1.77734375" customWidth="1"/>
    <col min="25" max="25" width="14.6640625" customWidth="1"/>
    <col min="26" max="26" width="1.77734375" customWidth="1"/>
    <col min="27" max="27" width="14.6640625" customWidth="1"/>
    <col min="28" max="28" width="1.77734375" customWidth="1"/>
    <col min="29" max="29" width="14.6640625" customWidth="1"/>
  </cols>
  <sheetData>
    <row r="1" spans="1:32" x14ac:dyDescent="0.3">
      <c r="A1" s="223" t="s">
        <v>53</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row>
    <row r="2" spans="1:32" x14ac:dyDescent="0.3">
      <c r="A2" s="223" t="s">
        <v>61</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row>
    <row r="3" spans="1:32" x14ac:dyDescent="0.3">
      <c r="A3" s="223" t="s">
        <v>22</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row>
    <row r="4" spans="1:32" x14ac:dyDescent="0.3">
      <c r="A4" s="223" t="s">
        <v>710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row>
    <row r="5" spans="1:32" x14ac:dyDescent="0.3">
      <c r="A5" s="223" t="s">
        <v>60</v>
      </c>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row>
    <row r="6" spans="1:32" x14ac:dyDescent="0.3">
      <c r="A6" s="223" t="s">
        <v>85</v>
      </c>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row>
    <row r="7" spans="1:32" x14ac:dyDescent="0.3">
      <c r="A7" s="223" t="s">
        <v>23</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row>
    <row r="8" spans="1:32" x14ac:dyDescent="0.3">
      <c r="A8" s="223" t="s">
        <v>24</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row>
    <row r="9" spans="1:32" x14ac:dyDescent="0.3">
      <c r="A9" s="223" t="s">
        <v>25</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row>
    <row r="10" spans="1:32" x14ac:dyDescent="0.3">
      <c r="A10" s="223" t="s">
        <v>711</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row>
    <row r="11" spans="1:32" x14ac:dyDescent="0.3">
      <c r="A11" s="223" t="s">
        <v>5</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row>
    <row r="12" spans="1:32" x14ac:dyDescent="0.3">
      <c r="A12" s="223" t="s">
        <v>5</v>
      </c>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row>
    <row r="13" spans="1:32" x14ac:dyDescent="0.3">
      <c r="A13" s="223" t="s">
        <v>5</v>
      </c>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spans="1:32" x14ac:dyDescent="0.3">
      <c r="K14" s="224"/>
      <c r="L14" s="14"/>
      <c r="M14" s="14"/>
    </row>
    <row r="15" spans="1:32" x14ac:dyDescent="0.3">
      <c r="C15" s="224" t="s">
        <v>29</v>
      </c>
      <c r="D15" s="14"/>
      <c r="E15" s="14"/>
      <c r="G15" s="224" t="s">
        <v>35</v>
      </c>
      <c r="H15" s="14"/>
      <c r="I15" s="14"/>
      <c r="K15" s="224" t="s">
        <v>74</v>
      </c>
      <c r="L15" s="14"/>
      <c r="M15" s="14"/>
    </row>
    <row r="16" spans="1:32" x14ac:dyDescent="0.3">
      <c r="C16" s="225" t="s">
        <v>50</v>
      </c>
      <c r="D16" s="15"/>
      <c r="E16" s="15"/>
      <c r="G16" s="225" t="s">
        <v>50</v>
      </c>
      <c r="H16" s="15"/>
      <c r="I16" s="15"/>
      <c r="K16" s="225" t="s">
        <v>75</v>
      </c>
      <c r="L16" s="15"/>
      <c r="M16" s="15"/>
      <c r="O16" s="226" t="s">
        <v>26</v>
      </c>
      <c r="Q16" s="226" t="s">
        <v>14</v>
      </c>
      <c r="AA16" s="226" t="s">
        <v>26</v>
      </c>
      <c r="AC16" s="226" t="s">
        <v>27</v>
      </c>
      <c r="AE16" s="9" t="s">
        <v>14</v>
      </c>
      <c r="AF16" s="9"/>
    </row>
    <row r="17" spans="1:32" x14ac:dyDescent="0.3">
      <c r="E17" s="226" t="s">
        <v>28</v>
      </c>
      <c r="I17" s="226" t="s">
        <v>28</v>
      </c>
      <c r="M17" s="226" t="s">
        <v>28</v>
      </c>
      <c r="O17" s="226" t="s">
        <v>29</v>
      </c>
      <c r="Q17" s="226" t="s">
        <v>31</v>
      </c>
      <c r="S17" s="226" t="s">
        <v>32</v>
      </c>
      <c r="U17" s="226" t="s">
        <v>33</v>
      </c>
      <c r="W17" s="226" t="s">
        <v>34</v>
      </c>
      <c r="AA17" s="226" t="s">
        <v>35</v>
      </c>
      <c r="AC17" s="226" t="s">
        <v>36</v>
      </c>
      <c r="AE17" s="9" t="s">
        <v>31</v>
      </c>
      <c r="AF17" s="9"/>
    </row>
    <row r="18" spans="1:32" x14ac:dyDescent="0.3">
      <c r="C18" s="226" t="s">
        <v>37</v>
      </c>
      <c r="E18" s="226" t="s">
        <v>38</v>
      </c>
      <c r="G18" s="226" t="s">
        <v>37</v>
      </c>
      <c r="I18" s="226" t="s">
        <v>38</v>
      </c>
      <c r="K18" s="226" t="s">
        <v>37</v>
      </c>
      <c r="M18" s="226" t="s">
        <v>38</v>
      </c>
      <c r="O18" s="226" t="s">
        <v>39</v>
      </c>
      <c r="Q18" s="226" t="s">
        <v>30</v>
      </c>
      <c r="S18" s="226" t="s">
        <v>40</v>
      </c>
      <c r="U18" s="226" t="s">
        <v>41</v>
      </c>
      <c r="W18" s="226" t="s">
        <v>76</v>
      </c>
      <c r="Y18" s="226" t="s">
        <v>42</v>
      </c>
      <c r="AA18" s="226" t="s">
        <v>39</v>
      </c>
      <c r="AC18" s="226" t="s">
        <v>43</v>
      </c>
      <c r="AE18" s="9" t="s">
        <v>30</v>
      </c>
      <c r="AF18" s="9" t="s">
        <v>42</v>
      </c>
    </row>
    <row r="19" spans="1:32" ht="16.8" x14ac:dyDescent="0.3">
      <c r="A19" s="227" t="s">
        <v>1</v>
      </c>
      <c r="C19" s="227" t="s">
        <v>715</v>
      </c>
      <c r="E19" s="227" t="s">
        <v>716</v>
      </c>
      <c r="G19" s="227" t="s">
        <v>715</v>
      </c>
      <c r="I19" s="227" t="s">
        <v>716</v>
      </c>
      <c r="K19" s="227" t="s">
        <v>44</v>
      </c>
      <c r="M19" s="227" t="s">
        <v>717</v>
      </c>
      <c r="O19" s="227" t="s">
        <v>720</v>
      </c>
      <c r="Q19" s="227" t="s">
        <v>720</v>
      </c>
      <c r="S19" s="227" t="s">
        <v>720</v>
      </c>
      <c r="U19" s="227" t="s">
        <v>720</v>
      </c>
      <c r="W19" s="227" t="s">
        <v>720</v>
      </c>
      <c r="Y19" s="227" t="s">
        <v>720</v>
      </c>
      <c r="AA19" s="227" t="s">
        <v>720</v>
      </c>
      <c r="AC19" s="227" t="s">
        <v>720</v>
      </c>
      <c r="AE19" s="10" t="s">
        <v>69</v>
      </c>
      <c r="AF19" s="10" t="s">
        <v>69</v>
      </c>
    </row>
    <row r="20" spans="1:32" x14ac:dyDescent="0.3">
      <c r="AE20" s="8"/>
      <c r="AF20" s="8"/>
    </row>
    <row r="21" spans="1:32" x14ac:dyDescent="0.3">
      <c r="A21" s="16">
        <v>2024</v>
      </c>
      <c r="C21" s="17">
        <v>22502</v>
      </c>
      <c r="E21" s="17">
        <v>9617</v>
      </c>
      <c r="G21" s="17">
        <v>20996</v>
      </c>
      <c r="I21" s="17">
        <v>8412</v>
      </c>
      <c r="K21" s="18">
        <v>60.16</v>
      </c>
      <c r="M21" s="18">
        <v>1.78</v>
      </c>
      <c r="O21" s="17">
        <v>1278163</v>
      </c>
      <c r="Q21" s="17">
        <v>108644</v>
      </c>
      <c r="S21" s="17">
        <v>81179</v>
      </c>
      <c r="U21" s="17">
        <v>277375</v>
      </c>
      <c r="W21" s="17">
        <v>0</v>
      </c>
      <c r="Y21" s="17">
        <v>45082</v>
      </c>
      <c r="AA21" s="17">
        <v>765882</v>
      </c>
      <c r="AC21" s="17">
        <v>725961</v>
      </c>
      <c r="AE21" s="13">
        <f t="shared" ref="AE21:AE57" si="0">IFERROR(Q21/O21,0)</f>
        <v>8.5000113444059958E-2</v>
      </c>
      <c r="AF21" s="13">
        <f t="shared" ref="AF21:AF57" si="1">IFERROR(Y21/O21,0)</f>
        <v>3.5270931798213528E-2</v>
      </c>
    </row>
    <row r="22" spans="1:32" x14ac:dyDescent="0.3">
      <c r="A22" s="16">
        <v>2025</v>
      </c>
      <c r="C22" s="17">
        <v>28097</v>
      </c>
      <c r="E22" s="17">
        <v>15571</v>
      </c>
      <c r="G22" s="17">
        <v>23438</v>
      </c>
      <c r="I22" s="17">
        <v>11845</v>
      </c>
      <c r="K22" s="18">
        <v>60.45</v>
      </c>
      <c r="M22" s="18">
        <v>1.79</v>
      </c>
      <c r="O22" s="17">
        <v>1437937</v>
      </c>
      <c r="Q22" s="17">
        <v>122225</v>
      </c>
      <c r="S22" s="17">
        <v>72577</v>
      </c>
      <c r="U22" s="17">
        <v>75022</v>
      </c>
      <c r="W22" s="17">
        <v>0</v>
      </c>
      <c r="Y22" s="17">
        <v>30100</v>
      </c>
      <c r="AA22" s="17">
        <v>1138014</v>
      </c>
      <c r="AC22" s="17">
        <v>976449</v>
      </c>
      <c r="AE22" s="13">
        <f t="shared" si="0"/>
        <v>8.5000246881469774E-2</v>
      </c>
      <c r="AF22" s="13">
        <f t="shared" si="1"/>
        <v>2.0932766873653016E-2</v>
      </c>
    </row>
    <row r="23" spans="1:32" x14ac:dyDescent="0.3">
      <c r="A23" s="16">
        <v>2026</v>
      </c>
      <c r="C23" s="17">
        <v>25364</v>
      </c>
      <c r="E23" s="17">
        <v>15388</v>
      </c>
      <c r="G23" s="17">
        <v>20771</v>
      </c>
      <c r="I23" s="17">
        <v>11418</v>
      </c>
      <c r="K23" s="18">
        <v>60.5</v>
      </c>
      <c r="M23" s="18">
        <v>1.78</v>
      </c>
      <c r="O23" s="17">
        <v>1276976</v>
      </c>
      <c r="Q23" s="17">
        <v>108542</v>
      </c>
      <c r="S23" s="17">
        <v>71245</v>
      </c>
      <c r="U23" s="17">
        <v>6608</v>
      </c>
      <c r="W23" s="17">
        <v>0</v>
      </c>
      <c r="Y23" s="17">
        <v>19986</v>
      </c>
      <c r="AA23" s="17">
        <v>1070596</v>
      </c>
      <c r="AC23" s="17">
        <v>831530</v>
      </c>
      <c r="AE23" s="13">
        <f t="shared" si="0"/>
        <v>8.4999248223929028E-2</v>
      </c>
      <c r="AF23" s="13">
        <f t="shared" si="1"/>
        <v>1.5651038077457994E-2</v>
      </c>
    </row>
    <row r="24" spans="1:32" x14ac:dyDescent="0.3">
      <c r="A24" s="16">
        <v>2027</v>
      </c>
      <c r="C24" s="17">
        <v>22246</v>
      </c>
      <c r="E24" s="17">
        <v>17559</v>
      </c>
      <c r="G24" s="17">
        <v>18100</v>
      </c>
      <c r="I24" s="17">
        <v>12587</v>
      </c>
      <c r="K24" s="18">
        <v>60.51</v>
      </c>
      <c r="M24" s="18">
        <v>1.79</v>
      </c>
      <c r="O24" s="17">
        <v>1117766</v>
      </c>
      <c r="Q24" s="17">
        <v>95011</v>
      </c>
      <c r="S24" s="17">
        <v>70777</v>
      </c>
      <c r="U24" s="17">
        <v>9607</v>
      </c>
      <c r="W24" s="17">
        <v>0</v>
      </c>
      <c r="Y24" s="17">
        <v>16058</v>
      </c>
      <c r="AA24" s="17">
        <v>926312</v>
      </c>
      <c r="AC24" s="17">
        <v>651269</v>
      </c>
      <c r="AE24" s="13">
        <f t="shared" si="0"/>
        <v>8.5000796231053721E-2</v>
      </c>
      <c r="AF24" s="13">
        <f t="shared" si="1"/>
        <v>1.4366155349151791E-2</v>
      </c>
    </row>
    <row r="25" spans="1:32" x14ac:dyDescent="0.3">
      <c r="A25" s="16">
        <v>2028</v>
      </c>
      <c r="C25" s="17">
        <v>18684</v>
      </c>
      <c r="E25" s="17">
        <v>17037</v>
      </c>
      <c r="G25" s="17">
        <v>15268</v>
      </c>
      <c r="I25" s="17">
        <v>12069</v>
      </c>
      <c r="K25" s="18">
        <v>60.51</v>
      </c>
      <c r="M25" s="18">
        <v>1.78</v>
      </c>
      <c r="O25" s="17">
        <v>945345</v>
      </c>
      <c r="Q25" s="17">
        <v>80354</v>
      </c>
      <c r="S25" s="17">
        <v>71100</v>
      </c>
      <c r="U25" s="17">
        <v>6608</v>
      </c>
      <c r="W25" s="17">
        <v>0</v>
      </c>
      <c r="Y25" s="17">
        <v>7344</v>
      </c>
      <c r="AA25" s="17">
        <v>779939</v>
      </c>
      <c r="AC25" s="17">
        <v>496379</v>
      </c>
      <c r="AE25" s="13">
        <f t="shared" si="0"/>
        <v>8.4999656210166655E-2</v>
      </c>
      <c r="AF25" s="13">
        <f t="shared" si="1"/>
        <v>7.7685924186408134E-3</v>
      </c>
    </row>
    <row r="26" spans="1:32" ht="21.9" customHeight="1" x14ac:dyDescent="0.3">
      <c r="A26" s="16">
        <v>2029</v>
      </c>
      <c r="C26" s="17">
        <v>15317</v>
      </c>
      <c r="E26" s="17">
        <v>15792</v>
      </c>
      <c r="G26" s="17">
        <v>12624</v>
      </c>
      <c r="I26" s="17">
        <v>11105</v>
      </c>
      <c r="K26" s="18">
        <v>60.48</v>
      </c>
      <c r="M26" s="18">
        <v>1.79</v>
      </c>
      <c r="O26" s="17">
        <v>783285</v>
      </c>
      <c r="Q26" s="17">
        <v>66579</v>
      </c>
      <c r="S26" s="17">
        <v>71697</v>
      </c>
      <c r="U26" s="17">
        <v>6607</v>
      </c>
      <c r="W26" s="17">
        <v>0</v>
      </c>
      <c r="Y26" s="17">
        <v>2192</v>
      </c>
      <c r="AA26" s="17">
        <v>636209</v>
      </c>
      <c r="AC26" s="17">
        <v>366526</v>
      </c>
      <c r="AE26" s="13">
        <f t="shared" si="0"/>
        <v>8.4999712748233397E-2</v>
      </c>
      <c r="AF26" s="13">
        <f t="shared" si="1"/>
        <v>2.7984705439271784E-3</v>
      </c>
    </row>
    <row r="27" spans="1:32" x14ac:dyDescent="0.3">
      <c r="A27" s="16">
        <v>2030</v>
      </c>
      <c r="C27" s="17">
        <v>12553</v>
      </c>
      <c r="E27" s="17">
        <v>14541</v>
      </c>
      <c r="G27" s="17">
        <v>10460</v>
      </c>
      <c r="I27" s="17">
        <v>10170</v>
      </c>
      <c r="K27" s="18">
        <v>60.45</v>
      </c>
      <c r="M27" s="18">
        <v>1.78</v>
      </c>
      <c r="O27" s="17">
        <v>650508</v>
      </c>
      <c r="Q27" s="17">
        <v>55293</v>
      </c>
      <c r="S27" s="17">
        <v>72488</v>
      </c>
      <c r="U27" s="17">
        <v>6608</v>
      </c>
      <c r="W27" s="17">
        <v>0</v>
      </c>
      <c r="Y27" s="17">
        <v>0</v>
      </c>
      <c r="AA27" s="17">
        <v>516120</v>
      </c>
      <c r="AC27" s="17">
        <v>269156</v>
      </c>
      <c r="AE27" s="13">
        <f t="shared" si="0"/>
        <v>8.4999723293180104E-2</v>
      </c>
      <c r="AF27" s="13">
        <f t="shared" si="1"/>
        <v>0</v>
      </c>
    </row>
    <row r="28" spans="1:32" x14ac:dyDescent="0.3">
      <c r="A28" s="16">
        <v>2031</v>
      </c>
      <c r="C28" s="17">
        <v>10632</v>
      </c>
      <c r="E28" s="17">
        <v>13697</v>
      </c>
      <c r="G28" s="17">
        <v>8865</v>
      </c>
      <c r="I28" s="17">
        <v>9510</v>
      </c>
      <c r="K28" s="18">
        <v>60.45</v>
      </c>
      <c r="M28" s="18">
        <v>1.79</v>
      </c>
      <c r="O28" s="17">
        <v>552844</v>
      </c>
      <c r="Q28" s="17">
        <v>46992</v>
      </c>
      <c r="S28" s="17">
        <v>72551</v>
      </c>
      <c r="U28" s="17">
        <v>6607</v>
      </c>
      <c r="W28" s="17">
        <v>0</v>
      </c>
      <c r="Y28" s="17">
        <v>0</v>
      </c>
      <c r="AA28" s="17">
        <v>426693</v>
      </c>
      <c r="AC28" s="17">
        <v>201429</v>
      </c>
      <c r="AE28" s="13">
        <f t="shared" si="0"/>
        <v>8.5000470295417879E-2</v>
      </c>
      <c r="AF28" s="13">
        <f t="shared" si="1"/>
        <v>0</v>
      </c>
    </row>
    <row r="29" spans="1:32" x14ac:dyDescent="0.3">
      <c r="A29" s="16">
        <v>2032</v>
      </c>
      <c r="C29" s="17">
        <v>9175</v>
      </c>
      <c r="E29" s="17">
        <v>12427</v>
      </c>
      <c r="G29" s="17">
        <v>7672</v>
      </c>
      <c r="I29" s="17">
        <v>8605</v>
      </c>
      <c r="K29" s="18">
        <v>60.44</v>
      </c>
      <c r="M29" s="18">
        <v>1.78</v>
      </c>
      <c r="O29" s="17">
        <v>479021</v>
      </c>
      <c r="Q29" s="17">
        <v>40717</v>
      </c>
      <c r="S29" s="17">
        <v>72735</v>
      </c>
      <c r="U29" s="17">
        <v>6608</v>
      </c>
      <c r="W29" s="17">
        <v>0</v>
      </c>
      <c r="Y29" s="17">
        <v>0</v>
      </c>
      <c r="AA29" s="17">
        <v>358963</v>
      </c>
      <c r="AC29" s="17">
        <v>153392</v>
      </c>
      <c r="AE29" s="13">
        <f t="shared" si="0"/>
        <v>8.5000448832097134E-2</v>
      </c>
      <c r="AF29" s="13">
        <f t="shared" si="1"/>
        <v>0</v>
      </c>
    </row>
    <row r="30" spans="1:32" x14ac:dyDescent="0.3">
      <c r="A30" s="16">
        <v>2033</v>
      </c>
      <c r="C30" s="17">
        <v>7999</v>
      </c>
      <c r="E30" s="17">
        <v>10520</v>
      </c>
      <c r="G30" s="17">
        <v>6686</v>
      </c>
      <c r="I30" s="17">
        <v>7302</v>
      </c>
      <c r="K30" s="18">
        <v>60.44</v>
      </c>
      <c r="M30" s="18">
        <v>1.79</v>
      </c>
      <c r="O30" s="17">
        <v>417161</v>
      </c>
      <c r="Q30" s="17">
        <v>35459</v>
      </c>
      <c r="S30" s="17">
        <v>72751</v>
      </c>
      <c r="U30" s="17">
        <v>6607</v>
      </c>
      <c r="W30" s="17">
        <v>0</v>
      </c>
      <c r="Y30" s="17">
        <v>0</v>
      </c>
      <c r="AA30" s="17">
        <v>302344</v>
      </c>
      <c r="AC30" s="17">
        <v>116952</v>
      </c>
      <c r="AE30" s="13">
        <f t="shared" si="0"/>
        <v>8.500075510414444E-2</v>
      </c>
      <c r="AF30" s="13">
        <f t="shared" si="1"/>
        <v>0</v>
      </c>
    </row>
    <row r="31" spans="1:32" ht="21.9" customHeight="1" x14ac:dyDescent="0.3">
      <c r="A31" s="16">
        <v>2034</v>
      </c>
      <c r="C31" s="17">
        <v>7219</v>
      </c>
      <c r="E31" s="17">
        <v>8768</v>
      </c>
      <c r="G31" s="17">
        <v>5999</v>
      </c>
      <c r="I31" s="17">
        <v>6111</v>
      </c>
      <c r="K31" s="18">
        <v>60.46</v>
      </c>
      <c r="M31" s="18">
        <v>1.78</v>
      </c>
      <c r="O31" s="17">
        <v>373629</v>
      </c>
      <c r="Q31" s="17">
        <v>31758</v>
      </c>
      <c r="S31" s="17">
        <v>72299</v>
      </c>
      <c r="U31" s="17">
        <v>6608</v>
      </c>
      <c r="W31" s="17">
        <v>0</v>
      </c>
      <c r="Y31" s="17">
        <v>0</v>
      </c>
      <c r="AA31" s="17">
        <v>262963</v>
      </c>
      <c r="AC31" s="17">
        <v>92077</v>
      </c>
      <c r="AE31" s="13">
        <f t="shared" si="0"/>
        <v>8.4998755449924926E-2</v>
      </c>
      <c r="AF31" s="13">
        <f t="shared" si="1"/>
        <v>0</v>
      </c>
    </row>
    <row r="32" spans="1:32" x14ac:dyDescent="0.3">
      <c r="A32" s="16">
        <v>2035</v>
      </c>
      <c r="C32" s="17">
        <v>6555</v>
      </c>
      <c r="E32" s="17">
        <v>7275</v>
      </c>
      <c r="G32" s="17">
        <v>5414</v>
      </c>
      <c r="I32" s="17">
        <v>5097</v>
      </c>
      <c r="K32" s="18">
        <v>60.47</v>
      </c>
      <c r="M32" s="18">
        <v>1.79</v>
      </c>
      <c r="O32" s="17">
        <v>336502</v>
      </c>
      <c r="Q32" s="17">
        <v>28603</v>
      </c>
      <c r="S32" s="17">
        <v>71822</v>
      </c>
      <c r="U32" s="17">
        <v>6607</v>
      </c>
      <c r="W32" s="17">
        <v>0</v>
      </c>
      <c r="Y32" s="17">
        <v>0</v>
      </c>
      <c r="AA32" s="17">
        <v>229470</v>
      </c>
      <c r="AB32" t="s">
        <v>730</v>
      </c>
      <c r="AC32" s="17">
        <v>72733</v>
      </c>
      <c r="AE32" s="13">
        <f t="shared" si="0"/>
        <v>8.5000980677677987E-2</v>
      </c>
      <c r="AF32" s="13">
        <f t="shared" si="1"/>
        <v>0</v>
      </c>
    </row>
    <row r="33" spans="1:32" x14ac:dyDescent="0.3">
      <c r="A33" s="16">
        <v>2036</v>
      </c>
      <c r="C33" s="17">
        <v>6055</v>
      </c>
      <c r="E33" s="17">
        <v>6031</v>
      </c>
      <c r="G33" s="17">
        <v>4954</v>
      </c>
      <c r="I33" s="17">
        <v>4250</v>
      </c>
      <c r="K33" s="18">
        <v>60.5</v>
      </c>
      <c r="M33" s="18">
        <v>1.78</v>
      </c>
      <c r="O33" s="17">
        <v>307265</v>
      </c>
      <c r="Q33" s="17">
        <v>26117</v>
      </c>
      <c r="S33" s="17">
        <v>71205</v>
      </c>
      <c r="U33" s="17">
        <v>6608</v>
      </c>
      <c r="W33" s="17">
        <v>0</v>
      </c>
      <c r="Y33" s="17">
        <v>0</v>
      </c>
      <c r="AA33" s="17">
        <v>203336</v>
      </c>
      <c r="AC33" s="17">
        <v>58341</v>
      </c>
      <c r="AE33" s="13">
        <f t="shared" si="0"/>
        <v>8.4998291377150023E-2</v>
      </c>
      <c r="AF33" s="13">
        <f t="shared" si="1"/>
        <v>0</v>
      </c>
    </row>
    <row r="34" spans="1:32" x14ac:dyDescent="0.3">
      <c r="A34" s="16">
        <v>2037</v>
      </c>
      <c r="C34" s="17">
        <v>5622</v>
      </c>
      <c r="E34" s="17">
        <v>5005</v>
      </c>
      <c r="G34" s="17">
        <v>4553</v>
      </c>
      <c r="I34" s="17">
        <v>3548</v>
      </c>
      <c r="K34" s="18">
        <v>60.53</v>
      </c>
      <c r="M34" s="18">
        <v>1.79</v>
      </c>
      <c r="O34" s="17">
        <v>281937</v>
      </c>
      <c r="Q34" s="17">
        <v>23965</v>
      </c>
      <c r="S34" s="17">
        <v>70484</v>
      </c>
      <c r="U34" s="17">
        <v>6607</v>
      </c>
      <c r="W34" s="17">
        <v>0</v>
      </c>
      <c r="Y34" s="17">
        <v>0</v>
      </c>
      <c r="AA34" s="17">
        <v>180880</v>
      </c>
      <c r="AC34" s="17">
        <v>46979</v>
      </c>
      <c r="AE34" s="13">
        <f t="shared" si="0"/>
        <v>8.5001259146546923E-2</v>
      </c>
      <c r="AF34" s="13">
        <f t="shared" si="1"/>
        <v>0</v>
      </c>
    </row>
    <row r="35" spans="1:32" x14ac:dyDescent="0.3">
      <c r="A35" s="16">
        <v>2038</v>
      </c>
      <c r="C35" s="17">
        <v>5246</v>
      </c>
      <c r="E35" s="17">
        <v>4292</v>
      </c>
      <c r="G35" s="17">
        <v>4212</v>
      </c>
      <c r="I35" s="17">
        <v>3053</v>
      </c>
      <c r="K35" s="18">
        <v>60.55</v>
      </c>
      <c r="M35" s="18">
        <v>1.78</v>
      </c>
      <c r="O35" s="17">
        <v>260517</v>
      </c>
      <c r="Q35" s="17">
        <v>22144</v>
      </c>
      <c r="S35" s="17">
        <v>69793</v>
      </c>
      <c r="U35" s="17">
        <v>6608</v>
      </c>
      <c r="W35" s="17">
        <v>0</v>
      </c>
      <c r="Y35" s="17">
        <v>0</v>
      </c>
      <c r="AA35" s="17">
        <v>161973</v>
      </c>
      <c r="AC35" s="17">
        <v>38080</v>
      </c>
      <c r="AE35" s="13">
        <f t="shared" si="0"/>
        <v>8.5000211118660199E-2</v>
      </c>
      <c r="AF35" s="13">
        <f t="shared" si="1"/>
        <v>0</v>
      </c>
    </row>
    <row r="36" spans="1:32" ht="21.9" customHeight="1" x14ac:dyDescent="0.3">
      <c r="A36" s="16">
        <v>2039</v>
      </c>
      <c r="C36" s="17">
        <v>4955</v>
      </c>
      <c r="E36" s="17">
        <v>3749</v>
      </c>
      <c r="G36" s="17">
        <v>3929</v>
      </c>
      <c r="I36" s="17">
        <v>2673</v>
      </c>
      <c r="K36" s="18">
        <v>60.59</v>
      </c>
      <c r="M36" s="18">
        <v>1.79</v>
      </c>
      <c r="O36" s="17">
        <v>242826</v>
      </c>
      <c r="Q36" s="17">
        <v>20640</v>
      </c>
      <c r="S36" s="17">
        <v>69044</v>
      </c>
      <c r="U36" s="17">
        <v>6607</v>
      </c>
      <c r="W36" s="17">
        <v>0</v>
      </c>
      <c r="Y36" s="17">
        <v>0</v>
      </c>
      <c r="AA36" s="17">
        <v>146534</v>
      </c>
      <c r="AC36" s="17">
        <v>31185</v>
      </c>
      <c r="AE36" s="13">
        <f t="shared" si="0"/>
        <v>8.4999135183217611E-2</v>
      </c>
      <c r="AF36" s="13">
        <f t="shared" si="1"/>
        <v>0</v>
      </c>
    </row>
    <row r="37" spans="1:32" x14ac:dyDescent="0.3">
      <c r="A37" s="16">
        <v>2040</v>
      </c>
      <c r="C37" s="17">
        <v>4724</v>
      </c>
      <c r="E37" s="17">
        <v>0</v>
      </c>
      <c r="G37" s="17">
        <v>3708</v>
      </c>
      <c r="I37" s="17">
        <v>0</v>
      </c>
      <c r="K37" s="18">
        <v>60.62</v>
      </c>
      <c r="M37" s="18">
        <v>1.78</v>
      </c>
      <c r="O37" s="17">
        <v>224773</v>
      </c>
      <c r="Q37" s="17">
        <v>19467</v>
      </c>
      <c r="S37" s="17">
        <v>68244</v>
      </c>
      <c r="U37" s="17">
        <v>6608</v>
      </c>
      <c r="W37" s="17">
        <v>0</v>
      </c>
      <c r="Y37" s="17">
        <v>0</v>
      </c>
      <c r="AA37" s="17">
        <v>130454</v>
      </c>
      <c r="AC37" s="17">
        <v>25132</v>
      </c>
      <c r="AE37" s="13">
        <f t="shared" si="0"/>
        <v>8.6607377220573642E-2</v>
      </c>
      <c r="AF37" s="13">
        <f t="shared" si="1"/>
        <v>0</v>
      </c>
    </row>
    <row r="38" spans="1:32" x14ac:dyDescent="0.3">
      <c r="A38" s="16">
        <v>2041</v>
      </c>
      <c r="C38" s="17">
        <v>4486</v>
      </c>
      <c r="E38" s="17">
        <v>0</v>
      </c>
      <c r="G38" s="17">
        <v>3480</v>
      </c>
      <c r="I38" s="17">
        <v>0</v>
      </c>
      <c r="K38" s="18">
        <v>60.65</v>
      </c>
      <c r="M38" s="18">
        <v>1.79</v>
      </c>
      <c r="O38" s="17">
        <v>211016</v>
      </c>
      <c r="Q38" s="17">
        <v>18266</v>
      </c>
      <c r="S38" s="17">
        <v>67533</v>
      </c>
      <c r="U38" s="17">
        <v>6607</v>
      </c>
      <c r="W38" s="17">
        <v>0</v>
      </c>
      <c r="Y38" s="17">
        <v>0</v>
      </c>
      <c r="AA38" s="17">
        <v>118610</v>
      </c>
      <c r="AC38" s="17">
        <v>20683</v>
      </c>
      <c r="AE38" s="13">
        <f t="shared" si="0"/>
        <v>8.6562156424157405E-2</v>
      </c>
      <c r="AF38" s="13">
        <f t="shared" si="1"/>
        <v>0</v>
      </c>
    </row>
    <row r="39" spans="1:32" x14ac:dyDescent="0.3">
      <c r="A39" s="16">
        <v>2042</v>
      </c>
      <c r="C39" s="17">
        <v>4231</v>
      </c>
      <c r="E39" s="17">
        <v>0</v>
      </c>
      <c r="G39" s="17">
        <v>3259</v>
      </c>
      <c r="I39" s="17">
        <v>0</v>
      </c>
      <c r="K39" s="18">
        <v>60.67</v>
      </c>
      <c r="M39" s="18">
        <v>1.78</v>
      </c>
      <c r="O39" s="17">
        <v>197746</v>
      </c>
      <c r="Q39" s="17">
        <v>17112</v>
      </c>
      <c r="S39" s="17">
        <v>66957</v>
      </c>
      <c r="U39" s="17">
        <v>6608</v>
      </c>
      <c r="W39" s="17">
        <v>0</v>
      </c>
      <c r="Y39" s="17">
        <v>0</v>
      </c>
      <c r="AA39" s="17">
        <v>107070</v>
      </c>
      <c r="AC39" s="17">
        <v>16902</v>
      </c>
      <c r="AE39" s="13">
        <f t="shared" si="0"/>
        <v>8.6535252293346007E-2</v>
      </c>
      <c r="AF39" s="13">
        <f t="shared" si="1"/>
        <v>0</v>
      </c>
    </row>
    <row r="40" spans="1:32" x14ac:dyDescent="0.3">
      <c r="A40" s="16">
        <v>2043</v>
      </c>
      <c r="C40" s="17">
        <v>3975</v>
      </c>
      <c r="E40" s="17">
        <v>0</v>
      </c>
      <c r="G40" s="17">
        <v>3036</v>
      </c>
      <c r="I40" s="17">
        <v>0</v>
      </c>
      <c r="K40" s="18">
        <v>60.7</v>
      </c>
      <c r="M40" s="18">
        <v>1.79</v>
      </c>
      <c r="O40" s="17">
        <v>184288</v>
      </c>
      <c r="Q40" s="17">
        <v>15944</v>
      </c>
      <c r="S40" s="17">
        <v>66506</v>
      </c>
      <c r="U40" s="17">
        <v>6607</v>
      </c>
      <c r="W40" s="17">
        <v>0</v>
      </c>
      <c r="Y40" s="17">
        <v>0</v>
      </c>
      <c r="AA40" s="17">
        <v>95231</v>
      </c>
      <c r="AC40" s="17">
        <v>13608</v>
      </c>
      <c r="AE40" s="13">
        <f t="shared" si="0"/>
        <v>8.6516756381316201E-2</v>
      </c>
      <c r="AF40" s="13">
        <f t="shared" si="1"/>
        <v>0</v>
      </c>
    </row>
    <row r="41" spans="1:32" ht="21.9" customHeight="1" x14ac:dyDescent="0.3">
      <c r="A41" s="16">
        <v>2044</v>
      </c>
      <c r="C41" s="17">
        <v>3713</v>
      </c>
      <c r="E41" s="17">
        <v>0</v>
      </c>
      <c r="G41" s="17">
        <v>2825</v>
      </c>
      <c r="I41" s="17">
        <v>0</v>
      </c>
      <c r="K41" s="18">
        <v>60.7</v>
      </c>
      <c r="M41" s="18">
        <v>1.78</v>
      </c>
      <c r="O41" s="17">
        <v>171468</v>
      </c>
      <c r="Q41" s="17">
        <v>14833</v>
      </c>
      <c r="S41" s="17">
        <v>66147</v>
      </c>
      <c r="U41" s="17">
        <v>6608</v>
      </c>
      <c r="W41" s="17">
        <v>0</v>
      </c>
      <c r="Y41" s="17">
        <v>0</v>
      </c>
      <c r="AA41" s="17">
        <v>83880</v>
      </c>
      <c r="AC41" s="17">
        <v>10850</v>
      </c>
      <c r="AE41" s="13">
        <f t="shared" si="0"/>
        <v>8.6505936967830738E-2</v>
      </c>
      <c r="AF41" s="13">
        <f t="shared" si="1"/>
        <v>0</v>
      </c>
    </row>
    <row r="42" spans="1:32" x14ac:dyDescent="0.3">
      <c r="A42" s="16">
        <v>2045</v>
      </c>
      <c r="C42" s="17">
        <v>3439</v>
      </c>
      <c r="E42" s="17">
        <v>0</v>
      </c>
      <c r="G42" s="17">
        <v>2603</v>
      </c>
      <c r="I42" s="17">
        <v>0</v>
      </c>
      <c r="K42" s="18">
        <v>60.73</v>
      </c>
      <c r="M42" s="18">
        <v>1.79</v>
      </c>
      <c r="O42" s="17">
        <v>158085</v>
      </c>
      <c r="Q42" s="17">
        <v>13673</v>
      </c>
      <c r="S42" s="17">
        <v>65865</v>
      </c>
      <c r="U42" s="17">
        <v>6607</v>
      </c>
      <c r="W42" s="17">
        <v>0</v>
      </c>
      <c r="Y42" s="17">
        <v>0</v>
      </c>
      <c r="AA42" s="17">
        <v>71939</v>
      </c>
      <c r="AC42" s="17">
        <v>8423</v>
      </c>
      <c r="AE42" s="13">
        <f t="shared" si="0"/>
        <v>8.6491444476073001E-2</v>
      </c>
      <c r="AF42" s="13">
        <f t="shared" si="1"/>
        <v>0</v>
      </c>
    </row>
    <row r="43" spans="1:32" x14ac:dyDescent="0.3">
      <c r="A43" s="16">
        <v>2046</v>
      </c>
      <c r="C43" s="17">
        <v>3151</v>
      </c>
      <c r="E43" s="17">
        <v>0</v>
      </c>
      <c r="G43" s="17">
        <v>2373</v>
      </c>
      <c r="I43" s="17">
        <v>0</v>
      </c>
      <c r="K43" s="18">
        <v>60.73</v>
      </c>
      <c r="M43" s="18">
        <v>1.78</v>
      </c>
      <c r="O43" s="17">
        <v>144126</v>
      </c>
      <c r="Q43" s="17">
        <v>12464</v>
      </c>
      <c r="S43" s="17">
        <v>65530</v>
      </c>
      <c r="U43" s="17">
        <v>6608</v>
      </c>
      <c r="W43" s="17">
        <v>0</v>
      </c>
      <c r="Y43" s="17">
        <v>0</v>
      </c>
      <c r="AA43" s="17">
        <v>59525</v>
      </c>
      <c r="AC43" s="17">
        <v>6309</v>
      </c>
      <c r="AE43" s="13">
        <f t="shared" si="0"/>
        <v>8.6479885655606895E-2</v>
      </c>
      <c r="AF43" s="13">
        <f t="shared" si="1"/>
        <v>0</v>
      </c>
    </row>
    <row r="44" spans="1:32" x14ac:dyDescent="0.3">
      <c r="A44" s="16">
        <v>2047</v>
      </c>
      <c r="C44" s="17">
        <v>2880</v>
      </c>
      <c r="E44" s="17">
        <v>0</v>
      </c>
      <c r="G44" s="17">
        <v>2160</v>
      </c>
      <c r="I44" s="17">
        <v>0</v>
      </c>
      <c r="K44" s="18">
        <v>60.75</v>
      </c>
      <c r="M44" s="18">
        <v>1.79</v>
      </c>
      <c r="O44" s="17">
        <v>131224</v>
      </c>
      <c r="Q44" s="17">
        <v>11344</v>
      </c>
      <c r="S44" s="17">
        <v>65293</v>
      </c>
      <c r="U44" s="17">
        <v>6607</v>
      </c>
      <c r="W44" s="17">
        <v>0</v>
      </c>
      <c r="Y44" s="17">
        <v>0</v>
      </c>
      <c r="AA44" s="17">
        <v>47979</v>
      </c>
      <c r="AC44" s="17">
        <v>4603</v>
      </c>
      <c r="AE44" s="13">
        <f t="shared" si="0"/>
        <v>8.6447601048588674E-2</v>
      </c>
      <c r="AF44" s="13">
        <f t="shared" si="1"/>
        <v>0</v>
      </c>
    </row>
    <row r="45" spans="1:32" x14ac:dyDescent="0.3">
      <c r="A45" s="16">
        <v>2048</v>
      </c>
      <c r="C45" s="17">
        <v>2644</v>
      </c>
      <c r="E45" s="17">
        <v>0</v>
      </c>
      <c r="G45" s="17">
        <v>1980</v>
      </c>
      <c r="I45" s="17">
        <v>0</v>
      </c>
      <c r="K45" s="18">
        <v>60.76</v>
      </c>
      <c r="M45" s="18">
        <v>1.78</v>
      </c>
      <c r="O45" s="17">
        <v>120311</v>
      </c>
      <c r="Q45" s="17">
        <v>10395</v>
      </c>
      <c r="S45" s="17">
        <v>65105</v>
      </c>
      <c r="U45" s="17">
        <v>6608</v>
      </c>
      <c r="W45" s="17">
        <v>0</v>
      </c>
      <c r="Y45" s="17">
        <v>0</v>
      </c>
      <c r="AA45" s="17">
        <v>38204</v>
      </c>
      <c r="AC45" s="17">
        <v>3318</v>
      </c>
      <c r="AE45" s="13">
        <f t="shared" si="0"/>
        <v>8.6401077208235325E-2</v>
      </c>
      <c r="AF45" s="13">
        <f t="shared" si="1"/>
        <v>0</v>
      </c>
    </row>
    <row r="46" spans="1:32" ht="21.9" customHeight="1" x14ac:dyDescent="0.3">
      <c r="A46" s="16">
        <v>2049</v>
      </c>
      <c r="C46" s="17">
        <v>2341</v>
      </c>
      <c r="E46" s="17">
        <v>0</v>
      </c>
      <c r="G46" s="17">
        <v>1725</v>
      </c>
      <c r="I46" s="17">
        <v>0</v>
      </c>
      <c r="K46" s="18">
        <v>60.81</v>
      </c>
      <c r="M46" s="18">
        <v>1.79</v>
      </c>
      <c r="O46" s="17">
        <v>104877</v>
      </c>
      <c r="Q46" s="17">
        <v>9063</v>
      </c>
      <c r="S46" s="17">
        <v>64085</v>
      </c>
      <c r="U46" s="17">
        <v>6607</v>
      </c>
      <c r="W46" s="17">
        <v>0</v>
      </c>
      <c r="Y46" s="17">
        <v>0</v>
      </c>
      <c r="AA46" s="17">
        <v>25121</v>
      </c>
      <c r="AC46" s="17">
        <v>1975</v>
      </c>
      <c r="AE46" s="13">
        <f t="shared" si="0"/>
        <v>8.6415515317943878E-2</v>
      </c>
      <c r="AF46" s="13">
        <f t="shared" si="1"/>
        <v>0</v>
      </c>
    </row>
    <row r="47" spans="1:32" x14ac:dyDescent="0.3">
      <c r="A47" s="16">
        <v>2050</v>
      </c>
      <c r="C47" s="17">
        <v>2139</v>
      </c>
      <c r="E47" s="17">
        <v>0</v>
      </c>
      <c r="G47" s="17">
        <v>1566</v>
      </c>
      <c r="I47" s="17">
        <v>0</v>
      </c>
      <c r="K47" s="18">
        <v>60.82</v>
      </c>
      <c r="M47" s="18">
        <v>1.78</v>
      </c>
      <c r="O47" s="17">
        <v>95257</v>
      </c>
      <c r="Q47" s="17">
        <v>8225</v>
      </c>
      <c r="S47" s="17">
        <v>63650</v>
      </c>
      <c r="U47" s="17">
        <v>0</v>
      </c>
      <c r="W47" s="17">
        <v>0</v>
      </c>
      <c r="Y47" s="17">
        <v>0</v>
      </c>
      <c r="AA47" s="17">
        <v>23381</v>
      </c>
      <c r="AC47" s="17">
        <v>1664</v>
      </c>
      <c r="AE47" s="13">
        <f t="shared" si="0"/>
        <v>8.634536044595148E-2</v>
      </c>
      <c r="AF47" s="13">
        <f t="shared" si="1"/>
        <v>0</v>
      </c>
    </row>
    <row r="48" spans="1:32" x14ac:dyDescent="0.3">
      <c r="A48" s="16">
        <v>2051</v>
      </c>
      <c r="C48" s="17">
        <v>1944</v>
      </c>
      <c r="E48" s="17">
        <v>0</v>
      </c>
      <c r="G48" s="17">
        <v>1406</v>
      </c>
      <c r="I48" s="17">
        <v>0</v>
      </c>
      <c r="K48" s="18">
        <v>60.86</v>
      </c>
      <c r="M48" s="18">
        <v>1.78</v>
      </c>
      <c r="O48" s="17">
        <v>85556</v>
      </c>
      <c r="Q48" s="17">
        <v>7388</v>
      </c>
      <c r="S48" s="17">
        <v>63012</v>
      </c>
      <c r="U48" s="17">
        <v>0</v>
      </c>
      <c r="W48" s="17">
        <v>0</v>
      </c>
      <c r="Y48" s="17">
        <v>0</v>
      </c>
      <c r="AA48" s="17">
        <v>15157</v>
      </c>
      <c r="AC48" s="17">
        <v>976</v>
      </c>
      <c r="AE48" s="13">
        <f t="shared" si="0"/>
        <v>8.6352798167282252E-2</v>
      </c>
      <c r="AF48" s="13">
        <f t="shared" si="1"/>
        <v>0</v>
      </c>
    </row>
    <row r="49" spans="1:32" x14ac:dyDescent="0.3">
      <c r="A49" s="16">
        <v>2052</v>
      </c>
      <c r="C49" s="17">
        <v>1651</v>
      </c>
      <c r="E49" s="17">
        <v>0</v>
      </c>
      <c r="G49" s="17">
        <v>1150</v>
      </c>
      <c r="I49" s="17">
        <v>0</v>
      </c>
      <c r="K49" s="18">
        <v>60.98</v>
      </c>
      <c r="M49" s="18">
        <v>1.79</v>
      </c>
      <c r="O49" s="17">
        <v>70154</v>
      </c>
      <c r="Q49" s="17">
        <v>6063</v>
      </c>
      <c r="S49" s="17">
        <v>60575</v>
      </c>
      <c r="U49" s="17">
        <v>0</v>
      </c>
      <c r="W49" s="17">
        <v>0</v>
      </c>
      <c r="Y49" s="17">
        <v>0</v>
      </c>
      <c r="AA49" s="17">
        <v>3517</v>
      </c>
      <c r="AC49" s="17">
        <v>205</v>
      </c>
      <c r="AE49" s="13">
        <f t="shared" si="0"/>
        <v>8.6424152578612773E-2</v>
      </c>
      <c r="AF49" s="13">
        <f t="shared" si="1"/>
        <v>0</v>
      </c>
    </row>
    <row r="50" spans="1:32" x14ac:dyDescent="0.3">
      <c r="A50" s="16">
        <v>2053</v>
      </c>
      <c r="C50" s="17">
        <v>0</v>
      </c>
      <c r="E50" s="17">
        <v>0</v>
      </c>
      <c r="G50" s="17">
        <v>0</v>
      </c>
      <c r="I50" s="17">
        <v>0</v>
      </c>
      <c r="K50" s="18">
        <v>0</v>
      </c>
      <c r="M50" s="18">
        <v>0</v>
      </c>
      <c r="O50" s="17">
        <v>0</v>
      </c>
      <c r="Q50" s="17">
        <v>0</v>
      </c>
      <c r="S50" s="17">
        <v>0</v>
      </c>
      <c r="U50" s="17">
        <v>0</v>
      </c>
      <c r="W50" s="17">
        <v>249246</v>
      </c>
      <c r="Y50" s="17">
        <v>0</v>
      </c>
      <c r="AA50" s="17">
        <v>-249246</v>
      </c>
      <c r="AC50" s="17">
        <v>-13156</v>
      </c>
      <c r="AE50" s="13">
        <f t="shared" si="0"/>
        <v>0</v>
      </c>
      <c r="AF50" s="13">
        <f t="shared" si="1"/>
        <v>0</v>
      </c>
    </row>
    <row r="51" spans="1:32" ht="21.9" customHeight="1" x14ac:dyDescent="0.3">
      <c r="A51" s="16">
        <v>2054</v>
      </c>
      <c r="C51" s="17">
        <v>0</v>
      </c>
      <c r="E51" s="17">
        <v>0</v>
      </c>
      <c r="G51" s="17">
        <v>0</v>
      </c>
      <c r="I51" s="17">
        <v>0</v>
      </c>
      <c r="K51" s="18">
        <v>0</v>
      </c>
      <c r="M51" s="18">
        <v>0</v>
      </c>
      <c r="O51" s="17">
        <v>0</v>
      </c>
      <c r="Q51" s="17">
        <v>0</v>
      </c>
      <c r="S51" s="17">
        <v>0</v>
      </c>
      <c r="U51" s="17">
        <v>0</v>
      </c>
      <c r="W51" s="17">
        <v>0</v>
      </c>
      <c r="Y51" s="17">
        <v>0</v>
      </c>
      <c r="AA51" s="17">
        <v>0</v>
      </c>
      <c r="AC51" s="17">
        <v>0</v>
      </c>
      <c r="AE51" s="13">
        <f t="shared" si="0"/>
        <v>0</v>
      </c>
      <c r="AF51" s="13">
        <f t="shared" si="1"/>
        <v>0</v>
      </c>
    </row>
    <row r="52" spans="1:32" x14ac:dyDescent="0.3">
      <c r="A52" s="16">
        <v>2055</v>
      </c>
      <c r="C52" s="17">
        <v>0</v>
      </c>
      <c r="E52" s="17">
        <v>0</v>
      </c>
      <c r="G52" s="17">
        <v>0</v>
      </c>
      <c r="I52" s="17">
        <v>0</v>
      </c>
      <c r="K52" s="18">
        <v>0</v>
      </c>
      <c r="M52" s="18">
        <v>0</v>
      </c>
      <c r="O52" s="17">
        <v>0</v>
      </c>
      <c r="Q52" s="17">
        <v>0</v>
      </c>
      <c r="S52" s="17">
        <v>0</v>
      </c>
      <c r="U52" s="17">
        <v>0</v>
      </c>
      <c r="W52" s="17">
        <v>0</v>
      </c>
      <c r="Y52" s="17">
        <v>0</v>
      </c>
      <c r="AA52" s="17">
        <v>0</v>
      </c>
      <c r="AC52" s="17">
        <v>0</v>
      </c>
      <c r="AE52" s="13">
        <f t="shared" si="0"/>
        <v>0</v>
      </c>
      <c r="AF52" s="13">
        <f t="shared" si="1"/>
        <v>0</v>
      </c>
    </row>
    <row r="53" spans="1:32" x14ac:dyDescent="0.3">
      <c r="A53" s="16">
        <v>2056</v>
      </c>
      <c r="C53" s="17">
        <v>0</v>
      </c>
      <c r="E53" s="17">
        <v>0</v>
      </c>
      <c r="G53" s="17">
        <v>0</v>
      </c>
      <c r="I53" s="17">
        <v>0</v>
      </c>
      <c r="K53" s="18">
        <v>0</v>
      </c>
      <c r="M53" s="18">
        <v>0</v>
      </c>
      <c r="O53" s="17">
        <v>0</v>
      </c>
      <c r="Q53" s="17">
        <v>0</v>
      </c>
      <c r="S53" s="17">
        <v>0</v>
      </c>
      <c r="U53" s="17">
        <v>0</v>
      </c>
      <c r="W53" s="17">
        <v>0</v>
      </c>
      <c r="Y53" s="17">
        <v>0</v>
      </c>
      <c r="AA53" s="17">
        <v>0</v>
      </c>
      <c r="AC53" s="17">
        <v>0</v>
      </c>
      <c r="AE53" s="13">
        <f t="shared" si="0"/>
        <v>0</v>
      </c>
      <c r="AF53" s="13">
        <f t="shared" si="1"/>
        <v>0</v>
      </c>
    </row>
    <row r="54" spans="1:32" x14ac:dyDescent="0.3">
      <c r="A54" s="16">
        <v>2057</v>
      </c>
      <c r="C54" s="17">
        <v>0</v>
      </c>
      <c r="E54" s="17">
        <v>0</v>
      </c>
      <c r="G54" s="17">
        <v>0</v>
      </c>
      <c r="I54" s="17">
        <v>0</v>
      </c>
      <c r="K54" s="18">
        <v>0</v>
      </c>
      <c r="M54" s="18">
        <v>0</v>
      </c>
      <c r="O54" s="17">
        <v>0</v>
      </c>
      <c r="Q54" s="17">
        <v>0</v>
      </c>
      <c r="S54" s="17">
        <v>0</v>
      </c>
      <c r="U54" s="17">
        <v>0</v>
      </c>
      <c r="W54" s="17">
        <v>0</v>
      </c>
      <c r="Y54" s="17">
        <v>0</v>
      </c>
      <c r="AA54" s="17">
        <v>0</v>
      </c>
      <c r="AC54" s="17">
        <v>0</v>
      </c>
      <c r="AE54" s="13">
        <f t="shared" si="0"/>
        <v>0</v>
      </c>
      <c r="AF54" s="13">
        <f t="shared" si="1"/>
        <v>0</v>
      </c>
    </row>
    <row r="55" spans="1:32" x14ac:dyDescent="0.3">
      <c r="A55" s="16">
        <v>2058</v>
      </c>
      <c r="C55" s="17">
        <v>0</v>
      </c>
      <c r="E55" s="17">
        <v>0</v>
      </c>
      <c r="G55" s="17">
        <v>0</v>
      </c>
      <c r="I55" s="17">
        <v>0</v>
      </c>
      <c r="K55" s="18">
        <v>0</v>
      </c>
      <c r="M55" s="18">
        <v>0</v>
      </c>
      <c r="O55" s="17">
        <v>0</v>
      </c>
      <c r="Q55" s="17">
        <v>0</v>
      </c>
      <c r="S55" s="17">
        <v>0</v>
      </c>
      <c r="U55" s="17">
        <v>0</v>
      </c>
      <c r="W55" s="17">
        <v>0</v>
      </c>
      <c r="Y55" s="17">
        <v>0</v>
      </c>
      <c r="AA55" s="17">
        <v>0</v>
      </c>
      <c r="AC55" s="17">
        <v>0</v>
      </c>
      <c r="AE55" s="13">
        <f t="shared" si="0"/>
        <v>0</v>
      </c>
      <c r="AF55" s="13">
        <f t="shared" si="1"/>
        <v>0</v>
      </c>
    </row>
    <row r="56" spans="1:32" ht="21.9" customHeight="1" x14ac:dyDescent="0.3">
      <c r="A56" s="16">
        <v>2059</v>
      </c>
      <c r="C56" s="17">
        <v>0</v>
      </c>
      <c r="E56" s="17">
        <v>0</v>
      </c>
      <c r="G56" s="17">
        <v>0</v>
      </c>
      <c r="I56" s="17">
        <v>0</v>
      </c>
      <c r="K56" s="18">
        <v>0</v>
      </c>
      <c r="M56" s="18">
        <v>0</v>
      </c>
      <c r="O56" s="17">
        <v>0</v>
      </c>
      <c r="Q56" s="17">
        <v>0</v>
      </c>
      <c r="S56" s="17">
        <v>0</v>
      </c>
      <c r="U56" s="17">
        <v>0</v>
      </c>
      <c r="W56" s="17">
        <v>0</v>
      </c>
      <c r="Y56" s="17">
        <v>0</v>
      </c>
      <c r="AA56" s="17">
        <v>0</v>
      </c>
      <c r="AC56" s="17">
        <v>0</v>
      </c>
      <c r="AE56" s="13">
        <f t="shared" si="0"/>
        <v>0</v>
      </c>
      <c r="AF56" s="13">
        <f t="shared" si="1"/>
        <v>0</v>
      </c>
    </row>
    <row r="57" spans="1:32" x14ac:dyDescent="0.3">
      <c r="A57" s="16">
        <v>2060</v>
      </c>
      <c r="C57" s="19">
        <v>0</v>
      </c>
      <c r="E57" s="19">
        <v>0</v>
      </c>
      <c r="G57" s="19">
        <v>0</v>
      </c>
      <c r="I57" s="19">
        <v>0</v>
      </c>
      <c r="K57" s="18">
        <v>0</v>
      </c>
      <c r="M57" s="18">
        <v>0</v>
      </c>
      <c r="O57" s="19">
        <v>0</v>
      </c>
      <c r="Q57" s="19">
        <v>0</v>
      </c>
      <c r="S57" s="19">
        <v>0</v>
      </c>
      <c r="U57" s="19">
        <v>0</v>
      </c>
      <c r="W57" s="19">
        <v>0</v>
      </c>
      <c r="Y57" s="19">
        <v>0</v>
      </c>
      <c r="AA57" s="19">
        <v>0</v>
      </c>
      <c r="AC57" s="19">
        <v>0</v>
      </c>
      <c r="AE57" s="13">
        <f t="shared" si="0"/>
        <v>0</v>
      </c>
      <c r="AF57" s="13">
        <f t="shared" si="1"/>
        <v>0</v>
      </c>
    </row>
    <row r="58" spans="1:32" x14ac:dyDescent="0.3">
      <c r="AE58" s="13"/>
      <c r="AF58" s="13"/>
    </row>
    <row r="59" spans="1:32" x14ac:dyDescent="0.3">
      <c r="A59" s="228" t="s">
        <v>2</v>
      </c>
      <c r="C59" s="229">
        <v>249539</v>
      </c>
      <c r="E59" s="229">
        <v>177269</v>
      </c>
      <c r="G59" s="229">
        <v>205212</v>
      </c>
      <c r="I59" s="229">
        <v>127755</v>
      </c>
      <c r="O59" s="229">
        <v>12640563</v>
      </c>
      <c r="Q59" s="229">
        <v>1077280</v>
      </c>
      <c r="S59" s="229">
        <v>2002249</v>
      </c>
      <c r="U59" s="229">
        <v>513977</v>
      </c>
      <c r="W59" s="229">
        <v>249246</v>
      </c>
      <c r="Y59" s="229">
        <v>120762</v>
      </c>
      <c r="AA59" s="229">
        <v>8677050</v>
      </c>
      <c r="AC59" s="229">
        <v>5229930</v>
      </c>
      <c r="AE59" s="13"/>
      <c r="AF59" s="13"/>
    </row>
    <row r="60" spans="1:32" x14ac:dyDescent="0.3">
      <c r="AE60" s="13"/>
      <c r="AF60" s="13"/>
    </row>
    <row r="61" spans="1:32" ht="21.9" customHeight="1" x14ac:dyDescent="0.3">
      <c r="A61" t="s">
        <v>45</v>
      </c>
      <c r="AA61" s="225" t="s">
        <v>721</v>
      </c>
      <c r="AB61" s="15"/>
      <c r="AC61" s="15"/>
      <c r="AE61" s="13"/>
      <c r="AF61" s="13"/>
    </row>
    <row r="62" spans="1:32" x14ac:dyDescent="0.3">
      <c r="A62" t="s">
        <v>77</v>
      </c>
      <c r="AA62" s="20" t="s">
        <v>46</v>
      </c>
      <c r="AC62" s="17">
        <v>6587944</v>
      </c>
      <c r="AE62" s="13"/>
      <c r="AF62" s="13"/>
    </row>
    <row r="63" spans="1:32" x14ac:dyDescent="0.3">
      <c r="A63" t="s">
        <v>78</v>
      </c>
      <c r="AA63" s="20" t="s">
        <v>47</v>
      </c>
      <c r="AC63" s="17">
        <v>4300856</v>
      </c>
      <c r="AE63" s="13"/>
      <c r="AF63" s="13"/>
    </row>
    <row r="64" spans="1:32" x14ac:dyDescent="0.3">
      <c r="A64" t="s">
        <v>79</v>
      </c>
      <c r="AA64" s="20" t="s">
        <v>48</v>
      </c>
      <c r="AC64" s="17">
        <v>3631842</v>
      </c>
      <c r="AE64" s="13"/>
      <c r="AF64" s="13"/>
    </row>
    <row r="65" spans="1:1" ht="8.1" customHeight="1" x14ac:dyDescent="0.3">
      <c r="A65" t="s">
        <v>726</v>
      </c>
    </row>
    <row r="66" spans="1:1" x14ac:dyDescent="0.3">
      <c r="A66" s="230" t="s">
        <v>727</v>
      </c>
    </row>
  </sheetData>
  <printOptions horizontalCentered="1"/>
  <pageMargins left="0.5" right="0.3" top="0.75" bottom="0.75" header="0.5" footer="0.5"/>
  <pageSetup paperSize="162" scale="42"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E9280-9C85-4A5C-B2F2-568CCD4F546F}">
  <sheetPr>
    <tabColor rgb="FF7030A0"/>
    <pageSetUpPr fitToPage="1"/>
  </sheetPr>
  <dimension ref="A1:AF67"/>
  <sheetViews>
    <sheetView showGridLines="0" zoomScale="85" zoomScaleNormal="85" zoomScaleSheetLayoutView="85" workbookViewId="0">
      <selection activeCell="Y22" sqref="Y22"/>
    </sheetView>
  </sheetViews>
  <sheetFormatPr defaultRowHeight="14.4" x14ac:dyDescent="0.3"/>
  <cols>
    <col min="1" max="1" width="5.77734375" bestFit="1" customWidth="1"/>
    <col min="2" max="2" width="1.77734375" customWidth="1"/>
    <col min="3" max="3" width="9.6640625" customWidth="1"/>
    <col min="4" max="4" width="1.77734375" customWidth="1"/>
    <col min="5" max="5" width="9.6640625" customWidth="1"/>
    <col min="6" max="6" width="1.77734375" customWidth="1"/>
    <col min="7" max="7" width="9.6640625" customWidth="1"/>
    <col min="8" max="8" width="1.77734375" customWidth="1"/>
    <col min="9" max="9" width="9.6640625" customWidth="1"/>
    <col min="10" max="10" width="1.77734375" customWidth="1"/>
    <col min="11" max="11" width="13.44140625" customWidth="1"/>
    <col min="12" max="12" width="1.77734375" customWidth="1"/>
    <col min="13" max="13" width="13.44140625" customWidth="1"/>
    <col min="14" max="14" width="1.77734375" customWidth="1"/>
    <col min="15" max="15" width="14.6640625" customWidth="1"/>
    <col min="16" max="16" width="1.77734375" customWidth="1"/>
    <col min="17" max="17" width="14.6640625" customWidth="1"/>
    <col min="18" max="18" width="1.77734375" customWidth="1"/>
    <col min="19" max="19" width="14.6640625" customWidth="1"/>
    <col min="20" max="20" width="1.77734375" customWidth="1"/>
    <col min="21" max="21" width="14.6640625" customWidth="1"/>
    <col min="22" max="22" width="1.77734375" customWidth="1"/>
    <col min="23" max="23" width="14.77734375" bestFit="1" customWidth="1"/>
    <col min="24" max="24" width="1.77734375" customWidth="1"/>
    <col min="25" max="25" width="14.6640625" customWidth="1"/>
    <col min="26" max="26" width="1.77734375" customWidth="1"/>
    <col min="27" max="27" width="14.6640625" customWidth="1"/>
    <col min="28" max="28" width="1.77734375" customWidth="1"/>
    <col min="29" max="29" width="14.6640625" customWidth="1"/>
  </cols>
  <sheetData>
    <row r="1" spans="1:32" x14ac:dyDescent="0.3">
      <c r="A1" s="223" t="s">
        <v>54</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row>
    <row r="2" spans="1:32" x14ac:dyDescent="0.3">
      <c r="A2" s="223" t="s">
        <v>62</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row>
    <row r="3" spans="1:32" x14ac:dyDescent="0.3">
      <c r="A3" s="223" t="s">
        <v>22</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row>
    <row r="4" spans="1:32" x14ac:dyDescent="0.3">
      <c r="A4" s="223" t="s">
        <v>710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row>
    <row r="5" spans="1:32" x14ac:dyDescent="0.3">
      <c r="A5" s="223" t="s">
        <v>60</v>
      </c>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row>
    <row r="6" spans="1:32" x14ac:dyDescent="0.3">
      <c r="A6" s="223" t="s">
        <v>85</v>
      </c>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row>
    <row r="7" spans="1:32" x14ac:dyDescent="0.3">
      <c r="A7" s="223" t="s">
        <v>23</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row>
    <row r="8" spans="1:32" x14ac:dyDescent="0.3">
      <c r="A8" s="223" t="s">
        <v>24</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row>
    <row r="9" spans="1:32" x14ac:dyDescent="0.3">
      <c r="A9" s="223" t="s">
        <v>25</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row>
    <row r="10" spans="1:32" x14ac:dyDescent="0.3">
      <c r="A10" s="223" t="s">
        <v>711</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row>
    <row r="11" spans="1:32" x14ac:dyDescent="0.3">
      <c r="A11" s="223" t="s">
        <v>5</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row>
    <row r="12" spans="1:32" x14ac:dyDescent="0.3">
      <c r="A12" s="223" t="s">
        <v>5</v>
      </c>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row>
    <row r="13" spans="1:32" x14ac:dyDescent="0.3">
      <c r="A13" s="223" t="s">
        <v>5</v>
      </c>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spans="1:32" x14ac:dyDescent="0.3">
      <c r="K14" s="224"/>
      <c r="L14" s="14"/>
      <c r="M14" s="14"/>
    </row>
    <row r="15" spans="1:32" x14ac:dyDescent="0.3">
      <c r="C15" s="224" t="s">
        <v>29</v>
      </c>
      <c r="D15" s="14"/>
      <c r="E15" s="14"/>
      <c r="G15" s="224" t="s">
        <v>35</v>
      </c>
      <c r="H15" s="14"/>
      <c r="I15" s="14"/>
      <c r="K15" s="224" t="s">
        <v>74</v>
      </c>
      <c r="L15" s="14"/>
      <c r="M15" s="14"/>
    </row>
    <row r="16" spans="1:32" x14ac:dyDescent="0.3">
      <c r="C16" s="225" t="s">
        <v>50</v>
      </c>
      <c r="D16" s="15"/>
      <c r="E16" s="15"/>
      <c r="G16" s="225" t="s">
        <v>50</v>
      </c>
      <c r="H16" s="15"/>
      <c r="I16" s="15"/>
      <c r="K16" s="225" t="s">
        <v>75</v>
      </c>
      <c r="L16" s="15"/>
      <c r="M16" s="15"/>
      <c r="O16" s="226" t="s">
        <v>26</v>
      </c>
      <c r="Q16" s="226" t="s">
        <v>14</v>
      </c>
      <c r="AA16" s="226" t="s">
        <v>26</v>
      </c>
      <c r="AC16" s="226" t="s">
        <v>27</v>
      </c>
      <c r="AE16" s="9" t="s">
        <v>14</v>
      </c>
      <c r="AF16" s="9"/>
    </row>
    <row r="17" spans="1:32" x14ac:dyDescent="0.3">
      <c r="E17" s="226" t="s">
        <v>28</v>
      </c>
      <c r="I17" s="226" t="s">
        <v>28</v>
      </c>
      <c r="M17" s="226" t="s">
        <v>28</v>
      </c>
      <c r="O17" s="226" t="s">
        <v>29</v>
      </c>
      <c r="Q17" s="226" t="s">
        <v>31</v>
      </c>
      <c r="S17" s="226" t="s">
        <v>32</v>
      </c>
      <c r="U17" s="226" t="s">
        <v>33</v>
      </c>
      <c r="W17" s="226" t="s">
        <v>34</v>
      </c>
      <c r="AA17" s="226" t="s">
        <v>35</v>
      </c>
      <c r="AC17" s="226" t="s">
        <v>36</v>
      </c>
      <c r="AE17" s="9" t="s">
        <v>31</v>
      </c>
      <c r="AF17" s="9"/>
    </row>
    <row r="18" spans="1:32" x14ac:dyDescent="0.3">
      <c r="C18" s="226" t="s">
        <v>37</v>
      </c>
      <c r="E18" s="226" t="s">
        <v>38</v>
      </c>
      <c r="G18" s="226" t="s">
        <v>37</v>
      </c>
      <c r="I18" s="226" t="s">
        <v>38</v>
      </c>
      <c r="K18" s="226" t="s">
        <v>37</v>
      </c>
      <c r="M18" s="226" t="s">
        <v>38</v>
      </c>
      <c r="O18" s="226" t="s">
        <v>39</v>
      </c>
      <c r="Q18" s="226" t="s">
        <v>30</v>
      </c>
      <c r="S18" s="226" t="s">
        <v>40</v>
      </c>
      <c r="U18" s="226" t="s">
        <v>41</v>
      </c>
      <c r="W18" s="226" t="s">
        <v>76</v>
      </c>
      <c r="Y18" s="226" t="s">
        <v>42</v>
      </c>
      <c r="AA18" s="226" t="s">
        <v>39</v>
      </c>
      <c r="AC18" s="226" t="s">
        <v>43</v>
      </c>
      <c r="AE18" s="9" t="s">
        <v>30</v>
      </c>
      <c r="AF18" s="9" t="s">
        <v>42</v>
      </c>
    </row>
    <row r="19" spans="1:32" ht="16.8" x14ac:dyDescent="0.3">
      <c r="A19" s="227" t="s">
        <v>1</v>
      </c>
      <c r="C19" s="227" t="s">
        <v>715</v>
      </c>
      <c r="E19" s="227" t="s">
        <v>716</v>
      </c>
      <c r="G19" s="227" t="s">
        <v>715</v>
      </c>
      <c r="I19" s="227" t="s">
        <v>716</v>
      </c>
      <c r="K19" s="227" t="s">
        <v>44</v>
      </c>
      <c r="M19" s="227" t="s">
        <v>717</v>
      </c>
      <c r="O19" s="227" t="s">
        <v>720</v>
      </c>
      <c r="Q19" s="227" t="s">
        <v>720</v>
      </c>
      <c r="S19" s="227" t="s">
        <v>720</v>
      </c>
      <c r="U19" s="227" t="s">
        <v>720</v>
      </c>
      <c r="W19" s="227" t="s">
        <v>720</v>
      </c>
      <c r="Y19" s="227" t="s">
        <v>720</v>
      </c>
      <c r="AA19" s="227" t="s">
        <v>720</v>
      </c>
      <c r="AC19" s="227" t="s">
        <v>720</v>
      </c>
      <c r="AE19" s="10" t="s">
        <v>69</v>
      </c>
      <c r="AF19" s="10" t="s">
        <v>69</v>
      </c>
    </row>
    <row r="20" spans="1:32" x14ac:dyDescent="0.3">
      <c r="AE20" s="8"/>
      <c r="AF20" s="8"/>
    </row>
    <row r="21" spans="1:32" x14ac:dyDescent="0.3">
      <c r="A21" s="16">
        <v>2024</v>
      </c>
      <c r="C21" s="17">
        <v>25642</v>
      </c>
      <c r="E21" s="17">
        <v>11652</v>
      </c>
      <c r="G21" s="17">
        <v>23335</v>
      </c>
      <c r="I21" s="17">
        <v>9805</v>
      </c>
      <c r="K21" s="18">
        <v>60.22</v>
      </c>
      <c r="M21" s="18">
        <v>1.78</v>
      </c>
      <c r="O21" s="17">
        <v>1422783</v>
      </c>
      <c r="Q21" s="17">
        <v>120937</v>
      </c>
      <c r="S21" s="17">
        <v>79179</v>
      </c>
      <c r="U21" s="17">
        <v>277375</v>
      </c>
      <c r="W21" s="17">
        <v>0</v>
      </c>
      <c r="Y21" s="17">
        <v>53542</v>
      </c>
      <c r="AA21" s="17">
        <v>891750</v>
      </c>
      <c r="AC21" s="17">
        <v>845268</v>
      </c>
      <c r="AE21" s="13">
        <f t="shared" ref="AE21:AE57" si="0">IFERROR(Q21/O21,0)</f>
        <v>8.5000312767301828E-2</v>
      </c>
      <c r="AF21" s="13">
        <f t="shared" ref="AF21:AF57" si="1">IFERROR(Y21/O21,0)</f>
        <v>3.7631880617072316E-2</v>
      </c>
    </row>
    <row r="22" spans="1:32" x14ac:dyDescent="0.3">
      <c r="A22" s="16">
        <v>2025</v>
      </c>
      <c r="C22" s="17">
        <v>35049</v>
      </c>
      <c r="E22" s="17">
        <v>20455</v>
      </c>
      <c r="G22" s="17">
        <v>28383</v>
      </c>
      <c r="I22" s="17">
        <v>15113</v>
      </c>
      <c r="K22" s="18">
        <v>60.53</v>
      </c>
      <c r="M22" s="18">
        <v>1.79</v>
      </c>
      <c r="O22" s="17">
        <v>1744976</v>
      </c>
      <c r="Q22" s="17">
        <v>148323</v>
      </c>
      <c r="S22" s="17">
        <v>70446</v>
      </c>
      <c r="U22" s="17">
        <v>75022</v>
      </c>
      <c r="W22" s="17">
        <v>0</v>
      </c>
      <c r="Y22" s="17">
        <v>36365</v>
      </c>
      <c r="AA22" s="17">
        <v>1414819</v>
      </c>
      <c r="AC22" s="17">
        <v>1213956</v>
      </c>
      <c r="AE22" s="13">
        <f t="shared" si="0"/>
        <v>8.5000022922951377E-2</v>
      </c>
      <c r="AF22" s="13">
        <f t="shared" si="1"/>
        <v>2.0839828169556488E-2</v>
      </c>
    </row>
    <row r="23" spans="1:32" x14ac:dyDescent="0.3">
      <c r="A23" s="16">
        <v>2026</v>
      </c>
      <c r="C23" s="17">
        <v>32167</v>
      </c>
      <c r="E23" s="17">
        <v>19839</v>
      </c>
      <c r="G23" s="17">
        <v>25695</v>
      </c>
      <c r="I23" s="17">
        <v>14433</v>
      </c>
      <c r="K23" s="18">
        <v>60.57</v>
      </c>
      <c r="M23" s="18">
        <v>1.78</v>
      </c>
      <c r="O23" s="17">
        <v>1582009</v>
      </c>
      <c r="Q23" s="17">
        <v>134470</v>
      </c>
      <c r="S23" s="17">
        <v>69507</v>
      </c>
      <c r="U23" s="17">
        <v>6608</v>
      </c>
      <c r="W23" s="17">
        <v>0</v>
      </c>
      <c r="Y23" s="17">
        <v>28688</v>
      </c>
      <c r="AA23" s="17">
        <v>1342736</v>
      </c>
      <c r="AC23" s="17">
        <v>1042901</v>
      </c>
      <c r="AE23" s="13">
        <f t="shared" si="0"/>
        <v>8.499951643764353E-2</v>
      </c>
      <c r="AF23" s="13">
        <f t="shared" si="1"/>
        <v>1.8133904421529838E-2</v>
      </c>
    </row>
    <row r="24" spans="1:32" x14ac:dyDescent="0.3">
      <c r="A24" s="16">
        <v>2027</v>
      </c>
      <c r="C24" s="17">
        <v>29604</v>
      </c>
      <c r="E24" s="17">
        <v>22241</v>
      </c>
      <c r="G24" s="17">
        <v>23434</v>
      </c>
      <c r="I24" s="17">
        <v>15765</v>
      </c>
      <c r="K24" s="18">
        <v>60.59</v>
      </c>
      <c r="M24" s="18">
        <v>1.79</v>
      </c>
      <c r="O24" s="17">
        <v>1448076</v>
      </c>
      <c r="Q24" s="17">
        <v>123087</v>
      </c>
      <c r="S24" s="17">
        <v>68857</v>
      </c>
      <c r="U24" s="17">
        <v>9607</v>
      </c>
      <c r="W24" s="17">
        <v>0</v>
      </c>
      <c r="Y24" s="17">
        <v>34570</v>
      </c>
      <c r="AA24" s="17">
        <v>1211956</v>
      </c>
      <c r="AC24" s="17">
        <v>852098</v>
      </c>
      <c r="AE24" s="13">
        <f t="shared" si="0"/>
        <v>8.5000372908604238E-2</v>
      </c>
      <c r="AF24" s="13">
        <f t="shared" si="1"/>
        <v>2.3873056386543249E-2</v>
      </c>
    </row>
    <row r="25" spans="1:32" x14ac:dyDescent="0.3">
      <c r="A25" s="16">
        <v>2028</v>
      </c>
      <c r="C25" s="17">
        <v>27206</v>
      </c>
      <c r="E25" s="17">
        <v>26272</v>
      </c>
      <c r="G25" s="17">
        <v>21375</v>
      </c>
      <c r="I25" s="17">
        <v>18183</v>
      </c>
      <c r="K25" s="18">
        <v>60.62</v>
      </c>
      <c r="M25" s="18">
        <v>1.78</v>
      </c>
      <c r="O25" s="17">
        <v>1328074</v>
      </c>
      <c r="Q25" s="17">
        <v>112886</v>
      </c>
      <c r="S25" s="17">
        <v>68351</v>
      </c>
      <c r="U25" s="17">
        <v>6608</v>
      </c>
      <c r="W25" s="17">
        <v>0</v>
      </c>
      <c r="Y25" s="17">
        <v>31946</v>
      </c>
      <c r="AA25" s="17">
        <v>1108283</v>
      </c>
      <c r="AC25" s="17">
        <v>705349</v>
      </c>
      <c r="AE25" s="13">
        <f t="shared" si="0"/>
        <v>8.4999781638673749E-2</v>
      </c>
      <c r="AF25" s="13">
        <f t="shared" si="1"/>
        <v>2.4054382511817865E-2</v>
      </c>
    </row>
    <row r="26" spans="1:32" ht="21.9" customHeight="1" x14ac:dyDescent="0.3">
      <c r="A26" s="16">
        <v>2029</v>
      </c>
      <c r="C26" s="17">
        <v>23551</v>
      </c>
      <c r="E26" s="17">
        <v>31036</v>
      </c>
      <c r="G26" s="17">
        <v>18543</v>
      </c>
      <c r="I26" s="17">
        <v>21084</v>
      </c>
      <c r="K26" s="18">
        <v>60.6</v>
      </c>
      <c r="M26" s="18">
        <v>1.79</v>
      </c>
      <c r="O26" s="17">
        <v>1161490</v>
      </c>
      <c r="Q26" s="17">
        <v>98727</v>
      </c>
      <c r="S26" s="17">
        <v>68501</v>
      </c>
      <c r="U26" s="17">
        <v>6607</v>
      </c>
      <c r="W26" s="17">
        <v>0</v>
      </c>
      <c r="Y26" s="17">
        <v>22506</v>
      </c>
      <c r="AA26" s="17">
        <v>965149</v>
      </c>
      <c r="AC26" s="17">
        <v>556030</v>
      </c>
      <c r="AE26" s="13">
        <f t="shared" si="0"/>
        <v>8.5000301337075659E-2</v>
      </c>
      <c r="AF26" s="13">
        <f t="shared" si="1"/>
        <v>1.9376834927549956E-2</v>
      </c>
    </row>
    <row r="27" spans="1:32" x14ac:dyDescent="0.3">
      <c r="A27" s="16">
        <v>2030</v>
      </c>
      <c r="C27" s="17">
        <v>18858</v>
      </c>
      <c r="E27" s="17">
        <v>26429</v>
      </c>
      <c r="G27" s="17">
        <v>15132</v>
      </c>
      <c r="I27" s="17">
        <v>17990</v>
      </c>
      <c r="K27" s="18">
        <v>60.56</v>
      </c>
      <c r="M27" s="18">
        <v>1.78</v>
      </c>
      <c r="O27" s="17">
        <v>948415</v>
      </c>
      <c r="Q27" s="17">
        <v>80615</v>
      </c>
      <c r="S27" s="17">
        <v>69807</v>
      </c>
      <c r="U27" s="17">
        <v>6608</v>
      </c>
      <c r="W27" s="17">
        <v>0</v>
      </c>
      <c r="Y27" s="17">
        <v>9531</v>
      </c>
      <c r="AA27" s="17">
        <v>781854</v>
      </c>
      <c r="AC27" s="17">
        <v>407737</v>
      </c>
      <c r="AE27" s="13">
        <f t="shared" si="0"/>
        <v>8.4999710042544668E-2</v>
      </c>
      <c r="AF27" s="13">
        <f t="shared" si="1"/>
        <v>1.004939820648134E-2</v>
      </c>
    </row>
    <row r="28" spans="1:32" x14ac:dyDescent="0.3">
      <c r="A28" s="16">
        <v>2031</v>
      </c>
      <c r="C28" s="17">
        <v>15564</v>
      </c>
      <c r="E28" s="17">
        <v>18545</v>
      </c>
      <c r="G28" s="17">
        <v>12677</v>
      </c>
      <c r="I28" s="17">
        <v>12810</v>
      </c>
      <c r="K28" s="18">
        <v>60.51</v>
      </c>
      <c r="M28" s="18">
        <v>1.79</v>
      </c>
      <c r="O28" s="17">
        <v>790028</v>
      </c>
      <c r="Q28" s="17">
        <v>67152</v>
      </c>
      <c r="S28" s="17">
        <v>70881</v>
      </c>
      <c r="U28" s="17">
        <v>6607</v>
      </c>
      <c r="W28" s="17">
        <v>0</v>
      </c>
      <c r="Y28" s="17">
        <v>1191</v>
      </c>
      <c r="AA28" s="17">
        <v>644196</v>
      </c>
      <c r="AC28" s="17">
        <v>304105</v>
      </c>
      <c r="AE28" s="13">
        <f t="shared" si="0"/>
        <v>8.499951900438972E-2</v>
      </c>
      <c r="AF28" s="13">
        <f t="shared" si="1"/>
        <v>1.5075415048580556E-3</v>
      </c>
    </row>
    <row r="29" spans="1:32" x14ac:dyDescent="0.3">
      <c r="A29" s="16">
        <v>2032</v>
      </c>
      <c r="C29" s="17">
        <v>13722</v>
      </c>
      <c r="E29" s="17">
        <v>12796</v>
      </c>
      <c r="G29" s="17">
        <v>11218</v>
      </c>
      <c r="I29" s="17">
        <v>9021</v>
      </c>
      <c r="K29" s="18">
        <v>60.5</v>
      </c>
      <c r="M29" s="18">
        <v>1.78</v>
      </c>
      <c r="O29" s="17">
        <v>694786</v>
      </c>
      <c r="Q29" s="17">
        <v>59057</v>
      </c>
      <c r="S29" s="17">
        <v>71119</v>
      </c>
      <c r="U29" s="17">
        <v>6608</v>
      </c>
      <c r="W29" s="17">
        <v>0</v>
      </c>
      <c r="Y29" s="17">
        <v>0</v>
      </c>
      <c r="AA29" s="17">
        <v>558003</v>
      </c>
      <c r="AC29" s="17">
        <v>238447</v>
      </c>
      <c r="AE29" s="13">
        <f t="shared" si="0"/>
        <v>8.5000273465498724E-2</v>
      </c>
      <c r="AF29" s="13">
        <f t="shared" si="1"/>
        <v>0</v>
      </c>
    </row>
    <row r="30" spans="1:32" x14ac:dyDescent="0.3">
      <c r="A30" s="16">
        <v>2033</v>
      </c>
      <c r="C30" s="17">
        <v>12709</v>
      </c>
      <c r="E30" s="17">
        <v>9742</v>
      </c>
      <c r="G30" s="17">
        <v>10314</v>
      </c>
      <c r="I30" s="17">
        <v>6973</v>
      </c>
      <c r="K30" s="18">
        <v>60.53</v>
      </c>
      <c r="M30" s="18">
        <v>1.79</v>
      </c>
      <c r="O30" s="17">
        <v>636660</v>
      </c>
      <c r="Q30" s="17">
        <v>54116</v>
      </c>
      <c r="S30" s="17">
        <v>70609</v>
      </c>
      <c r="U30" s="17">
        <v>6607</v>
      </c>
      <c r="W30" s="17">
        <v>0</v>
      </c>
      <c r="Y30" s="17">
        <v>0</v>
      </c>
      <c r="AA30" s="17">
        <v>505327</v>
      </c>
      <c r="AC30" s="17">
        <v>195469</v>
      </c>
      <c r="AE30" s="13">
        <f t="shared" si="0"/>
        <v>8.499984293029246E-2</v>
      </c>
      <c r="AF30" s="13">
        <f t="shared" si="1"/>
        <v>0</v>
      </c>
    </row>
    <row r="31" spans="1:32" ht="21.9" customHeight="1" x14ac:dyDescent="0.3">
      <c r="A31" s="16">
        <v>2034</v>
      </c>
      <c r="C31" s="17">
        <v>11876</v>
      </c>
      <c r="E31" s="17">
        <v>7971</v>
      </c>
      <c r="G31" s="17">
        <v>9567</v>
      </c>
      <c r="I31" s="17">
        <v>5765</v>
      </c>
      <c r="K31" s="18">
        <v>60.54</v>
      </c>
      <c r="M31" s="18">
        <v>1.78</v>
      </c>
      <c r="O31" s="17">
        <v>589549</v>
      </c>
      <c r="Q31" s="17">
        <v>50112</v>
      </c>
      <c r="S31" s="17">
        <v>70085</v>
      </c>
      <c r="U31" s="17">
        <v>6608</v>
      </c>
      <c r="W31" s="17">
        <v>0</v>
      </c>
      <c r="Y31" s="17">
        <v>0</v>
      </c>
      <c r="AA31" s="17">
        <v>462745</v>
      </c>
      <c r="AC31" s="17">
        <v>162031</v>
      </c>
      <c r="AE31" s="13">
        <f t="shared" si="0"/>
        <v>8.500056823096977E-2</v>
      </c>
      <c r="AF31" s="13">
        <f t="shared" si="1"/>
        <v>0</v>
      </c>
    </row>
    <row r="32" spans="1:32" x14ac:dyDescent="0.3">
      <c r="A32" s="16">
        <v>2035</v>
      </c>
      <c r="C32" s="17">
        <v>10719</v>
      </c>
      <c r="E32" s="17">
        <v>6521</v>
      </c>
      <c r="G32" s="17">
        <v>8640</v>
      </c>
      <c r="I32" s="17">
        <v>4771</v>
      </c>
      <c r="K32" s="18">
        <v>60.54</v>
      </c>
      <c r="M32" s="18">
        <v>1.79</v>
      </c>
      <c r="O32" s="17">
        <v>531549</v>
      </c>
      <c r="Q32" s="17">
        <v>45182</v>
      </c>
      <c r="S32" s="17">
        <v>70117</v>
      </c>
      <c r="U32" s="17">
        <v>6607</v>
      </c>
      <c r="W32" s="17">
        <v>0</v>
      </c>
      <c r="Y32" s="17">
        <v>0</v>
      </c>
      <c r="AA32" s="17">
        <v>409643</v>
      </c>
      <c r="AC32" s="17">
        <v>129841</v>
      </c>
      <c r="AE32" s="13">
        <f t="shared" si="0"/>
        <v>8.500063023352504E-2</v>
      </c>
      <c r="AF32" s="13">
        <f t="shared" si="1"/>
        <v>0</v>
      </c>
    </row>
    <row r="33" spans="1:32" x14ac:dyDescent="0.3">
      <c r="A33" s="16">
        <v>2036</v>
      </c>
      <c r="C33" s="17">
        <v>8901</v>
      </c>
      <c r="E33" s="17">
        <v>5002</v>
      </c>
      <c r="G33" s="17">
        <v>7314</v>
      </c>
      <c r="I33" s="17">
        <v>3743</v>
      </c>
      <c r="K33" s="18">
        <v>60.49</v>
      </c>
      <c r="M33" s="18">
        <v>1.78</v>
      </c>
      <c r="O33" s="17">
        <v>449101</v>
      </c>
      <c r="Q33" s="17">
        <v>38173</v>
      </c>
      <c r="S33" s="17">
        <v>71475</v>
      </c>
      <c r="U33" s="17">
        <v>6608</v>
      </c>
      <c r="W33" s="17">
        <v>0</v>
      </c>
      <c r="Y33" s="17">
        <v>0</v>
      </c>
      <c r="AA33" s="17">
        <v>332845</v>
      </c>
      <c r="AC33" s="17">
        <v>95500</v>
      </c>
      <c r="AE33" s="13">
        <f t="shared" si="0"/>
        <v>8.4998697397690046E-2</v>
      </c>
      <c r="AF33" s="13">
        <f t="shared" si="1"/>
        <v>0</v>
      </c>
    </row>
    <row r="34" spans="1:32" x14ac:dyDescent="0.3">
      <c r="A34" s="16">
        <v>2037</v>
      </c>
      <c r="C34" s="17">
        <v>7580</v>
      </c>
      <c r="E34" s="17">
        <v>4123</v>
      </c>
      <c r="G34" s="17">
        <v>6315</v>
      </c>
      <c r="I34" s="17">
        <v>3128</v>
      </c>
      <c r="K34" s="18">
        <v>60.45</v>
      </c>
      <c r="M34" s="18">
        <v>1.79</v>
      </c>
      <c r="O34" s="17">
        <v>387369</v>
      </c>
      <c r="Q34" s="17">
        <v>32927</v>
      </c>
      <c r="S34" s="17">
        <v>72511</v>
      </c>
      <c r="U34" s="17">
        <v>6607</v>
      </c>
      <c r="W34" s="17">
        <v>0</v>
      </c>
      <c r="Y34" s="17">
        <v>0</v>
      </c>
      <c r="AA34" s="17">
        <v>275324</v>
      </c>
      <c r="AC34" s="17">
        <v>71507</v>
      </c>
      <c r="AE34" s="13">
        <f t="shared" si="0"/>
        <v>8.5001639263854359E-2</v>
      </c>
      <c r="AF34" s="13">
        <f t="shared" si="1"/>
        <v>0</v>
      </c>
    </row>
    <row r="35" spans="1:32" x14ac:dyDescent="0.3">
      <c r="A35" s="16">
        <v>2038</v>
      </c>
      <c r="C35" s="17">
        <v>6687</v>
      </c>
      <c r="E35" s="17">
        <v>3689</v>
      </c>
      <c r="G35" s="17">
        <v>5619</v>
      </c>
      <c r="I35" s="17">
        <v>2808</v>
      </c>
      <c r="K35" s="18">
        <v>60.43</v>
      </c>
      <c r="M35" s="18">
        <v>1.78</v>
      </c>
      <c r="O35" s="17">
        <v>344549</v>
      </c>
      <c r="Q35" s="17">
        <v>29286</v>
      </c>
      <c r="S35" s="17">
        <v>73087</v>
      </c>
      <c r="U35" s="17">
        <v>6608</v>
      </c>
      <c r="W35" s="17">
        <v>0</v>
      </c>
      <c r="Y35" s="17">
        <v>0</v>
      </c>
      <c r="AA35" s="17">
        <v>235567</v>
      </c>
      <c r="AC35" s="17">
        <v>55383</v>
      </c>
      <c r="AE35" s="13">
        <f t="shared" si="0"/>
        <v>8.4998069940705093E-2</v>
      </c>
      <c r="AF35" s="13">
        <f t="shared" si="1"/>
        <v>0</v>
      </c>
    </row>
    <row r="36" spans="1:32" ht="21.9" customHeight="1" x14ac:dyDescent="0.3">
      <c r="A36" s="16">
        <v>2039</v>
      </c>
      <c r="C36" s="17">
        <v>5975</v>
      </c>
      <c r="E36" s="17">
        <v>0</v>
      </c>
      <c r="G36" s="17">
        <v>5047</v>
      </c>
      <c r="I36" s="17">
        <v>0</v>
      </c>
      <c r="K36" s="18">
        <v>60.41</v>
      </c>
      <c r="M36" s="18">
        <v>1.79</v>
      </c>
      <c r="O36" s="17">
        <v>304908</v>
      </c>
      <c r="Q36" s="17">
        <v>26301</v>
      </c>
      <c r="S36" s="17">
        <v>73529</v>
      </c>
      <c r="U36" s="17">
        <v>6607</v>
      </c>
      <c r="W36" s="17">
        <v>0</v>
      </c>
      <c r="Y36" s="17">
        <v>0</v>
      </c>
      <c r="AA36" s="17">
        <v>198471</v>
      </c>
      <c r="AC36" s="17">
        <v>42238</v>
      </c>
      <c r="AE36" s="13">
        <f t="shared" si="0"/>
        <v>8.6258805934904953E-2</v>
      </c>
      <c r="AF36" s="13">
        <f t="shared" si="1"/>
        <v>0</v>
      </c>
    </row>
    <row r="37" spans="1:32" x14ac:dyDescent="0.3">
      <c r="A37" s="16">
        <v>2040</v>
      </c>
      <c r="C37" s="17">
        <v>5367</v>
      </c>
      <c r="E37" s="17">
        <v>0</v>
      </c>
      <c r="G37" s="17">
        <v>4566</v>
      </c>
      <c r="I37" s="17">
        <v>0</v>
      </c>
      <c r="K37" s="18">
        <v>60.4</v>
      </c>
      <c r="M37" s="18">
        <v>1.78</v>
      </c>
      <c r="O37" s="17">
        <v>275746</v>
      </c>
      <c r="Q37" s="17">
        <v>23782</v>
      </c>
      <c r="S37" s="17">
        <v>73941</v>
      </c>
      <c r="U37" s="17">
        <v>6608</v>
      </c>
      <c r="W37" s="17">
        <v>0</v>
      </c>
      <c r="Y37" s="17">
        <v>0</v>
      </c>
      <c r="AA37" s="17">
        <v>171416</v>
      </c>
      <c r="AC37" s="17">
        <v>33023</v>
      </c>
      <c r="AE37" s="13">
        <f t="shared" si="0"/>
        <v>8.6246038020497129E-2</v>
      </c>
      <c r="AF37" s="13">
        <f t="shared" si="1"/>
        <v>0</v>
      </c>
    </row>
    <row r="38" spans="1:32" x14ac:dyDescent="0.3">
      <c r="A38" s="16">
        <v>2041</v>
      </c>
      <c r="C38" s="17">
        <v>4836</v>
      </c>
      <c r="E38" s="17">
        <v>0</v>
      </c>
      <c r="G38" s="17">
        <v>4128</v>
      </c>
      <c r="I38" s="17">
        <v>0</v>
      </c>
      <c r="K38" s="18">
        <v>60.38</v>
      </c>
      <c r="M38" s="18">
        <v>1.79</v>
      </c>
      <c r="O38" s="17">
        <v>249257</v>
      </c>
      <c r="Q38" s="17">
        <v>21495</v>
      </c>
      <c r="S38" s="17">
        <v>74304</v>
      </c>
      <c r="U38" s="17">
        <v>6607</v>
      </c>
      <c r="W38" s="17">
        <v>0</v>
      </c>
      <c r="Y38" s="17">
        <v>0</v>
      </c>
      <c r="AA38" s="17">
        <v>146851</v>
      </c>
      <c r="AC38" s="17">
        <v>25608</v>
      </c>
      <c r="AE38" s="13">
        <f t="shared" si="0"/>
        <v>8.6236294266560223E-2</v>
      </c>
      <c r="AF38" s="13">
        <f t="shared" si="1"/>
        <v>0</v>
      </c>
    </row>
    <row r="39" spans="1:32" x14ac:dyDescent="0.3">
      <c r="A39" s="16">
        <v>2042</v>
      </c>
      <c r="C39" s="17">
        <v>4380</v>
      </c>
      <c r="E39" s="17">
        <v>0</v>
      </c>
      <c r="G39" s="17">
        <v>3760</v>
      </c>
      <c r="I39" s="17">
        <v>0</v>
      </c>
      <c r="K39" s="18">
        <v>60.38</v>
      </c>
      <c r="M39" s="18">
        <v>1.78</v>
      </c>
      <c r="O39" s="17">
        <v>227016</v>
      </c>
      <c r="Q39" s="17">
        <v>19577</v>
      </c>
      <c r="S39" s="17">
        <v>74618</v>
      </c>
      <c r="U39" s="17">
        <v>6608</v>
      </c>
      <c r="W39" s="17">
        <v>0</v>
      </c>
      <c r="Y39" s="17">
        <v>0</v>
      </c>
      <c r="AA39" s="17">
        <v>126213</v>
      </c>
      <c r="AC39" s="17">
        <v>19924</v>
      </c>
      <c r="AE39" s="13">
        <f t="shared" si="0"/>
        <v>8.6236212425555903E-2</v>
      </c>
      <c r="AF39" s="13">
        <f t="shared" si="1"/>
        <v>0</v>
      </c>
    </row>
    <row r="40" spans="1:32" x14ac:dyDescent="0.3">
      <c r="A40" s="16">
        <v>2043</v>
      </c>
      <c r="C40" s="17">
        <v>4000</v>
      </c>
      <c r="E40" s="17">
        <v>0</v>
      </c>
      <c r="G40" s="17">
        <v>3440</v>
      </c>
      <c r="I40" s="17">
        <v>0</v>
      </c>
      <c r="K40" s="18">
        <v>60.36</v>
      </c>
      <c r="M40" s="18">
        <v>1.79</v>
      </c>
      <c r="O40" s="17">
        <v>207677</v>
      </c>
      <c r="Q40" s="17">
        <v>17910</v>
      </c>
      <c r="S40" s="17">
        <v>74884</v>
      </c>
      <c r="U40" s="17">
        <v>6607</v>
      </c>
      <c r="W40" s="17">
        <v>0</v>
      </c>
      <c r="Y40" s="17">
        <v>0</v>
      </c>
      <c r="AA40" s="17">
        <v>108275</v>
      </c>
      <c r="AC40" s="17">
        <v>15472</v>
      </c>
      <c r="AE40" s="13">
        <f t="shared" si="0"/>
        <v>8.6239689517857057E-2</v>
      </c>
      <c r="AF40" s="13">
        <f t="shared" si="1"/>
        <v>0</v>
      </c>
    </row>
    <row r="41" spans="1:32" ht="21.9" customHeight="1" x14ac:dyDescent="0.3">
      <c r="A41" s="16">
        <v>2044</v>
      </c>
      <c r="C41" s="17">
        <v>3681</v>
      </c>
      <c r="E41" s="17">
        <v>0</v>
      </c>
      <c r="G41" s="17">
        <v>3176</v>
      </c>
      <c r="I41" s="17">
        <v>0</v>
      </c>
      <c r="K41" s="18">
        <v>60.36</v>
      </c>
      <c r="M41" s="18">
        <v>1.78</v>
      </c>
      <c r="O41" s="17">
        <v>191663</v>
      </c>
      <c r="Q41" s="17">
        <v>16530</v>
      </c>
      <c r="S41" s="17">
        <v>75052</v>
      </c>
      <c r="U41" s="17">
        <v>6608</v>
      </c>
      <c r="W41" s="17">
        <v>0</v>
      </c>
      <c r="Y41" s="17">
        <v>0</v>
      </c>
      <c r="AA41" s="17">
        <v>93474</v>
      </c>
      <c r="AC41" s="17">
        <v>12090</v>
      </c>
      <c r="AE41" s="13">
        <f t="shared" si="0"/>
        <v>8.6245128167669299E-2</v>
      </c>
      <c r="AF41" s="13">
        <f t="shared" si="1"/>
        <v>0</v>
      </c>
    </row>
    <row r="42" spans="1:32" x14ac:dyDescent="0.3">
      <c r="A42" s="16">
        <v>2045</v>
      </c>
      <c r="C42" s="17">
        <v>3349</v>
      </c>
      <c r="E42" s="17">
        <v>0</v>
      </c>
      <c r="G42" s="17">
        <v>2893</v>
      </c>
      <c r="I42" s="17">
        <v>0</v>
      </c>
      <c r="K42" s="18">
        <v>60.36</v>
      </c>
      <c r="M42" s="18">
        <v>1.79</v>
      </c>
      <c r="O42" s="17">
        <v>174666</v>
      </c>
      <c r="Q42" s="17">
        <v>15065</v>
      </c>
      <c r="S42" s="17">
        <v>75098</v>
      </c>
      <c r="U42" s="17">
        <v>6607</v>
      </c>
      <c r="W42" s="17">
        <v>0</v>
      </c>
      <c r="Y42" s="17">
        <v>0</v>
      </c>
      <c r="AA42" s="17">
        <v>77896</v>
      </c>
      <c r="AC42" s="17">
        <v>9121</v>
      </c>
      <c r="AE42" s="13">
        <f t="shared" si="0"/>
        <v>8.6250329199729775E-2</v>
      </c>
      <c r="AF42" s="13">
        <f t="shared" si="1"/>
        <v>0</v>
      </c>
    </row>
    <row r="43" spans="1:32" x14ac:dyDescent="0.3">
      <c r="A43" s="16">
        <v>2046</v>
      </c>
      <c r="C43" s="17">
        <v>3109</v>
      </c>
      <c r="E43" s="17">
        <v>0</v>
      </c>
      <c r="G43" s="17">
        <v>2682</v>
      </c>
      <c r="I43" s="17">
        <v>0</v>
      </c>
      <c r="K43" s="18">
        <v>60.35</v>
      </c>
      <c r="M43" s="18">
        <v>1.78</v>
      </c>
      <c r="O43" s="17">
        <v>161848</v>
      </c>
      <c r="Q43" s="17">
        <v>13959</v>
      </c>
      <c r="S43" s="17">
        <v>75123</v>
      </c>
      <c r="U43" s="17">
        <v>6608</v>
      </c>
      <c r="W43" s="17">
        <v>0</v>
      </c>
      <c r="Y43" s="17">
        <v>0</v>
      </c>
      <c r="AA43" s="17">
        <v>66159</v>
      </c>
      <c r="AC43" s="17">
        <v>7012</v>
      </c>
      <c r="AE43" s="13">
        <f t="shared" si="0"/>
        <v>8.6247590331669219E-2</v>
      </c>
      <c r="AF43" s="13">
        <f t="shared" si="1"/>
        <v>0</v>
      </c>
    </row>
    <row r="44" spans="1:32" x14ac:dyDescent="0.3">
      <c r="A44" s="16">
        <v>2047</v>
      </c>
      <c r="C44" s="17">
        <v>2898</v>
      </c>
      <c r="E44" s="17">
        <v>0</v>
      </c>
      <c r="G44" s="17">
        <v>2501</v>
      </c>
      <c r="I44" s="17">
        <v>0</v>
      </c>
      <c r="K44" s="18">
        <v>60.36</v>
      </c>
      <c r="M44" s="18">
        <v>1.79</v>
      </c>
      <c r="O44" s="17">
        <v>150969</v>
      </c>
      <c r="Q44" s="17">
        <v>13021</v>
      </c>
      <c r="S44" s="17">
        <v>75101</v>
      </c>
      <c r="U44" s="17">
        <v>6607</v>
      </c>
      <c r="W44" s="17">
        <v>0</v>
      </c>
      <c r="Y44" s="17">
        <v>0</v>
      </c>
      <c r="AA44" s="17">
        <v>56239</v>
      </c>
      <c r="AC44" s="17">
        <v>5396</v>
      </c>
      <c r="AE44" s="13">
        <f t="shared" si="0"/>
        <v>8.624949492942259E-2</v>
      </c>
      <c r="AF44" s="13">
        <f t="shared" si="1"/>
        <v>0</v>
      </c>
    </row>
    <row r="45" spans="1:32" x14ac:dyDescent="0.3">
      <c r="A45" s="16">
        <v>2048</v>
      </c>
      <c r="C45" s="17">
        <v>2719</v>
      </c>
      <c r="E45" s="17">
        <v>0</v>
      </c>
      <c r="G45" s="17">
        <v>2346</v>
      </c>
      <c r="I45" s="17">
        <v>0</v>
      </c>
      <c r="K45" s="18">
        <v>60.36</v>
      </c>
      <c r="M45" s="18">
        <v>1.78</v>
      </c>
      <c r="O45" s="17">
        <v>141556</v>
      </c>
      <c r="Q45" s="17">
        <v>12211</v>
      </c>
      <c r="S45" s="17">
        <v>75057</v>
      </c>
      <c r="U45" s="17">
        <v>6608</v>
      </c>
      <c r="W45" s="17">
        <v>0</v>
      </c>
      <c r="Y45" s="17">
        <v>0</v>
      </c>
      <c r="AA45" s="17">
        <v>47681</v>
      </c>
      <c r="AC45" s="17">
        <v>4141</v>
      </c>
      <c r="AE45" s="13">
        <f t="shared" si="0"/>
        <v>8.6262680493938801E-2</v>
      </c>
      <c r="AF45" s="13">
        <f t="shared" si="1"/>
        <v>0</v>
      </c>
    </row>
    <row r="46" spans="1:32" ht="21.9" customHeight="1" x14ac:dyDescent="0.3">
      <c r="A46" s="16">
        <v>2049</v>
      </c>
      <c r="C46" s="17">
        <v>2538</v>
      </c>
      <c r="E46" s="17">
        <v>0</v>
      </c>
      <c r="G46" s="17">
        <v>2190</v>
      </c>
      <c r="I46" s="17">
        <v>0</v>
      </c>
      <c r="K46" s="18">
        <v>60.36</v>
      </c>
      <c r="M46" s="18">
        <v>1.79</v>
      </c>
      <c r="O46" s="17">
        <v>132191</v>
      </c>
      <c r="Q46" s="17">
        <v>11404</v>
      </c>
      <c r="S46" s="17">
        <v>75019</v>
      </c>
      <c r="U46" s="17">
        <v>6607</v>
      </c>
      <c r="W46" s="17">
        <v>0</v>
      </c>
      <c r="Y46" s="17">
        <v>0</v>
      </c>
      <c r="AA46" s="17">
        <v>39159</v>
      </c>
      <c r="AC46" s="17">
        <v>3078</v>
      </c>
      <c r="AE46" s="13">
        <f t="shared" si="0"/>
        <v>8.6269110605109278E-2</v>
      </c>
      <c r="AF46" s="13">
        <f t="shared" si="1"/>
        <v>0</v>
      </c>
    </row>
    <row r="47" spans="1:32" x14ac:dyDescent="0.3">
      <c r="A47" s="16">
        <v>2050</v>
      </c>
      <c r="C47" s="17">
        <v>2385</v>
      </c>
      <c r="E47" s="17">
        <v>0</v>
      </c>
      <c r="G47" s="17">
        <v>2054</v>
      </c>
      <c r="I47" s="17">
        <v>0</v>
      </c>
      <c r="K47" s="18">
        <v>60.36</v>
      </c>
      <c r="M47" s="18">
        <v>1.78</v>
      </c>
      <c r="O47" s="17">
        <v>123985</v>
      </c>
      <c r="Q47" s="17">
        <v>10698</v>
      </c>
      <c r="S47" s="17">
        <v>74980</v>
      </c>
      <c r="U47" s="17">
        <v>0</v>
      </c>
      <c r="W47" s="17">
        <v>0</v>
      </c>
      <c r="Y47" s="17">
        <v>0</v>
      </c>
      <c r="AA47" s="17">
        <v>38307</v>
      </c>
      <c r="AC47" s="17">
        <v>2726</v>
      </c>
      <c r="AE47" s="13">
        <f t="shared" si="0"/>
        <v>8.6284631205387749E-2</v>
      </c>
      <c r="AF47" s="13">
        <f t="shared" si="1"/>
        <v>0</v>
      </c>
    </row>
    <row r="48" spans="1:32" x14ac:dyDescent="0.3">
      <c r="A48" s="16">
        <v>2051</v>
      </c>
      <c r="C48" s="17">
        <v>2242</v>
      </c>
      <c r="E48" s="17">
        <v>0</v>
      </c>
      <c r="G48" s="17">
        <v>1930</v>
      </c>
      <c r="I48" s="17">
        <v>0</v>
      </c>
      <c r="K48" s="18">
        <v>60.36</v>
      </c>
      <c r="M48" s="18">
        <v>1.78</v>
      </c>
      <c r="O48" s="17">
        <v>116494</v>
      </c>
      <c r="Q48" s="17">
        <v>10053</v>
      </c>
      <c r="S48" s="17">
        <v>74929</v>
      </c>
      <c r="U48" s="17">
        <v>0</v>
      </c>
      <c r="W48" s="17">
        <v>0</v>
      </c>
      <c r="Y48" s="17">
        <v>0</v>
      </c>
      <c r="AA48" s="17">
        <v>31513</v>
      </c>
      <c r="AC48" s="17">
        <v>2030</v>
      </c>
      <c r="AE48" s="13">
        <f t="shared" si="0"/>
        <v>8.6296289937679196E-2</v>
      </c>
      <c r="AF48" s="13">
        <f t="shared" si="1"/>
        <v>0</v>
      </c>
    </row>
    <row r="49" spans="1:32" x14ac:dyDescent="0.3">
      <c r="A49" s="16">
        <v>2052</v>
      </c>
      <c r="C49" s="17">
        <v>1608</v>
      </c>
      <c r="E49" s="17">
        <v>0</v>
      </c>
      <c r="G49" s="17">
        <v>1313</v>
      </c>
      <c r="I49" s="17">
        <v>0</v>
      </c>
      <c r="K49" s="18">
        <v>60.51</v>
      </c>
      <c r="M49" s="18">
        <v>1.79</v>
      </c>
      <c r="O49" s="17">
        <v>79441</v>
      </c>
      <c r="Q49" s="17">
        <v>6870</v>
      </c>
      <c r="S49" s="17">
        <v>71031</v>
      </c>
      <c r="U49" s="17">
        <v>0</v>
      </c>
      <c r="W49" s="17">
        <v>0</v>
      </c>
      <c r="Y49" s="17">
        <v>0</v>
      </c>
      <c r="AA49" s="17">
        <v>1539</v>
      </c>
      <c r="AC49" s="17">
        <v>90</v>
      </c>
      <c r="AE49" s="13">
        <f t="shared" si="0"/>
        <v>8.647927392656185E-2</v>
      </c>
      <c r="AF49" s="13">
        <f t="shared" si="1"/>
        <v>0</v>
      </c>
    </row>
    <row r="50" spans="1:32" x14ac:dyDescent="0.3">
      <c r="A50" s="16">
        <v>2053</v>
      </c>
      <c r="C50" s="17">
        <v>0</v>
      </c>
      <c r="E50" s="17">
        <v>0</v>
      </c>
      <c r="G50" s="17">
        <v>0</v>
      </c>
      <c r="I50" s="17">
        <v>0</v>
      </c>
      <c r="K50" s="18">
        <v>0</v>
      </c>
      <c r="M50" s="18">
        <v>0</v>
      </c>
      <c r="O50" s="17">
        <v>0</v>
      </c>
      <c r="Q50" s="17">
        <v>0</v>
      </c>
      <c r="S50" s="17">
        <v>0</v>
      </c>
      <c r="U50" s="17">
        <v>0</v>
      </c>
      <c r="W50" s="17">
        <v>249246</v>
      </c>
      <c r="Y50" s="17">
        <v>0</v>
      </c>
      <c r="AA50" s="17">
        <v>-249246</v>
      </c>
      <c r="AC50" s="17">
        <v>-13156</v>
      </c>
      <c r="AE50" s="13">
        <f t="shared" si="0"/>
        <v>0</v>
      </c>
      <c r="AF50" s="13">
        <f t="shared" si="1"/>
        <v>0</v>
      </c>
    </row>
    <row r="51" spans="1:32" ht="21.9" customHeight="1" x14ac:dyDescent="0.3">
      <c r="A51" s="16">
        <v>2054</v>
      </c>
      <c r="C51" s="17">
        <v>0</v>
      </c>
      <c r="E51" s="17">
        <v>0</v>
      </c>
      <c r="G51" s="17">
        <v>0</v>
      </c>
      <c r="I51" s="17">
        <v>0</v>
      </c>
      <c r="K51" s="18">
        <v>0</v>
      </c>
      <c r="M51" s="18">
        <v>0</v>
      </c>
      <c r="O51" s="17">
        <v>0</v>
      </c>
      <c r="Q51" s="17">
        <v>0</v>
      </c>
      <c r="S51" s="17">
        <v>0</v>
      </c>
      <c r="U51" s="17">
        <v>0</v>
      </c>
      <c r="W51" s="17">
        <v>0</v>
      </c>
      <c r="Y51" s="17">
        <v>0</v>
      </c>
      <c r="AA51" s="17">
        <v>0</v>
      </c>
      <c r="AC51" s="17">
        <v>0</v>
      </c>
      <c r="AE51" s="13">
        <f t="shared" si="0"/>
        <v>0</v>
      </c>
      <c r="AF51" s="13">
        <f t="shared" si="1"/>
        <v>0</v>
      </c>
    </row>
    <row r="52" spans="1:32" x14ac:dyDescent="0.3">
      <c r="A52" s="16">
        <v>2055</v>
      </c>
      <c r="C52" s="17">
        <v>0</v>
      </c>
      <c r="E52" s="17">
        <v>0</v>
      </c>
      <c r="G52" s="17">
        <v>0</v>
      </c>
      <c r="I52" s="17">
        <v>0</v>
      </c>
      <c r="K52" s="18">
        <v>0</v>
      </c>
      <c r="M52" s="18">
        <v>0</v>
      </c>
      <c r="O52" s="17">
        <v>0</v>
      </c>
      <c r="Q52" s="17">
        <v>0</v>
      </c>
      <c r="S52" s="17">
        <v>0</v>
      </c>
      <c r="U52" s="17">
        <v>0</v>
      </c>
      <c r="W52" s="17">
        <v>0</v>
      </c>
      <c r="Y52" s="17">
        <v>0</v>
      </c>
      <c r="AA52" s="17">
        <v>0</v>
      </c>
      <c r="AC52" s="17">
        <v>0</v>
      </c>
      <c r="AE52" s="13">
        <f t="shared" si="0"/>
        <v>0</v>
      </c>
      <c r="AF52" s="13">
        <f t="shared" si="1"/>
        <v>0</v>
      </c>
    </row>
    <row r="53" spans="1:32" x14ac:dyDescent="0.3">
      <c r="A53" s="16">
        <v>2056</v>
      </c>
      <c r="C53" s="17">
        <v>0</v>
      </c>
      <c r="E53" s="17">
        <v>0</v>
      </c>
      <c r="G53" s="17">
        <v>0</v>
      </c>
      <c r="I53" s="17">
        <v>0</v>
      </c>
      <c r="K53" s="18">
        <v>0</v>
      </c>
      <c r="M53" s="18">
        <v>0</v>
      </c>
      <c r="O53" s="17">
        <v>0</v>
      </c>
      <c r="Q53" s="17">
        <v>0</v>
      </c>
      <c r="S53" s="17">
        <v>0</v>
      </c>
      <c r="U53" s="17">
        <v>0</v>
      </c>
      <c r="W53" s="17">
        <v>0</v>
      </c>
      <c r="Y53" s="17">
        <v>0</v>
      </c>
      <c r="AA53" s="17">
        <v>0</v>
      </c>
      <c r="AC53" s="17">
        <v>0</v>
      </c>
      <c r="AE53" s="13">
        <f t="shared" si="0"/>
        <v>0</v>
      </c>
      <c r="AF53" s="13">
        <f t="shared" si="1"/>
        <v>0</v>
      </c>
    </row>
    <row r="54" spans="1:32" x14ac:dyDescent="0.3">
      <c r="A54" s="16">
        <v>2057</v>
      </c>
      <c r="C54" s="17">
        <v>0</v>
      </c>
      <c r="E54" s="17">
        <v>0</v>
      </c>
      <c r="G54" s="17">
        <v>0</v>
      </c>
      <c r="I54" s="17">
        <v>0</v>
      </c>
      <c r="K54" s="18">
        <v>0</v>
      </c>
      <c r="M54" s="18">
        <v>0</v>
      </c>
      <c r="O54" s="17">
        <v>0</v>
      </c>
      <c r="Q54" s="17">
        <v>0</v>
      </c>
      <c r="S54" s="17">
        <v>0</v>
      </c>
      <c r="U54" s="17">
        <v>0</v>
      </c>
      <c r="W54" s="17">
        <v>0</v>
      </c>
      <c r="Y54" s="17">
        <v>0</v>
      </c>
      <c r="AA54" s="17">
        <v>0</v>
      </c>
      <c r="AC54" s="17">
        <v>0</v>
      </c>
      <c r="AE54" s="13">
        <f t="shared" si="0"/>
        <v>0</v>
      </c>
      <c r="AF54" s="13">
        <f t="shared" si="1"/>
        <v>0</v>
      </c>
    </row>
    <row r="55" spans="1:32" x14ac:dyDescent="0.3">
      <c r="A55" s="16">
        <v>2058</v>
      </c>
      <c r="C55" s="17">
        <v>0</v>
      </c>
      <c r="E55" s="17">
        <v>0</v>
      </c>
      <c r="G55" s="17">
        <v>0</v>
      </c>
      <c r="I55" s="17">
        <v>0</v>
      </c>
      <c r="K55" s="18">
        <v>0</v>
      </c>
      <c r="M55" s="18">
        <v>0</v>
      </c>
      <c r="O55" s="17">
        <v>0</v>
      </c>
      <c r="Q55" s="17">
        <v>0</v>
      </c>
      <c r="S55" s="17">
        <v>0</v>
      </c>
      <c r="U55" s="17">
        <v>0</v>
      </c>
      <c r="W55" s="17">
        <v>0</v>
      </c>
      <c r="Y55" s="17">
        <v>0</v>
      </c>
      <c r="AA55" s="17">
        <v>0</v>
      </c>
      <c r="AC55" s="17">
        <v>0</v>
      </c>
      <c r="AE55" s="13">
        <f t="shared" si="0"/>
        <v>0</v>
      </c>
      <c r="AF55" s="13">
        <f t="shared" si="1"/>
        <v>0</v>
      </c>
    </row>
    <row r="56" spans="1:32" ht="21.9" customHeight="1" x14ac:dyDescent="0.3">
      <c r="A56" s="16">
        <v>2059</v>
      </c>
      <c r="C56" s="17">
        <v>0</v>
      </c>
      <c r="E56" s="17">
        <v>0</v>
      </c>
      <c r="G56" s="17">
        <v>0</v>
      </c>
      <c r="I56" s="17">
        <v>0</v>
      </c>
      <c r="K56" s="18">
        <v>0</v>
      </c>
      <c r="M56" s="18">
        <v>0</v>
      </c>
      <c r="O56" s="17">
        <v>0</v>
      </c>
      <c r="Q56" s="17">
        <v>0</v>
      </c>
      <c r="S56" s="17">
        <v>0</v>
      </c>
      <c r="U56" s="17">
        <v>0</v>
      </c>
      <c r="W56" s="17">
        <v>0</v>
      </c>
      <c r="Y56" s="17">
        <v>0</v>
      </c>
      <c r="AA56" s="17">
        <v>0</v>
      </c>
      <c r="AC56" s="17">
        <v>0</v>
      </c>
      <c r="AE56" s="13">
        <f t="shared" si="0"/>
        <v>0</v>
      </c>
      <c r="AF56" s="13">
        <f t="shared" si="1"/>
        <v>0</v>
      </c>
    </row>
    <row r="57" spans="1:32" x14ac:dyDescent="0.3">
      <c r="A57" s="16">
        <v>2060</v>
      </c>
      <c r="C57" s="19">
        <v>0</v>
      </c>
      <c r="E57" s="19">
        <v>0</v>
      </c>
      <c r="G57" s="19">
        <v>0</v>
      </c>
      <c r="I57" s="19">
        <v>0</v>
      </c>
      <c r="K57" s="18">
        <v>0</v>
      </c>
      <c r="M57" s="18">
        <v>0</v>
      </c>
      <c r="O57" s="19">
        <v>0</v>
      </c>
      <c r="Q57" s="19">
        <v>0</v>
      </c>
      <c r="S57" s="19">
        <v>0</v>
      </c>
      <c r="U57" s="19">
        <v>0</v>
      </c>
      <c r="W57" s="19">
        <v>0</v>
      </c>
      <c r="Y57" s="19">
        <v>0</v>
      </c>
      <c r="AA57" s="19">
        <v>0</v>
      </c>
      <c r="AC57" s="19">
        <v>0</v>
      </c>
      <c r="AE57" s="13">
        <f t="shared" si="0"/>
        <v>0</v>
      </c>
      <c r="AF57" s="13">
        <f t="shared" si="1"/>
        <v>0</v>
      </c>
    </row>
    <row r="58" spans="1:32" x14ac:dyDescent="0.3">
      <c r="AE58" s="13"/>
      <c r="AF58" s="13"/>
    </row>
    <row r="59" spans="1:32" x14ac:dyDescent="0.3">
      <c r="A59" s="228" t="s">
        <v>2</v>
      </c>
      <c r="C59" s="229">
        <v>328922</v>
      </c>
      <c r="E59" s="229">
        <v>226313</v>
      </c>
      <c r="G59" s="229">
        <v>269587</v>
      </c>
      <c r="I59" s="229">
        <v>161392</v>
      </c>
      <c r="O59" s="229">
        <v>16596831</v>
      </c>
      <c r="Q59" s="229">
        <v>1413926</v>
      </c>
      <c r="S59" s="229">
        <v>2107198</v>
      </c>
      <c r="U59" s="229">
        <v>513977</v>
      </c>
      <c r="W59" s="229">
        <v>249246</v>
      </c>
      <c r="Y59" s="229">
        <v>218339</v>
      </c>
      <c r="AA59" s="229">
        <v>12094144</v>
      </c>
      <c r="AC59" s="229">
        <v>7044415</v>
      </c>
      <c r="AE59" s="13"/>
      <c r="AF59" s="13"/>
    </row>
    <row r="60" spans="1:32" x14ac:dyDescent="0.3">
      <c r="AE60" s="13"/>
      <c r="AF60" s="13"/>
    </row>
    <row r="61" spans="1:32" ht="21.9" customHeight="1" x14ac:dyDescent="0.3">
      <c r="A61" t="s">
        <v>45</v>
      </c>
      <c r="AA61" s="225" t="s">
        <v>721</v>
      </c>
      <c r="AB61" s="15"/>
      <c r="AC61" s="15"/>
      <c r="AE61" s="13"/>
      <c r="AF61" s="13"/>
    </row>
    <row r="62" spans="1:32" x14ac:dyDescent="0.3">
      <c r="A62" t="s">
        <v>80</v>
      </c>
      <c r="AA62" s="20" t="s">
        <v>46</v>
      </c>
      <c r="AC62" s="17">
        <v>9017418</v>
      </c>
      <c r="AE62" s="13"/>
      <c r="AF62" s="13"/>
    </row>
    <row r="63" spans="1:32" x14ac:dyDescent="0.3">
      <c r="A63" t="s">
        <v>81</v>
      </c>
      <c r="AA63" s="20" t="s">
        <v>47</v>
      </c>
      <c r="AC63" s="17">
        <v>5708907</v>
      </c>
      <c r="AE63" s="13"/>
      <c r="AF63" s="13"/>
    </row>
    <row r="64" spans="1:32" x14ac:dyDescent="0.3">
      <c r="A64" t="s">
        <v>82</v>
      </c>
      <c r="AA64" s="20" t="s">
        <v>48</v>
      </c>
      <c r="AC64" s="17">
        <v>4758423</v>
      </c>
      <c r="AE64" s="13"/>
      <c r="AF64" s="13"/>
    </row>
    <row r="65" spans="1:1" ht="8.1" customHeight="1" x14ac:dyDescent="0.3">
      <c r="A65" t="s">
        <v>83</v>
      </c>
    </row>
    <row r="66" spans="1:1" x14ac:dyDescent="0.3">
      <c r="A66" t="s">
        <v>728</v>
      </c>
    </row>
    <row r="67" spans="1:1" x14ac:dyDescent="0.3">
      <c r="A67" s="230" t="s">
        <v>729</v>
      </c>
    </row>
  </sheetData>
  <printOptions horizontalCentered="1"/>
  <pageMargins left="0.5" right="0.3" top="0.75" bottom="0.75" header="0.5" footer="0.5"/>
  <pageSetup paperSize="162" scale="42"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E387A-F84A-4E25-B255-E65D5C2BB875}">
  <sheetPr>
    <tabColor rgb="FF7030A0"/>
    <pageSetUpPr fitToPage="1"/>
  </sheetPr>
  <dimension ref="A1:AF67"/>
  <sheetViews>
    <sheetView showGridLines="0" zoomScale="85" zoomScaleNormal="85" zoomScaleSheetLayoutView="100" workbookViewId="0">
      <selection activeCell="AC53" sqref="AC53"/>
    </sheetView>
  </sheetViews>
  <sheetFormatPr defaultRowHeight="14.4" x14ac:dyDescent="0.3"/>
  <cols>
    <col min="1" max="1" width="5.77734375" bestFit="1" customWidth="1"/>
    <col min="2" max="2" width="1.77734375" customWidth="1"/>
    <col min="3" max="3" width="9.6640625" customWidth="1"/>
    <col min="4" max="4" width="1.77734375" customWidth="1"/>
    <col min="5" max="5" width="9.6640625" customWidth="1"/>
    <col min="6" max="6" width="1.77734375" customWidth="1"/>
    <col min="7" max="7" width="9.6640625" customWidth="1"/>
    <col min="8" max="8" width="1.77734375" customWidth="1"/>
    <col min="9" max="9" width="9.6640625" customWidth="1"/>
    <col min="10" max="10" width="1.77734375" customWidth="1"/>
    <col min="11" max="11" width="13.44140625" customWidth="1"/>
    <col min="12" max="12" width="1.77734375" customWidth="1"/>
    <col min="13" max="13" width="13.44140625" customWidth="1"/>
    <col min="14" max="14" width="1.77734375" customWidth="1"/>
    <col min="15" max="15" width="14.6640625" customWidth="1"/>
    <col min="16" max="16" width="1.77734375" customWidth="1"/>
    <col min="17" max="17" width="14.6640625" customWidth="1"/>
    <col min="18" max="18" width="1.77734375" customWidth="1"/>
    <col min="19" max="19" width="14.6640625" customWidth="1"/>
    <col min="20" max="20" width="1.77734375" customWidth="1"/>
    <col min="21" max="21" width="14.6640625" customWidth="1"/>
    <col min="22" max="22" width="1.77734375" customWidth="1"/>
    <col min="23" max="23" width="14.77734375" bestFit="1" customWidth="1"/>
    <col min="24" max="24" width="1.77734375" customWidth="1"/>
    <col min="25" max="25" width="14.6640625" customWidth="1"/>
    <col min="26" max="26" width="1.77734375" customWidth="1"/>
    <col min="27" max="27" width="14.6640625" customWidth="1"/>
    <col min="28" max="28" width="1.77734375" customWidth="1"/>
    <col min="29" max="29" width="14.6640625" customWidth="1"/>
  </cols>
  <sheetData>
    <row r="1" spans="1:32" x14ac:dyDescent="0.3">
      <c r="A1" s="223" t="s">
        <v>55</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row>
    <row r="2" spans="1:32" x14ac:dyDescent="0.3">
      <c r="A2" s="223" t="s">
        <v>63</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row>
    <row r="3" spans="1:32" x14ac:dyDescent="0.3">
      <c r="A3" s="223" t="s">
        <v>22</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row>
    <row r="4" spans="1:32" x14ac:dyDescent="0.3">
      <c r="A4" s="223" t="s">
        <v>710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row>
    <row r="5" spans="1:32" x14ac:dyDescent="0.3">
      <c r="A5" s="223" t="s">
        <v>60</v>
      </c>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row>
    <row r="6" spans="1:32" x14ac:dyDescent="0.3">
      <c r="A6" s="223" t="s">
        <v>85</v>
      </c>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row>
    <row r="7" spans="1:32" x14ac:dyDescent="0.3">
      <c r="A7" s="223" t="s">
        <v>23</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row>
    <row r="8" spans="1:32" x14ac:dyDescent="0.3">
      <c r="A8" s="223" t="s">
        <v>24</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row>
    <row r="9" spans="1:32" x14ac:dyDescent="0.3">
      <c r="A9" s="223" t="s">
        <v>25</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row>
    <row r="10" spans="1:32" x14ac:dyDescent="0.3">
      <c r="A10" s="223" t="s">
        <v>711</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row>
    <row r="11" spans="1:32" x14ac:dyDescent="0.3">
      <c r="A11" s="223" t="s">
        <v>5</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row>
    <row r="12" spans="1:32" x14ac:dyDescent="0.3">
      <c r="A12" s="223" t="s">
        <v>5</v>
      </c>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row>
    <row r="13" spans="1:32" x14ac:dyDescent="0.3">
      <c r="A13" s="223" t="s">
        <v>5</v>
      </c>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spans="1:32" x14ac:dyDescent="0.3">
      <c r="K14" s="224"/>
      <c r="L14" s="14"/>
      <c r="M14" s="14"/>
    </row>
    <row r="15" spans="1:32" x14ac:dyDescent="0.3">
      <c r="C15" s="224" t="s">
        <v>29</v>
      </c>
      <c r="D15" s="14"/>
      <c r="E15" s="14"/>
      <c r="G15" s="224" t="s">
        <v>35</v>
      </c>
      <c r="H15" s="14"/>
      <c r="I15" s="14"/>
      <c r="K15" s="224" t="s">
        <v>74</v>
      </c>
      <c r="L15" s="14"/>
      <c r="M15" s="14"/>
    </row>
    <row r="16" spans="1:32" x14ac:dyDescent="0.3">
      <c r="C16" s="225" t="s">
        <v>50</v>
      </c>
      <c r="D16" s="15"/>
      <c r="E16" s="15"/>
      <c r="G16" s="225" t="s">
        <v>50</v>
      </c>
      <c r="H16" s="15"/>
      <c r="I16" s="15"/>
      <c r="K16" s="225" t="s">
        <v>75</v>
      </c>
      <c r="L16" s="15"/>
      <c r="M16" s="15"/>
      <c r="O16" s="226" t="s">
        <v>26</v>
      </c>
      <c r="Q16" s="226" t="s">
        <v>14</v>
      </c>
      <c r="AA16" s="226" t="s">
        <v>26</v>
      </c>
      <c r="AC16" s="226" t="s">
        <v>27</v>
      </c>
      <c r="AE16" s="9" t="s">
        <v>14</v>
      </c>
      <c r="AF16" s="9"/>
    </row>
    <row r="17" spans="1:32" x14ac:dyDescent="0.3">
      <c r="E17" s="226" t="s">
        <v>28</v>
      </c>
      <c r="I17" s="226" t="s">
        <v>28</v>
      </c>
      <c r="M17" s="226" t="s">
        <v>28</v>
      </c>
      <c r="O17" s="226" t="s">
        <v>29</v>
      </c>
      <c r="Q17" s="226" t="s">
        <v>31</v>
      </c>
      <c r="S17" s="226" t="s">
        <v>32</v>
      </c>
      <c r="U17" s="226" t="s">
        <v>33</v>
      </c>
      <c r="W17" s="226" t="s">
        <v>34</v>
      </c>
      <c r="AA17" s="226" t="s">
        <v>35</v>
      </c>
      <c r="AC17" s="226" t="s">
        <v>36</v>
      </c>
      <c r="AE17" s="9" t="s">
        <v>31</v>
      </c>
      <c r="AF17" s="9"/>
    </row>
    <row r="18" spans="1:32" x14ac:dyDescent="0.3">
      <c r="C18" s="226" t="s">
        <v>37</v>
      </c>
      <c r="E18" s="226" t="s">
        <v>38</v>
      </c>
      <c r="G18" s="226" t="s">
        <v>37</v>
      </c>
      <c r="I18" s="226" t="s">
        <v>38</v>
      </c>
      <c r="K18" s="226" t="s">
        <v>37</v>
      </c>
      <c r="M18" s="226" t="s">
        <v>38</v>
      </c>
      <c r="O18" s="226" t="s">
        <v>39</v>
      </c>
      <c r="Q18" s="226" t="s">
        <v>30</v>
      </c>
      <c r="S18" s="226" t="s">
        <v>40</v>
      </c>
      <c r="U18" s="226" t="s">
        <v>41</v>
      </c>
      <c r="W18" s="226" t="s">
        <v>76</v>
      </c>
      <c r="Y18" s="226" t="s">
        <v>42</v>
      </c>
      <c r="AA18" s="226" t="s">
        <v>39</v>
      </c>
      <c r="AC18" s="226" t="s">
        <v>43</v>
      </c>
      <c r="AE18" s="9" t="s">
        <v>30</v>
      </c>
      <c r="AF18" s="9" t="s">
        <v>42</v>
      </c>
    </row>
    <row r="19" spans="1:32" ht="16.8" x14ac:dyDescent="0.3">
      <c r="A19" s="227" t="s">
        <v>1</v>
      </c>
      <c r="C19" s="227" t="s">
        <v>715</v>
      </c>
      <c r="E19" s="227" t="s">
        <v>716</v>
      </c>
      <c r="G19" s="227" t="s">
        <v>715</v>
      </c>
      <c r="I19" s="227" t="s">
        <v>716</v>
      </c>
      <c r="K19" s="227" t="s">
        <v>44</v>
      </c>
      <c r="M19" s="227" t="s">
        <v>717</v>
      </c>
      <c r="O19" s="227" t="s">
        <v>720</v>
      </c>
      <c r="Q19" s="227" t="s">
        <v>720</v>
      </c>
      <c r="S19" s="227" t="s">
        <v>720</v>
      </c>
      <c r="U19" s="227" t="s">
        <v>720</v>
      </c>
      <c r="W19" s="227" t="s">
        <v>720</v>
      </c>
      <c r="Y19" s="227" t="s">
        <v>720</v>
      </c>
      <c r="AA19" s="227" t="s">
        <v>720</v>
      </c>
      <c r="AC19" s="227" t="s">
        <v>720</v>
      </c>
      <c r="AE19" s="10" t="s">
        <v>69</v>
      </c>
      <c r="AF19" s="10" t="s">
        <v>69</v>
      </c>
    </row>
    <row r="20" spans="1:32" x14ac:dyDescent="0.3">
      <c r="AE20" s="8"/>
      <c r="AF20" s="8"/>
    </row>
    <row r="21" spans="1:32" x14ac:dyDescent="0.3">
      <c r="A21" s="16">
        <v>2024</v>
      </c>
      <c r="C21" s="17">
        <v>27707</v>
      </c>
      <c r="E21" s="17">
        <v>12753</v>
      </c>
      <c r="G21" s="17">
        <v>25003</v>
      </c>
      <c r="I21" s="17">
        <v>10594</v>
      </c>
      <c r="K21" s="18">
        <v>60.24</v>
      </c>
      <c r="M21" s="18">
        <v>1.78</v>
      </c>
      <c r="O21" s="17">
        <v>1525178</v>
      </c>
      <c r="Q21" s="17">
        <v>129640</v>
      </c>
      <c r="S21" s="17">
        <v>78525</v>
      </c>
      <c r="U21" s="17">
        <v>277375</v>
      </c>
      <c r="W21" s="17">
        <v>0</v>
      </c>
      <c r="Y21" s="17">
        <v>62402</v>
      </c>
      <c r="AA21" s="17">
        <v>977236</v>
      </c>
      <c r="AC21" s="17">
        <v>926298</v>
      </c>
      <c r="AE21" s="13">
        <f t="shared" ref="AE21:AE57" si="0">IFERROR(Q21/O21,0)</f>
        <v>8.499991476404721E-2</v>
      </c>
      <c r="AF21" s="13">
        <f t="shared" ref="AF21:AF57" si="1">IFERROR(Y21/O21,0)</f>
        <v>4.0914568660182615E-2</v>
      </c>
    </row>
    <row r="22" spans="1:32" x14ac:dyDescent="0.3">
      <c r="A22" s="16">
        <v>2025</v>
      </c>
      <c r="C22" s="17">
        <v>39671</v>
      </c>
      <c r="E22" s="17">
        <v>23498</v>
      </c>
      <c r="G22" s="17">
        <v>31797</v>
      </c>
      <c r="I22" s="17">
        <v>17187</v>
      </c>
      <c r="K22" s="18">
        <v>60.56</v>
      </c>
      <c r="M22" s="18">
        <v>1.79</v>
      </c>
      <c r="O22" s="17">
        <v>1956220</v>
      </c>
      <c r="Q22" s="17">
        <v>166279</v>
      </c>
      <c r="S22" s="17">
        <v>69722</v>
      </c>
      <c r="U22" s="17">
        <v>75022</v>
      </c>
      <c r="W22" s="17">
        <v>0</v>
      </c>
      <c r="Y22" s="17">
        <v>42350</v>
      </c>
      <c r="AA22" s="17">
        <v>1602847</v>
      </c>
      <c r="AC22" s="17">
        <v>1375289</v>
      </c>
      <c r="AE22" s="13">
        <f t="shared" si="0"/>
        <v>8.5000153356984381E-2</v>
      </c>
      <c r="AF22" s="13">
        <f t="shared" si="1"/>
        <v>2.164889429614256E-2</v>
      </c>
    </row>
    <row r="23" spans="1:32" x14ac:dyDescent="0.3">
      <c r="A23" s="16">
        <v>2026</v>
      </c>
      <c r="C23" s="17">
        <v>37610</v>
      </c>
      <c r="E23" s="17">
        <v>24771</v>
      </c>
      <c r="G23" s="17">
        <v>29692</v>
      </c>
      <c r="I23" s="17">
        <v>17741</v>
      </c>
      <c r="K23" s="18">
        <v>60.6</v>
      </c>
      <c r="M23" s="18">
        <v>1.78</v>
      </c>
      <c r="O23" s="17">
        <v>1831005</v>
      </c>
      <c r="Q23" s="17">
        <v>155635</v>
      </c>
      <c r="S23" s="17">
        <v>68687</v>
      </c>
      <c r="U23" s="17">
        <v>6608</v>
      </c>
      <c r="W23" s="17">
        <v>0</v>
      </c>
      <c r="Y23" s="17">
        <v>43646</v>
      </c>
      <c r="AA23" s="17">
        <v>1556428</v>
      </c>
      <c r="AC23" s="17">
        <v>1208876</v>
      </c>
      <c r="AE23" s="13">
        <f t="shared" si="0"/>
        <v>8.4999767887034713E-2</v>
      </c>
      <c r="AF23" s="13">
        <f t="shared" si="1"/>
        <v>2.3837182312445897E-2</v>
      </c>
    </row>
    <row r="24" spans="1:32" x14ac:dyDescent="0.3">
      <c r="A24" s="16">
        <v>2027</v>
      </c>
      <c r="C24" s="17">
        <v>33683</v>
      </c>
      <c r="E24" s="17">
        <v>32743</v>
      </c>
      <c r="G24" s="17">
        <v>26586</v>
      </c>
      <c r="I24" s="17">
        <v>22669</v>
      </c>
      <c r="K24" s="18">
        <v>60.6</v>
      </c>
      <c r="M24" s="18">
        <v>1.79</v>
      </c>
      <c r="O24" s="17">
        <v>1651619</v>
      </c>
      <c r="Q24" s="17">
        <v>140388</v>
      </c>
      <c r="S24" s="17">
        <v>68663</v>
      </c>
      <c r="U24" s="17">
        <v>9607</v>
      </c>
      <c r="W24" s="17">
        <v>0</v>
      </c>
      <c r="Y24" s="17">
        <v>50396</v>
      </c>
      <c r="AA24" s="17">
        <v>1382565</v>
      </c>
      <c r="AC24" s="17">
        <v>972049</v>
      </c>
      <c r="AE24" s="13">
        <f t="shared" si="0"/>
        <v>8.5000233104608261E-2</v>
      </c>
      <c r="AF24" s="13">
        <f t="shared" si="1"/>
        <v>3.0513090488787063E-2</v>
      </c>
    </row>
    <row r="25" spans="1:32" x14ac:dyDescent="0.3">
      <c r="A25" s="16">
        <v>2028</v>
      </c>
      <c r="C25" s="17">
        <v>27974</v>
      </c>
      <c r="E25" s="17">
        <v>31587</v>
      </c>
      <c r="G25" s="17">
        <v>22417</v>
      </c>
      <c r="I25" s="17">
        <v>21759</v>
      </c>
      <c r="K25" s="18">
        <v>60.56</v>
      </c>
      <c r="M25" s="18">
        <v>1.78</v>
      </c>
      <c r="O25" s="17">
        <v>1396371</v>
      </c>
      <c r="Q25" s="17">
        <v>118691</v>
      </c>
      <c r="S25" s="17">
        <v>69720</v>
      </c>
      <c r="U25" s="17">
        <v>6608</v>
      </c>
      <c r="W25" s="17">
        <v>0</v>
      </c>
      <c r="Y25" s="17">
        <v>38189</v>
      </c>
      <c r="AA25" s="17">
        <v>1163164</v>
      </c>
      <c r="AC25" s="17">
        <v>740277</v>
      </c>
      <c r="AE25" s="13">
        <f t="shared" si="0"/>
        <v>8.4999616863999608E-2</v>
      </c>
      <c r="AF25" s="13">
        <f t="shared" si="1"/>
        <v>2.7348749007248072E-2</v>
      </c>
    </row>
    <row r="26" spans="1:32" ht="21.9" customHeight="1" x14ac:dyDescent="0.3">
      <c r="A26" s="16">
        <v>2029</v>
      </c>
      <c r="C26" s="17">
        <v>24098</v>
      </c>
      <c r="E26" s="17">
        <v>23036</v>
      </c>
      <c r="G26" s="17">
        <v>19446</v>
      </c>
      <c r="I26" s="17">
        <v>16101</v>
      </c>
      <c r="K26" s="18">
        <v>60.54</v>
      </c>
      <c r="M26" s="18">
        <v>1.79</v>
      </c>
      <c r="O26" s="17">
        <v>1205940</v>
      </c>
      <c r="Q26" s="17">
        <v>102505</v>
      </c>
      <c r="S26" s="17">
        <v>70197</v>
      </c>
      <c r="U26" s="17">
        <v>6607</v>
      </c>
      <c r="W26" s="17">
        <v>0</v>
      </c>
      <c r="Y26" s="17">
        <v>24791</v>
      </c>
      <c r="AA26" s="17">
        <v>1001840</v>
      </c>
      <c r="AC26" s="17">
        <v>577168</v>
      </c>
      <c r="AE26" s="13">
        <f t="shared" si="0"/>
        <v>8.500008292286515E-2</v>
      </c>
      <c r="AF26" s="13">
        <f t="shared" si="1"/>
        <v>2.0557407499543923E-2</v>
      </c>
    </row>
    <row r="27" spans="1:32" x14ac:dyDescent="0.3">
      <c r="A27" s="16">
        <v>2030</v>
      </c>
      <c r="C27" s="17">
        <v>22157</v>
      </c>
      <c r="E27" s="17">
        <v>17836</v>
      </c>
      <c r="G27" s="17">
        <v>17794</v>
      </c>
      <c r="I27" s="17">
        <v>12626</v>
      </c>
      <c r="K27" s="18">
        <v>60.55</v>
      </c>
      <c r="M27" s="18">
        <v>1.78</v>
      </c>
      <c r="O27" s="17">
        <v>1100025</v>
      </c>
      <c r="Q27" s="17">
        <v>93502</v>
      </c>
      <c r="S27" s="17">
        <v>69875</v>
      </c>
      <c r="U27" s="17">
        <v>6608</v>
      </c>
      <c r="W27" s="17">
        <v>0</v>
      </c>
      <c r="Y27" s="17">
        <v>17041</v>
      </c>
      <c r="AA27" s="17">
        <v>912998</v>
      </c>
      <c r="AC27" s="17">
        <v>476129</v>
      </c>
      <c r="AE27" s="13">
        <f t="shared" si="0"/>
        <v>8.4999886366218955E-2</v>
      </c>
      <c r="AF27" s="13">
        <f t="shared" si="1"/>
        <v>1.5491466103043113E-2</v>
      </c>
    </row>
    <row r="28" spans="1:32" x14ac:dyDescent="0.3">
      <c r="A28" s="16">
        <v>2031</v>
      </c>
      <c r="C28" s="17">
        <v>18572</v>
      </c>
      <c r="E28" s="17">
        <v>13152</v>
      </c>
      <c r="G28" s="17">
        <v>15143</v>
      </c>
      <c r="I28" s="17">
        <v>9500</v>
      </c>
      <c r="K28" s="18">
        <v>60.51</v>
      </c>
      <c r="M28" s="18">
        <v>1.79</v>
      </c>
      <c r="O28" s="17">
        <v>933232</v>
      </c>
      <c r="Q28" s="17">
        <v>79325</v>
      </c>
      <c r="S28" s="17">
        <v>70952</v>
      </c>
      <c r="U28" s="17">
        <v>6607</v>
      </c>
      <c r="W28" s="17">
        <v>0</v>
      </c>
      <c r="Y28" s="17">
        <v>6904</v>
      </c>
      <c r="AA28" s="17">
        <v>769444</v>
      </c>
      <c r="AC28" s="17">
        <v>363230</v>
      </c>
      <c r="AE28" s="13">
        <f t="shared" si="0"/>
        <v>8.5000300032574971E-2</v>
      </c>
      <c r="AF28" s="13">
        <f t="shared" si="1"/>
        <v>7.3979460627153805E-3</v>
      </c>
    </row>
    <row r="29" spans="1:32" x14ac:dyDescent="0.3">
      <c r="A29" s="16">
        <v>2032</v>
      </c>
      <c r="C29" s="17">
        <v>16723</v>
      </c>
      <c r="E29" s="17">
        <v>10199</v>
      </c>
      <c r="G29" s="17">
        <v>13667</v>
      </c>
      <c r="I29" s="17">
        <v>7505</v>
      </c>
      <c r="K29" s="18">
        <v>60.5</v>
      </c>
      <c r="M29" s="18">
        <v>1.78</v>
      </c>
      <c r="O29" s="17">
        <v>840318</v>
      </c>
      <c r="Q29" s="17">
        <v>71427</v>
      </c>
      <c r="S29" s="17">
        <v>71089</v>
      </c>
      <c r="U29" s="17">
        <v>6608</v>
      </c>
      <c r="W29" s="17">
        <v>0</v>
      </c>
      <c r="Y29" s="17">
        <v>3749</v>
      </c>
      <c r="AA29" s="17">
        <v>687446</v>
      </c>
      <c r="AC29" s="17">
        <v>293761</v>
      </c>
      <c r="AE29" s="13">
        <f t="shared" si="0"/>
        <v>8.4999964299229583E-2</v>
      </c>
      <c r="AF29" s="13">
        <f t="shared" si="1"/>
        <v>4.4614062771474606E-3</v>
      </c>
    </row>
    <row r="30" spans="1:32" x14ac:dyDescent="0.3">
      <c r="A30" s="16">
        <v>2033</v>
      </c>
      <c r="C30" s="17">
        <v>15680</v>
      </c>
      <c r="E30" s="17">
        <v>8850</v>
      </c>
      <c r="G30" s="17">
        <v>12726</v>
      </c>
      <c r="I30" s="17">
        <v>6551</v>
      </c>
      <c r="K30" s="18">
        <v>60.53</v>
      </c>
      <c r="M30" s="18">
        <v>1.79</v>
      </c>
      <c r="O30" s="17">
        <v>781918</v>
      </c>
      <c r="Q30" s="17">
        <v>66463</v>
      </c>
      <c r="S30" s="17">
        <v>70605</v>
      </c>
      <c r="U30" s="17">
        <v>6607</v>
      </c>
      <c r="W30" s="17">
        <v>0</v>
      </c>
      <c r="Y30" s="17">
        <v>907</v>
      </c>
      <c r="AA30" s="17">
        <v>637335</v>
      </c>
      <c r="AC30" s="17">
        <v>246532</v>
      </c>
      <c r="AE30" s="13">
        <f t="shared" si="0"/>
        <v>8.4999961632805487E-2</v>
      </c>
      <c r="AF30" s="13">
        <f t="shared" si="1"/>
        <v>1.1599681808066831E-3</v>
      </c>
    </row>
    <row r="31" spans="1:32" ht="21.9" customHeight="1" x14ac:dyDescent="0.3">
      <c r="A31" s="16">
        <v>2034</v>
      </c>
      <c r="C31" s="17">
        <v>14762</v>
      </c>
      <c r="E31" s="17">
        <v>8247</v>
      </c>
      <c r="G31" s="17">
        <v>11906</v>
      </c>
      <c r="I31" s="17">
        <v>6088</v>
      </c>
      <c r="K31" s="18">
        <v>60.54</v>
      </c>
      <c r="M31" s="18">
        <v>1.78</v>
      </c>
      <c r="O31" s="17">
        <v>731655</v>
      </c>
      <c r="Q31" s="17">
        <v>62191</v>
      </c>
      <c r="S31" s="17">
        <v>70172</v>
      </c>
      <c r="U31" s="17">
        <v>6608</v>
      </c>
      <c r="W31" s="17">
        <v>0</v>
      </c>
      <c r="Y31" s="17">
        <v>0</v>
      </c>
      <c r="AA31" s="17">
        <v>592686</v>
      </c>
      <c r="AC31" s="17">
        <v>207530</v>
      </c>
      <c r="AE31" s="13">
        <f t="shared" si="0"/>
        <v>8.5000444198426853E-2</v>
      </c>
      <c r="AF31" s="13">
        <f t="shared" si="1"/>
        <v>0</v>
      </c>
    </row>
    <row r="32" spans="1:32" x14ac:dyDescent="0.3">
      <c r="A32" s="16">
        <v>2035</v>
      </c>
      <c r="C32" s="17">
        <v>13974</v>
      </c>
      <c r="E32" s="17">
        <v>7639</v>
      </c>
      <c r="G32" s="17">
        <v>11197</v>
      </c>
      <c r="I32" s="17">
        <v>5632</v>
      </c>
      <c r="K32" s="18">
        <v>60.55</v>
      </c>
      <c r="M32" s="18">
        <v>1.79</v>
      </c>
      <c r="O32" s="17">
        <v>688110</v>
      </c>
      <c r="Q32" s="17">
        <v>58489</v>
      </c>
      <c r="S32" s="17">
        <v>69721</v>
      </c>
      <c r="U32" s="17">
        <v>6607</v>
      </c>
      <c r="W32" s="17">
        <v>0</v>
      </c>
      <c r="Y32" s="17">
        <v>0</v>
      </c>
      <c r="AA32" s="17">
        <v>553291</v>
      </c>
      <c r="AC32" s="17">
        <v>175373</v>
      </c>
      <c r="AE32" s="13">
        <f t="shared" si="0"/>
        <v>8.4999491360392962E-2</v>
      </c>
      <c r="AF32" s="13">
        <f t="shared" si="1"/>
        <v>0</v>
      </c>
    </row>
    <row r="33" spans="1:32" x14ac:dyDescent="0.3">
      <c r="A33" s="16">
        <v>2036</v>
      </c>
      <c r="C33" s="17">
        <v>13288</v>
      </c>
      <c r="E33" s="17">
        <v>7097</v>
      </c>
      <c r="G33" s="17">
        <v>10585</v>
      </c>
      <c r="I33" s="17">
        <v>5227</v>
      </c>
      <c r="K33" s="18">
        <v>60.58</v>
      </c>
      <c r="M33" s="18">
        <v>1.78</v>
      </c>
      <c r="O33" s="17">
        <v>650478</v>
      </c>
      <c r="Q33" s="17">
        <v>55291</v>
      </c>
      <c r="S33" s="17">
        <v>69295</v>
      </c>
      <c r="U33" s="17">
        <v>6608</v>
      </c>
      <c r="W33" s="17">
        <v>0</v>
      </c>
      <c r="Y33" s="17">
        <v>0</v>
      </c>
      <c r="AA33" s="17">
        <v>519286</v>
      </c>
      <c r="AC33" s="17">
        <v>148992</v>
      </c>
      <c r="AE33" s="13">
        <f t="shared" si="0"/>
        <v>8.5000568812473296E-2</v>
      </c>
      <c r="AF33" s="13">
        <f t="shared" si="1"/>
        <v>0</v>
      </c>
    </row>
    <row r="34" spans="1:32" x14ac:dyDescent="0.3">
      <c r="A34" s="16">
        <v>2037</v>
      </c>
      <c r="C34" s="17">
        <v>12490</v>
      </c>
      <c r="E34" s="17">
        <v>6557</v>
      </c>
      <c r="G34" s="17">
        <v>9906</v>
      </c>
      <c r="I34" s="17">
        <v>4826</v>
      </c>
      <c r="K34" s="18">
        <v>60.59</v>
      </c>
      <c r="M34" s="18">
        <v>1.79</v>
      </c>
      <c r="O34" s="17">
        <v>608809</v>
      </c>
      <c r="Q34" s="17">
        <v>51749</v>
      </c>
      <c r="S34" s="17">
        <v>69002</v>
      </c>
      <c r="U34" s="17">
        <v>6607</v>
      </c>
      <c r="W34" s="17">
        <v>0</v>
      </c>
      <c r="Y34" s="17">
        <v>0</v>
      </c>
      <c r="AA34" s="17">
        <v>481451</v>
      </c>
      <c r="AC34" s="17">
        <v>125043</v>
      </c>
      <c r="AE34" s="13">
        <f t="shared" si="0"/>
        <v>8.5000385999549941E-2</v>
      </c>
      <c r="AF34" s="13">
        <f t="shared" si="1"/>
        <v>0</v>
      </c>
    </row>
    <row r="35" spans="1:32" x14ac:dyDescent="0.3">
      <c r="A35" s="16">
        <v>2038</v>
      </c>
      <c r="C35" s="17">
        <v>11365</v>
      </c>
      <c r="E35" s="17">
        <v>5842</v>
      </c>
      <c r="G35" s="17">
        <v>9041</v>
      </c>
      <c r="I35" s="17">
        <v>4321</v>
      </c>
      <c r="K35" s="18">
        <v>60.58</v>
      </c>
      <c r="M35" s="18">
        <v>1.78</v>
      </c>
      <c r="O35" s="17">
        <v>555391</v>
      </c>
      <c r="Q35" s="17">
        <v>47208</v>
      </c>
      <c r="S35" s="17">
        <v>69208</v>
      </c>
      <c r="U35" s="17">
        <v>6608</v>
      </c>
      <c r="W35" s="17">
        <v>0</v>
      </c>
      <c r="Y35" s="17">
        <v>0</v>
      </c>
      <c r="AA35" s="17">
        <v>432366</v>
      </c>
      <c r="AC35" s="17">
        <v>101651</v>
      </c>
      <c r="AE35" s="13">
        <f t="shared" si="0"/>
        <v>8.4999576874670274E-2</v>
      </c>
      <c r="AF35" s="13">
        <f t="shared" si="1"/>
        <v>0</v>
      </c>
    </row>
    <row r="36" spans="1:32" ht="21.9" customHeight="1" x14ac:dyDescent="0.3">
      <c r="A36" s="16">
        <v>2039</v>
      </c>
      <c r="C36" s="17">
        <v>10236</v>
      </c>
      <c r="E36" s="17">
        <v>5200</v>
      </c>
      <c r="G36" s="17">
        <v>8186</v>
      </c>
      <c r="I36" s="17">
        <v>3866</v>
      </c>
      <c r="K36" s="18">
        <v>60.56</v>
      </c>
      <c r="M36" s="18">
        <v>1.79</v>
      </c>
      <c r="O36" s="17">
        <v>502682</v>
      </c>
      <c r="Q36" s="17">
        <v>42728</v>
      </c>
      <c r="S36" s="17">
        <v>69592</v>
      </c>
      <c r="U36" s="17">
        <v>6607</v>
      </c>
      <c r="W36" s="17">
        <v>0</v>
      </c>
      <c r="Y36" s="17">
        <v>0</v>
      </c>
      <c r="AA36" s="17">
        <v>383755</v>
      </c>
      <c r="AC36" s="17">
        <v>81670</v>
      </c>
      <c r="AE36" s="13">
        <f t="shared" si="0"/>
        <v>8.5000059679877144E-2</v>
      </c>
      <c r="AF36" s="13">
        <f t="shared" si="1"/>
        <v>0</v>
      </c>
    </row>
    <row r="37" spans="1:32" x14ac:dyDescent="0.3">
      <c r="A37" s="16">
        <v>2040</v>
      </c>
      <c r="C37" s="17">
        <v>9390</v>
      </c>
      <c r="E37" s="17">
        <v>4760</v>
      </c>
      <c r="G37" s="17">
        <v>7534</v>
      </c>
      <c r="I37" s="17">
        <v>3547</v>
      </c>
      <c r="K37" s="18">
        <v>60.55</v>
      </c>
      <c r="M37" s="18">
        <v>1.78</v>
      </c>
      <c r="O37" s="17">
        <v>462575</v>
      </c>
      <c r="Q37" s="17">
        <v>39319</v>
      </c>
      <c r="S37" s="17">
        <v>69791</v>
      </c>
      <c r="U37" s="17">
        <v>6608</v>
      </c>
      <c r="W37" s="17">
        <v>0</v>
      </c>
      <c r="Y37" s="17">
        <v>0</v>
      </c>
      <c r="AA37" s="17">
        <v>346858</v>
      </c>
      <c r="AC37" s="17">
        <v>66821</v>
      </c>
      <c r="AE37" s="13">
        <f t="shared" si="0"/>
        <v>8.5000270226449764E-2</v>
      </c>
      <c r="AF37" s="13">
        <f t="shared" si="1"/>
        <v>0</v>
      </c>
    </row>
    <row r="38" spans="1:32" x14ac:dyDescent="0.3">
      <c r="A38" s="16">
        <v>2041</v>
      </c>
      <c r="C38" s="17">
        <v>8617</v>
      </c>
      <c r="E38" s="17">
        <v>4364</v>
      </c>
      <c r="G38" s="17">
        <v>6928</v>
      </c>
      <c r="I38" s="17">
        <v>3258</v>
      </c>
      <c r="K38" s="18">
        <v>60.55</v>
      </c>
      <c r="M38" s="18">
        <v>1.79</v>
      </c>
      <c r="O38" s="17">
        <v>425266</v>
      </c>
      <c r="Q38" s="17">
        <v>36147</v>
      </c>
      <c r="S38" s="17">
        <v>69952</v>
      </c>
      <c r="U38" s="17">
        <v>6607</v>
      </c>
      <c r="W38" s="17">
        <v>0</v>
      </c>
      <c r="Y38" s="17">
        <v>0</v>
      </c>
      <c r="AA38" s="17">
        <v>312559</v>
      </c>
      <c r="AC38" s="17">
        <v>54505</v>
      </c>
      <c r="AE38" s="13">
        <f t="shared" si="0"/>
        <v>8.4998565603645715E-2</v>
      </c>
      <c r="AF38" s="13">
        <f t="shared" si="1"/>
        <v>0</v>
      </c>
    </row>
    <row r="39" spans="1:32" x14ac:dyDescent="0.3">
      <c r="A39" s="16">
        <v>2042</v>
      </c>
      <c r="C39" s="17">
        <v>7718</v>
      </c>
      <c r="E39" s="17">
        <v>3881</v>
      </c>
      <c r="G39" s="17">
        <v>6258</v>
      </c>
      <c r="I39" s="17">
        <v>2917</v>
      </c>
      <c r="K39" s="18">
        <v>60.53</v>
      </c>
      <c r="M39" s="18">
        <v>1.78</v>
      </c>
      <c r="O39" s="17">
        <v>384000</v>
      </c>
      <c r="Q39" s="17">
        <v>32640</v>
      </c>
      <c r="S39" s="17">
        <v>70520</v>
      </c>
      <c r="U39" s="17">
        <v>6608</v>
      </c>
      <c r="W39" s="17">
        <v>0</v>
      </c>
      <c r="Y39" s="17">
        <v>0</v>
      </c>
      <c r="AA39" s="17">
        <v>274232</v>
      </c>
      <c r="AC39" s="17">
        <v>43289</v>
      </c>
      <c r="AE39" s="13">
        <f t="shared" si="0"/>
        <v>8.5000000000000006E-2</v>
      </c>
      <c r="AF39" s="13">
        <f t="shared" si="1"/>
        <v>0</v>
      </c>
    </row>
    <row r="40" spans="1:32" x14ac:dyDescent="0.3">
      <c r="A40" s="16">
        <v>2043</v>
      </c>
      <c r="C40" s="17">
        <v>6829</v>
      </c>
      <c r="E40" s="17">
        <v>3429</v>
      </c>
      <c r="G40" s="17">
        <v>5600</v>
      </c>
      <c r="I40" s="17">
        <v>2598</v>
      </c>
      <c r="K40" s="18">
        <v>60.49</v>
      </c>
      <c r="M40" s="18">
        <v>1.79</v>
      </c>
      <c r="O40" s="17">
        <v>343400</v>
      </c>
      <c r="Q40" s="17">
        <v>29189</v>
      </c>
      <c r="S40" s="17">
        <v>71340</v>
      </c>
      <c r="U40" s="17">
        <v>6607</v>
      </c>
      <c r="W40" s="17">
        <v>0</v>
      </c>
      <c r="Y40" s="17">
        <v>0</v>
      </c>
      <c r="AA40" s="17">
        <v>236263</v>
      </c>
      <c r="AC40" s="17">
        <v>33761</v>
      </c>
      <c r="AE40" s="13">
        <f t="shared" si="0"/>
        <v>8.5000000000000006E-2</v>
      </c>
      <c r="AF40" s="13">
        <f t="shared" si="1"/>
        <v>0</v>
      </c>
    </row>
    <row r="41" spans="1:32" ht="21.9" customHeight="1" x14ac:dyDescent="0.3">
      <c r="A41" s="16">
        <v>2044</v>
      </c>
      <c r="C41" s="17">
        <v>6228</v>
      </c>
      <c r="E41" s="17">
        <v>0</v>
      </c>
      <c r="G41" s="17">
        <v>5137</v>
      </c>
      <c r="I41" s="17">
        <v>0</v>
      </c>
      <c r="K41" s="18">
        <v>60.48</v>
      </c>
      <c r="M41" s="18">
        <v>1.78</v>
      </c>
      <c r="O41" s="17">
        <v>310685</v>
      </c>
      <c r="Q41" s="17">
        <v>26783</v>
      </c>
      <c r="S41" s="17">
        <v>71792</v>
      </c>
      <c r="U41" s="17">
        <v>6608</v>
      </c>
      <c r="W41" s="17">
        <v>0</v>
      </c>
      <c r="Y41" s="17">
        <v>0</v>
      </c>
      <c r="AA41" s="17">
        <v>205503</v>
      </c>
      <c r="AC41" s="17">
        <v>26581</v>
      </c>
      <c r="AE41" s="13">
        <f t="shared" si="0"/>
        <v>8.6206286109725291E-2</v>
      </c>
      <c r="AF41" s="13">
        <f t="shared" si="1"/>
        <v>0</v>
      </c>
    </row>
    <row r="42" spans="1:32" x14ac:dyDescent="0.3">
      <c r="A42" s="16">
        <v>2045</v>
      </c>
      <c r="C42" s="17">
        <v>5734</v>
      </c>
      <c r="E42" s="17">
        <v>0</v>
      </c>
      <c r="G42" s="17">
        <v>4751</v>
      </c>
      <c r="I42" s="17">
        <v>0</v>
      </c>
      <c r="K42" s="18">
        <v>60.47</v>
      </c>
      <c r="M42" s="18">
        <v>1.79</v>
      </c>
      <c r="O42" s="17">
        <v>287262</v>
      </c>
      <c r="Q42" s="17">
        <v>24788</v>
      </c>
      <c r="S42" s="17">
        <v>72016</v>
      </c>
      <c r="U42" s="17">
        <v>6607</v>
      </c>
      <c r="W42" s="17">
        <v>0</v>
      </c>
      <c r="Y42" s="17">
        <v>0</v>
      </c>
      <c r="AA42" s="17">
        <v>183852</v>
      </c>
      <c r="AC42" s="17">
        <v>21527</v>
      </c>
      <c r="AE42" s="13">
        <f t="shared" si="0"/>
        <v>8.6290564014732202E-2</v>
      </c>
      <c r="AF42" s="13">
        <f t="shared" si="1"/>
        <v>0</v>
      </c>
    </row>
    <row r="43" spans="1:32" x14ac:dyDescent="0.3">
      <c r="A43" s="16">
        <v>2046</v>
      </c>
      <c r="C43" s="17">
        <v>5334</v>
      </c>
      <c r="E43" s="17">
        <v>0</v>
      </c>
      <c r="G43" s="17">
        <v>4423</v>
      </c>
      <c r="I43" s="17">
        <v>0</v>
      </c>
      <c r="K43" s="18">
        <v>60.46</v>
      </c>
      <c r="M43" s="18">
        <v>1.78</v>
      </c>
      <c r="O43" s="17">
        <v>267434</v>
      </c>
      <c r="Q43" s="17">
        <v>23083</v>
      </c>
      <c r="S43" s="17">
        <v>72190</v>
      </c>
      <c r="U43" s="17">
        <v>6608</v>
      </c>
      <c r="W43" s="17">
        <v>0</v>
      </c>
      <c r="Y43" s="17">
        <v>0</v>
      </c>
      <c r="AA43" s="17">
        <v>165552</v>
      </c>
      <c r="AC43" s="17">
        <v>17547</v>
      </c>
      <c r="AE43" s="13">
        <f t="shared" si="0"/>
        <v>8.6312884674349555E-2</v>
      </c>
      <c r="AF43" s="13">
        <f t="shared" si="1"/>
        <v>0</v>
      </c>
    </row>
    <row r="44" spans="1:32" x14ac:dyDescent="0.3">
      <c r="A44" s="16">
        <v>2047</v>
      </c>
      <c r="C44" s="17">
        <v>4986</v>
      </c>
      <c r="E44" s="17">
        <v>0</v>
      </c>
      <c r="G44" s="17">
        <v>4142</v>
      </c>
      <c r="I44" s="17">
        <v>0</v>
      </c>
      <c r="K44" s="18">
        <v>60.46</v>
      </c>
      <c r="M44" s="18">
        <v>1.79</v>
      </c>
      <c r="O44" s="17">
        <v>250434</v>
      </c>
      <c r="Q44" s="17">
        <v>21613</v>
      </c>
      <c r="S44" s="17">
        <v>72279</v>
      </c>
      <c r="U44" s="17">
        <v>6607</v>
      </c>
      <c r="W44" s="17">
        <v>0</v>
      </c>
      <c r="Y44" s="17">
        <v>0</v>
      </c>
      <c r="AA44" s="17">
        <v>149936</v>
      </c>
      <c r="AC44" s="17">
        <v>14385</v>
      </c>
      <c r="AE44" s="13">
        <f t="shared" si="0"/>
        <v>8.6302179416532898E-2</v>
      </c>
      <c r="AF44" s="13">
        <f t="shared" si="1"/>
        <v>0</v>
      </c>
    </row>
    <row r="45" spans="1:32" x14ac:dyDescent="0.3">
      <c r="A45" s="16">
        <v>2048</v>
      </c>
      <c r="C45" s="17">
        <v>4699</v>
      </c>
      <c r="E45" s="17">
        <v>0</v>
      </c>
      <c r="G45" s="17">
        <v>3905</v>
      </c>
      <c r="I45" s="17">
        <v>0</v>
      </c>
      <c r="K45" s="18">
        <v>60.46</v>
      </c>
      <c r="M45" s="18">
        <v>1.78</v>
      </c>
      <c r="O45" s="17">
        <v>236059</v>
      </c>
      <c r="Q45" s="17">
        <v>20370</v>
      </c>
      <c r="S45" s="17">
        <v>72314</v>
      </c>
      <c r="U45" s="17">
        <v>6608</v>
      </c>
      <c r="W45" s="17">
        <v>0</v>
      </c>
      <c r="Y45" s="17">
        <v>0</v>
      </c>
      <c r="AA45" s="17">
        <v>136765</v>
      </c>
      <c r="AC45" s="17">
        <v>11878</v>
      </c>
      <c r="AE45" s="13">
        <f t="shared" si="0"/>
        <v>8.6291986325452541E-2</v>
      </c>
      <c r="AF45" s="13">
        <f t="shared" si="1"/>
        <v>0</v>
      </c>
    </row>
    <row r="46" spans="1:32" ht="21.9" customHeight="1" x14ac:dyDescent="0.3">
      <c r="A46" s="16">
        <v>2049</v>
      </c>
      <c r="C46" s="17">
        <v>4415</v>
      </c>
      <c r="E46" s="17">
        <v>0</v>
      </c>
      <c r="G46" s="17">
        <v>3671</v>
      </c>
      <c r="I46" s="17">
        <v>0</v>
      </c>
      <c r="K46" s="18">
        <v>60.45</v>
      </c>
      <c r="M46" s="18">
        <v>1.79</v>
      </c>
      <c r="O46" s="17">
        <v>221942</v>
      </c>
      <c r="Q46" s="17">
        <v>19153</v>
      </c>
      <c r="S46" s="17">
        <v>72319</v>
      </c>
      <c r="U46" s="17">
        <v>6607</v>
      </c>
      <c r="W46" s="17">
        <v>0</v>
      </c>
      <c r="Y46" s="17">
        <v>0</v>
      </c>
      <c r="AA46" s="17">
        <v>123864</v>
      </c>
      <c r="AC46" s="17">
        <v>9738</v>
      </c>
      <c r="AE46" s="13">
        <f t="shared" si="0"/>
        <v>8.6297320921682241E-2</v>
      </c>
      <c r="AF46" s="13">
        <f t="shared" si="1"/>
        <v>0</v>
      </c>
    </row>
    <row r="47" spans="1:32" x14ac:dyDescent="0.3">
      <c r="A47" s="16">
        <v>2050</v>
      </c>
      <c r="C47" s="17">
        <v>4181</v>
      </c>
      <c r="E47" s="17">
        <v>0</v>
      </c>
      <c r="G47" s="17">
        <v>3472</v>
      </c>
      <c r="I47" s="17">
        <v>0</v>
      </c>
      <c r="K47" s="18">
        <v>60.46</v>
      </c>
      <c r="M47" s="18">
        <v>1.78</v>
      </c>
      <c r="O47" s="17">
        <v>209938</v>
      </c>
      <c r="Q47" s="17">
        <v>18116</v>
      </c>
      <c r="S47" s="17">
        <v>72284</v>
      </c>
      <c r="U47" s="17">
        <v>6608</v>
      </c>
      <c r="W47" s="17">
        <v>0</v>
      </c>
      <c r="Y47" s="17">
        <v>0</v>
      </c>
      <c r="AA47" s="17">
        <v>112931</v>
      </c>
      <c r="AC47" s="17">
        <v>8037</v>
      </c>
      <c r="AE47" s="13">
        <f t="shared" si="0"/>
        <v>8.6292143394716539E-2</v>
      </c>
      <c r="AF47" s="13">
        <f t="shared" si="1"/>
        <v>0</v>
      </c>
    </row>
    <row r="48" spans="1:32" x14ac:dyDescent="0.3">
      <c r="A48" s="16">
        <v>2051</v>
      </c>
      <c r="C48" s="17">
        <v>3970</v>
      </c>
      <c r="E48" s="17">
        <v>0</v>
      </c>
      <c r="G48" s="17">
        <v>3294</v>
      </c>
      <c r="I48" s="17">
        <v>0</v>
      </c>
      <c r="K48" s="18">
        <v>60.46</v>
      </c>
      <c r="M48" s="18">
        <v>1.78</v>
      </c>
      <c r="O48" s="17">
        <v>199147</v>
      </c>
      <c r="Q48" s="17">
        <v>17184</v>
      </c>
      <c r="S48" s="17">
        <v>72214</v>
      </c>
      <c r="U48" s="17">
        <v>6607</v>
      </c>
      <c r="W48" s="17">
        <v>0</v>
      </c>
      <c r="Y48" s="17">
        <v>0</v>
      </c>
      <c r="AA48" s="17">
        <v>103142</v>
      </c>
      <c r="AC48" s="17">
        <v>6644</v>
      </c>
      <c r="AE48" s="13">
        <f t="shared" si="0"/>
        <v>8.6288018398469474E-2</v>
      </c>
      <c r="AF48" s="13">
        <f t="shared" si="1"/>
        <v>0</v>
      </c>
    </row>
    <row r="49" spans="1:32" x14ac:dyDescent="0.3">
      <c r="A49" s="16">
        <v>2052</v>
      </c>
      <c r="C49" s="17">
        <v>3003</v>
      </c>
      <c r="E49" s="17">
        <v>0</v>
      </c>
      <c r="G49" s="17">
        <v>2360</v>
      </c>
      <c r="I49" s="17">
        <v>0</v>
      </c>
      <c r="K49" s="18">
        <v>60.62</v>
      </c>
      <c r="M49" s="18">
        <v>1.79</v>
      </c>
      <c r="O49" s="17">
        <v>143032</v>
      </c>
      <c r="Q49" s="17">
        <v>12363</v>
      </c>
      <c r="S49" s="17">
        <v>68270</v>
      </c>
      <c r="U49" s="17">
        <v>0</v>
      </c>
      <c r="W49" s="17">
        <v>0</v>
      </c>
      <c r="Y49" s="17">
        <v>0</v>
      </c>
      <c r="AA49" s="17">
        <v>62398</v>
      </c>
      <c r="AC49" s="17">
        <v>3639</v>
      </c>
      <c r="AE49" s="13">
        <f t="shared" si="0"/>
        <v>8.6435203311147152E-2</v>
      </c>
      <c r="AF49" s="13">
        <f t="shared" si="1"/>
        <v>0</v>
      </c>
    </row>
    <row r="50" spans="1:32" x14ac:dyDescent="0.3">
      <c r="A50" s="16">
        <v>2053</v>
      </c>
      <c r="C50" s="17">
        <v>1738</v>
      </c>
      <c r="E50" s="17">
        <v>0</v>
      </c>
      <c r="G50" s="17">
        <v>1117</v>
      </c>
      <c r="I50" s="17">
        <v>0</v>
      </c>
      <c r="K50" s="18">
        <v>61.25</v>
      </c>
      <c r="M50" s="18">
        <v>1.78</v>
      </c>
      <c r="O50" s="17">
        <v>68441</v>
      </c>
      <c r="Q50" s="17">
        <v>5958</v>
      </c>
      <c r="S50" s="17">
        <v>55941</v>
      </c>
      <c r="U50" s="17">
        <v>0</v>
      </c>
      <c r="W50" s="17">
        <v>0</v>
      </c>
      <c r="Y50" s="17">
        <v>0</v>
      </c>
      <c r="AA50" s="17">
        <v>6542</v>
      </c>
      <c r="AC50" s="17">
        <v>345</v>
      </c>
      <c r="AE50" s="13">
        <f t="shared" si="0"/>
        <v>8.7053082216799874E-2</v>
      </c>
      <c r="AF50" s="13">
        <f t="shared" si="1"/>
        <v>0</v>
      </c>
    </row>
    <row r="51" spans="1:32" ht="21.9" customHeight="1" x14ac:dyDescent="0.3">
      <c r="A51" s="16">
        <v>2054</v>
      </c>
      <c r="C51" s="17">
        <v>1627</v>
      </c>
      <c r="E51" s="17">
        <v>0</v>
      </c>
      <c r="G51" s="17">
        <v>1046</v>
      </c>
      <c r="I51" s="17">
        <v>0</v>
      </c>
      <c r="K51" s="18">
        <v>61.25</v>
      </c>
      <c r="M51" s="18">
        <v>1.79</v>
      </c>
      <c r="O51" s="17">
        <v>64041</v>
      </c>
      <c r="Q51" s="17">
        <v>5574</v>
      </c>
      <c r="S51" s="17">
        <v>55941</v>
      </c>
      <c r="U51" s="17">
        <v>0</v>
      </c>
      <c r="W51" s="17">
        <v>0</v>
      </c>
      <c r="Y51" s="17">
        <v>0</v>
      </c>
      <c r="AA51" s="17">
        <v>2526</v>
      </c>
      <c r="AC51" s="17">
        <v>121</v>
      </c>
      <c r="AE51" s="13">
        <f t="shared" si="0"/>
        <v>8.7037991286831873E-2</v>
      </c>
      <c r="AF51" s="13">
        <f t="shared" si="1"/>
        <v>0</v>
      </c>
    </row>
    <row r="52" spans="1:32" x14ac:dyDescent="0.3">
      <c r="A52" s="16">
        <v>2055</v>
      </c>
      <c r="C52" s="17">
        <v>0</v>
      </c>
      <c r="E52" s="17">
        <v>0</v>
      </c>
      <c r="G52" s="17">
        <v>0</v>
      </c>
      <c r="I52" s="17">
        <v>0</v>
      </c>
      <c r="K52" s="18">
        <v>0</v>
      </c>
      <c r="M52" s="18">
        <v>0</v>
      </c>
      <c r="O52" s="17">
        <v>0</v>
      </c>
      <c r="Q52" s="17">
        <v>0</v>
      </c>
      <c r="S52" s="17">
        <v>0</v>
      </c>
      <c r="U52" s="17">
        <v>0</v>
      </c>
      <c r="W52" s="17">
        <v>249246</v>
      </c>
      <c r="Y52" s="17">
        <v>0</v>
      </c>
      <c r="AA52" s="17">
        <v>-249246</v>
      </c>
      <c r="AC52" s="17">
        <v>-10781</v>
      </c>
      <c r="AE52" s="13">
        <f t="shared" si="0"/>
        <v>0</v>
      </c>
      <c r="AF52" s="13">
        <f t="shared" si="1"/>
        <v>0</v>
      </c>
    </row>
    <row r="53" spans="1:32" x14ac:dyDescent="0.3">
      <c r="A53" s="16">
        <v>2056</v>
      </c>
      <c r="C53" s="17">
        <v>0</v>
      </c>
      <c r="E53" s="17">
        <v>0</v>
      </c>
      <c r="G53" s="17">
        <v>0</v>
      </c>
      <c r="I53" s="17">
        <v>0</v>
      </c>
      <c r="K53" s="18">
        <v>0</v>
      </c>
      <c r="M53" s="18">
        <v>0</v>
      </c>
      <c r="O53" s="17">
        <v>0</v>
      </c>
      <c r="Q53" s="17">
        <v>0</v>
      </c>
      <c r="S53" s="17">
        <v>0</v>
      </c>
      <c r="U53" s="17">
        <v>0</v>
      </c>
      <c r="W53" s="17">
        <v>0</v>
      </c>
      <c r="Y53" s="17">
        <v>0</v>
      </c>
      <c r="AA53" s="17">
        <v>0</v>
      </c>
      <c r="AC53" s="17">
        <v>0</v>
      </c>
      <c r="AE53" s="13">
        <f t="shared" si="0"/>
        <v>0</v>
      </c>
      <c r="AF53" s="13">
        <f t="shared" si="1"/>
        <v>0</v>
      </c>
    </row>
    <row r="54" spans="1:32" x14ac:dyDescent="0.3">
      <c r="A54" s="16">
        <v>2057</v>
      </c>
      <c r="C54" s="17">
        <v>0</v>
      </c>
      <c r="E54" s="17">
        <v>0</v>
      </c>
      <c r="G54" s="17">
        <v>0</v>
      </c>
      <c r="I54" s="17">
        <v>0</v>
      </c>
      <c r="K54" s="18">
        <v>0</v>
      </c>
      <c r="M54" s="18">
        <v>0</v>
      </c>
      <c r="O54" s="17">
        <v>0</v>
      </c>
      <c r="Q54" s="17">
        <v>0</v>
      </c>
      <c r="S54" s="17">
        <v>0</v>
      </c>
      <c r="U54" s="17">
        <v>0</v>
      </c>
      <c r="W54" s="17">
        <v>0</v>
      </c>
      <c r="Y54" s="17">
        <v>0</v>
      </c>
      <c r="AA54" s="17">
        <v>0</v>
      </c>
      <c r="AC54" s="17">
        <v>0</v>
      </c>
      <c r="AE54" s="13">
        <f t="shared" si="0"/>
        <v>0</v>
      </c>
      <c r="AF54" s="13">
        <f t="shared" si="1"/>
        <v>0</v>
      </c>
    </row>
    <row r="55" spans="1:32" x14ac:dyDescent="0.3">
      <c r="A55" s="16">
        <v>2058</v>
      </c>
      <c r="C55" s="17">
        <v>0</v>
      </c>
      <c r="E55" s="17">
        <v>0</v>
      </c>
      <c r="G55" s="17">
        <v>0</v>
      </c>
      <c r="I55" s="17">
        <v>0</v>
      </c>
      <c r="K55" s="18">
        <v>0</v>
      </c>
      <c r="M55" s="18">
        <v>0</v>
      </c>
      <c r="O55" s="17">
        <v>0</v>
      </c>
      <c r="Q55" s="17">
        <v>0</v>
      </c>
      <c r="S55" s="17">
        <v>0</v>
      </c>
      <c r="U55" s="17">
        <v>0</v>
      </c>
      <c r="W55" s="17">
        <v>0</v>
      </c>
      <c r="Y55" s="17">
        <v>0</v>
      </c>
      <c r="AA55" s="17">
        <v>0</v>
      </c>
      <c r="AC55" s="17">
        <v>0</v>
      </c>
      <c r="AE55" s="13">
        <f t="shared" si="0"/>
        <v>0</v>
      </c>
      <c r="AF55" s="13">
        <f t="shared" si="1"/>
        <v>0</v>
      </c>
    </row>
    <row r="56" spans="1:32" ht="21.9" customHeight="1" x14ac:dyDescent="0.3">
      <c r="A56" s="16">
        <v>2059</v>
      </c>
      <c r="C56" s="17">
        <v>0</v>
      </c>
      <c r="E56" s="17">
        <v>0</v>
      </c>
      <c r="G56" s="17">
        <v>0</v>
      </c>
      <c r="I56" s="17">
        <v>0</v>
      </c>
      <c r="K56" s="18">
        <v>0</v>
      </c>
      <c r="M56" s="18">
        <v>0</v>
      </c>
      <c r="O56" s="17">
        <v>0</v>
      </c>
      <c r="Q56" s="17">
        <v>0</v>
      </c>
      <c r="S56" s="17">
        <v>0</v>
      </c>
      <c r="U56" s="17">
        <v>0</v>
      </c>
      <c r="W56" s="17">
        <v>0</v>
      </c>
      <c r="Y56" s="17">
        <v>0</v>
      </c>
      <c r="AA56" s="17">
        <v>0</v>
      </c>
      <c r="AC56" s="17">
        <v>0</v>
      </c>
      <c r="AE56" s="13">
        <f t="shared" si="0"/>
        <v>0</v>
      </c>
      <c r="AF56" s="13">
        <f t="shared" si="1"/>
        <v>0</v>
      </c>
    </row>
    <row r="57" spans="1:32" x14ac:dyDescent="0.3">
      <c r="A57" s="16">
        <v>2060</v>
      </c>
      <c r="C57" s="19">
        <v>0</v>
      </c>
      <c r="E57" s="19">
        <v>0</v>
      </c>
      <c r="G57" s="19">
        <v>0</v>
      </c>
      <c r="I57" s="19">
        <v>0</v>
      </c>
      <c r="K57" s="18">
        <v>0</v>
      </c>
      <c r="M57" s="18">
        <v>0</v>
      </c>
      <c r="O57" s="19">
        <v>0</v>
      </c>
      <c r="Q57" s="19">
        <v>0</v>
      </c>
      <c r="S57" s="19">
        <v>0</v>
      </c>
      <c r="U57" s="19">
        <v>0</v>
      </c>
      <c r="W57" s="19">
        <v>0</v>
      </c>
      <c r="Y57" s="19">
        <v>0</v>
      </c>
      <c r="AA57" s="19">
        <v>0</v>
      </c>
      <c r="AC57" s="19">
        <v>0</v>
      </c>
      <c r="AE57" s="13">
        <f t="shared" si="0"/>
        <v>0</v>
      </c>
      <c r="AF57" s="13">
        <f t="shared" si="1"/>
        <v>0</v>
      </c>
    </row>
    <row r="58" spans="1:32" x14ac:dyDescent="0.3">
      <c r="AE58" s="13"/>
      <c r="AF58" s="13"/>
    </row>
    <row r="59" spans="1:32" x14ac:dyDescent="0.3">
      <c r="A59" s="228" t="s">
        <v>2</v>
      </c>
      <c r="C59" s="229">
        <v>418459</v>
      </c>
      <c r="E59" s="229">
        <v>255441</v>
      </c>
      <c r="G59" s="229">
        <v>338730</v>
      </c>
      <c r="I59" s="229">
        <v>184513</v>
      </c>
      <c r="O59" s="229">
        <v>20832607</v>
      </c>
      <c r="Q59" s="229">
        <v>1773791</v>
      </c>
      <c r="S59" s="229">
        <v>2164188</v>
      </c>
      <c r="U59" s="229">
        <v>527192</v>
      </c>
      <c r="W59" s="229">
        <v>249246</v>
      </c>
      <c r="Y59" s="229">
        <v>290375</v>
      </c>
      <c r="AA59" s="229">
        <v>15827815</v>
      </c>
      <c r="AC59" s="229">
        <v>8327905</v>
      </c>
      <c r="AE59" s="13"/>
      <c r="AF59" s="13"/>
    </row>
    <row r="60" spans="1:32" x14ac:dyDescent="0.3">
      <c r="AE60" s="13"/>
      <c r="AF60" s="13"/>
    </row>
    <row r="61" spans="1:32" ht="21.9" customHeight="1" x14ac:dyDescent="0.3">
      <c r="A61" t="s">
        <v>45</v>
      </c>
      <c r="AA61" s="225" t="s">
        <v>721</v>
      </c>
      <c r="AB61" s="15"/>
      <c r="AC61" s="15"/>
      <c r="AE61" s="13"/>
      <c r="AF61" s="13"/>
    </row>
    <row r="62" spans="1:32" x14ac:dyDescent="0.3">
      <c r="A62" t="s">
        <v>84</v>
      </c>
      <c r="AA62" s="20" t="s">
        <v>46</v>
      </c>
      <c r="AC62" s="17">
        <v>11068006</v>
      </c>
      <c r="AE62" s="13"/>
      <c r="AF62" s="13"/>
    </row>
    <row r="63" spans="1:32" x14ac:dyDescent="0.3">
      <c r="A63" t="s">
        <v>81</v>
      </c>
      <c r="AA63" s="20" t="s">
        <v>47</v>
      </c>
      <c r="AC63" s="17">
        <v>6604329</v>
      </c>
      <c r="AE63" s="13"/>
      <c r="AF63" s="13"/>
    </row>
    <row r="64" spans="1:32" x14ac:dyDescent="0.3">
      <c r="A64" t="s">
        <v>82</v>
      </c>
      <c r="AA64" s="20" t="s">
        <v>48</v>
      </c>
      <c r="AC64" s="17">
        <v>5435979</v>
      </c>
      <c r="AE64" s="13"/>
      <c r="AF64" s="13"/>
    </row>
    <row r="65" spans="1:1" ht="8.1" customHeight="1" x14ac:dyDescent="0.3">
      <c r="A65" t="s">
        <v>83</v>
      </c>
    </row>
    <row r="66" spans="1:1" x14ac:dyDescent="0.3">
      <c r="A66" t="s">
        <v>728</v>
      </c>
    </row>
    <row r="67" spans="1:1" x14ac:dyDescent="0.3">
      <c r="A67" s="230" t="s">
        <v>729</v>
      </c>
    </row>
  </sheetData>
  <printOptions horizontalCentered="1"/>
  <pageMargins left="0.5" right="0.3" top="0.75" bottom="0.75" header="0.5" footer="0.5"/>
  <pageSetup paperSize="162" scale="45"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22FD-74C3-43D7-9788-EF7A8FF89383}">
  <sheetPr>
    <tabColor rgb="FF7030A0"/>
    <pageSetUpPr fitToPage="1"/>
  </sheetPr>
  <dimension ref="A1:AH67"/>
  <sheetViews>
    <sheetView showGridLines="0" zoomScaleNormal="100" zoomScaleSheetLayoutView="100" workbookViewId="0">
      <selection activeCell="S41" sqref="S41"/>
    </sheetView>
  </sheetViews>
  <sheetFormatPr defaultRowHeight="14.4" x14ac:dyDescent="0.3"/>
  <cols>
    <col min="1" max="1" width="6" bestFit="1" customWidth="1"/>
    <col min="2" max="2" width="1.6640625" customWidth="1"/>
    <col min="3" max="3" width="9.5546875" customWidth="1"/>
    <col min="4" max="4" width="1.6640625" customWidth="1"/>
    <col min="5" max="5" width="9.5546875" customWidth="1"/>
    <col min="6" max="6" width="1.6640625" customWidth="1"/>
    <col min="7" max="7" width="9.5546875" customWidth="1"/>
    <col min="8" max="8" width="1.6640625" customWidth="1"/>
    <col min="9" max="9" width="9.5546875" customWidth="1"/>
    <col min="10" max="10" width="1.6640625" customWidth="1"/>
    <col min="11" max="11" width="13.33203125" customWidth="1"/>
    <col min="12" max="12" width="1.6640625" customWidth="1"/>
    <col min="13" max="13" width="13.33203125" bestFit="1" customWidth="1"/>
    <col min="14" max="14" width="1.6640625" customWidth="1"/>
    <col min="15" max="15" width="14.5546875" customWidth="1"/>
    <col min="16" max="16" width="1.6640625" customWidth="1"/>
    <col min="17" max="17" width="14.5546875" hidden="1" customWidth="1"/>
    <col min="18" max="18" width="1.6640625" hidden="1" customWidth="1"/>
    <col min="19" max="19" width="14.5546875" customWidth="1"/>
    <col min="20" max="20" width="1.6640625" customWidth="1"/>
    <col min="21" max="21" width="14.5546875" customWidth="1"/>
    <col min="22" max="22" width="1.6640625" customWidth="1"/>
    <col min="23" max="23" width="14.5546875" customWidth="1"/>
    <col min="24" max="24" width="1.6640625" customWidth="1"/>
    <col min="25" max="25" width="14.5546875" bestFit="1" customWidth="1"/>
    <col min="26" max="26" width="1.6640625" customWidth="1"/>
    <col min="27" max="27" width="14.5546875" customWidth="1"/>
    <col min="28" max="28" width="1.6640625" customWidth="1"/>
    <col min="29" max="29" width="14.5546875" customWidth="1"/>
    <col min="30" max="30" width="1.6640625" customWidth="1"/>
    <col min="31" max="31" width="14.5546875" customWidth="1"/>
  </cols>
  <sheetData>
    <row r="1" spans="1:34" x14ac:dyDescent="0.3">
      <c r="A1" s="223" t="s">
        <v>56</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row>
    <row r="2" spans="1:34" x14ac:dyDescent="0.3">
      <c r="A2" s="223" t="s">
        <v>61</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row>
    <row r="3" spans="1:34" x14ac:dyDescent="0.3">
      <c r="A3" s="223" t="s">
        <v>22</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row>
    <row r="4" spans="1:34" x14ac:dyDescent="0.3">
      <c r="A4" s="223" t="s">
        <v>710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row>
    <row r="5" spans="1:34" x14ac:dyDescent="0.3">
      <c r="A5" s="223" t="s">
        <v>60</v>
      </c>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row>
    <row r="6" spans="1:34" x14ac:dyDescent="0.3">
      <c r="A6" s="223" t="s">
        <v>86</v>
      </c>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row>
    <row r="7" spans="1:34" x14ac:dyDescent="0.3">
      <c r="A7" s="223" t="s">
        <v>23</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row>
    <row r="8" spans="1:34" x14ac:dyDescent="0.3">
      <c r="A8" s="223" t="s">
        <v>24</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row>
    <row r="9" spans="1:34" x14ac:dyDescent="0.3">
      <c r="A9" s="223" t="s">
        <v>25</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row>
    <row r="10" spans="1:34" x14ac:dyDescent="0.3">
      <c r="A10" s="223" t="s">
        <v>711</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row>
    <row r="11" spans="1:34" x14ac:dyDescent="0.3">
      <c r="A11" s="223" t="s">
        <v>5</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row>
    <row r="12" spans="1:34" x14ac:dyDescent="0.3">
      <c r="A12" s="223" t="s">
        <v>5</v>
      </c>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row>
    <row r="13" spans="1:34" x14ac:dyDescent="0.3">
      <c r="A13" s="223" t="s">
        <v>5</v>
      </c>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row>
    <row r="14" spans="1:34" x14ac:dyDescent="0.3">
      <c r="K14" s="224"/>
      <c r="L14" s="14"/>
      <c r="M14" s="14"/>
    </row>
    <row r="15" spans="1:34" x14ac:dyDescent="0.3">
      <c r="C15" s="224" t="s">
        <v>29</v>
      </c>
      <c r="D15" s="14"/>
      <c r="E15" s="14"/>
      <c r="G15" s="224" t="s">
        <v>35</v>
      </c>
      <c r="H15" s="14"/>
      <c r="I15" s="14"/>
      <c r="K15" s="224" t="s">
        <v>74</v>
      </c>
      <c r="L15" s="14"/>
      <c r="M15" s="14"/>
    </row>
    <row r="16" spans="1:34" x14ac:dyDescent="0.3">
      <c r="C16" s="225" t="s">
        <v>50</v>
      </c>
      <c r="D16" s="15"/>
      <c r="E16" s="15"/>
      <c r="G16" s="225" t="s">
        <v>50</v>
      </c>
      <c r="H16" s="15"/>
      <c r="I16" s="15"/>
      <c r="K16" s="225" t="s">
        <v>75</v>
      </c>
      <c r="L16" s="15"/>
      <c r="M16" s="15"/>
      <c r="O16" s="226" t="s">
        <v>26</v>
      </c>
      <c r="S16" s="226" t="s">
        <v>14</v>
      </c>
      <c r="AC16" s="226" t="s">
        <v>26</v>
      </c>
      <c r="AE16" s="226" t="s">
        <v>27</v>
      </c>
      <c r="AG16" s="9" t="s">
        <v>14</v>
      </c>
      <c r="AH16" s="9"/>
    </row>
    <row r="17" spans="1:34" x14ac:dyDescent="0.3">
      <c r="E17" s="226" t="s">
        <v>28</v>
      </c>
      <c r="I17" s="226" t="s">
        <v>28</v>
      </c>
      <c r="M17" s="226" t="s">
        <v>28</v>
      </c>
      <c r="O17" s="226" t="s">
        <v>29</v>
      </c>
      <c r="S17" s="226" t="s">
        <v>31</v>
      </c>
      <c r="U17" s="226" t="s">
        <v>32</v>
      </c>
      <c r="W17" s="226" t="s">
        <v>33</v>
      </c>
      <c r="Y17" s="226" t="s">
        <v>34</v>
      </c>
      <c r="AC17" s="226" t="s">
        <v>35</v>
      </c>
      <c r="AE17" s="226" t="s">
        <v>36</v>
      </c>
      <c r="AG17" s="9" t="s">
        <v>31</v>
      </c>
      <c r="AH17" s="9"/>
    </row>
    <row r="18" spans="1:34" x14ac:dyDescent="0.3">
      <c r="C18" s="226" t="s">
        <v>37</v>
      </c>
      <c r="E18" s="226" t="s">
        <v>38</v>
      </c>
      <c r="G18" s="226" t="s">
        <v>37</v>
      </c>
      <c r="I18" s="226" t="s">
        <v>38</v>
      </c>
      <c r="K18" s="226" t="s">
        <v>37</v>
      </c>
      <c r="M18" s="226" t="s">
        <v>38</v>
      </c>
      <c r="O18" s="226" t="s">
        <v>39</v>
      </c>
      <c r="Q18" s="226" t="s">
        <v>712</v>
      </c>
      <c r="S18" s="226" t="s">
        <v>30</v>
      </c>
      <c r="U18" s="226" t="s">
        <v>40</v>
      </c>
      <c r="W18" s="226" t="s">
        <v>41</v>
      </c>
      <c r="Y18" s="226" t="s">
        <v>76</v>
      </c>
      <c r="AA18" s="226" t="s">
        <v>42</v>
      </c>
      <c r="AC18" s="226" t="s">
        <v>39</v>
      </c>
      <c r="AE18" s="226" t="s">
        <v>43</v>
      </c>
      <c r="AG18" s="9" t="s">
        <v>30</v>
      </c>
      <c r="AH18" s="9" t="s">
        <v>42</v>
      </c>
    </row>
    <row r="19" spans="1:34" ht="16.8" x14ac:dyDescent="0.3">
      <c r="A19" s="227" t="s">
        <v>1</v>
      </c>
      <c r="C19" s="227" t="s">
        <v>715</v>
      </c>
      <c r="E19" s="227" t="s">
        <v>716</v>
      </c>
      <c r="G19" s="227" t="s">
        <v>715</v>
      </c>
      <c r="I19" s="227" t="s">
        <v>716</v>
      </c>
      <c r="K19" s="227" t="s">
        <v>44</v>
      </c>
      <c r="M19" s="227" t="s">
        <v>717</v>
      </c>
      <c r="O19" s="227" t="s">
        <v>720</v>
      </c>
      <c r="Q19" s="227" t="s">
        <v>720</v>
      </c>
      <c r="S19" s="227" t="s">
        <v>720</v>
      </c>
      <c r="U19" s="227" t="s">
        <v>720</v>
      </c>
      <c r="W19" s="227" t="s">
        <v>720</v>
      </c>
      <c r="Y19" s="227" t="s">
        <v>720</v>
      </c>
      <c r="AA19" s="227" t="s">
        <v>720</v>
      </c>
      <c r="AC19" s="227" t="s">
        <v>720</v>
      </c>
      <c r="AE19" s="227" t="s">
        <v>720</v>
      </c>
      <c r="AG19" s="10" t="s">
        <v>69</v>
      </c>
      <c r="AH19" s="10" t="s">
        <v>69</v>
      </c>
    </row>
    <row r="20" spans="1:34" x14ac:dyDescent="0.3">
      <c r="AG20" s="8"/>
      <c r="AH20" s="8"/>
    </row>
    <row r="21" spans="1:34" x14ac:dyDescent="0.3">
      <c r="A21" s="16">
        <v>2024</v>
      </c>
      <c r="C21" s="17">
        <v>5574</v>
      </c>
      <c r="E21" s="17">
        <v>0</v>
      </c>
      <c r="G21" s="17">
        <v>5574</v>
      </c>
      <c r="I21" s="17">
        <v>0</v>
      </c>
      <c r="K21" s="18">
        <v>58</v>
      </c>
      <c r="M21" s="18">
        <v>0</v>
      </c>
      <c r="O21" s="17">
        <v>323356</v>
      </c>
      <c r="Q21" s="17">
        <v>0</v>
      </c>
      <c r="S21" s="17">
        <v>21793</v>
      </c>
      <c r="U21" s="17">
        <v>87000</v>
      </c>
      <c r="W21" s="17">
        <v>32500</v>
      </c>
      <c r="Y21" s="17">
        <v>0</v>
      </c>
      <c r="AA21" s="17">
        <v>0</v>
      </c>
      <c r="AC21" s="17">
        <v>182062</v>
      </c>
      <c r="AE21" s="17">
        <v>172573</v>
      </c>
      <c r="AG21" s="13">
        <f t="shared" ref="AG21:AG57" si="0">IFERROR(S21/O21,0)</f>
        <v>6.7396306238325557E-2</v>
      </c>
      <c r="AH21" s="13">
        <f t="shared" ref="AH21:AH57" si="1">IFERROR(AA21/O21,0)</f>
        <v>0</v>
      </c>
    </row>
    <row r="22" spans="1:34" x14ac:dyDescent="0.3">
      <c r="A22" s="16">
        <v>2025</v>
      </c>
      <c r="C22" s="17">
        <v>5648</v>
      </c>
      <c r="E22" s="17">
        <v>0</v>
      </c>
      <c r="G22" s="17">
        <v>5648</v>
      </c>
      <c r="I22" s="17">
        <v>0</v>
      </c>
      <c r="K22" s="18">
        <v>58</v>
      </c>
      <c r="M22" s="18">
        <v>0</v>
      </c>
      <c r="O22" s="17">
        <v>327517</v>
      </c>
      <c r="Q22" s="17">
        <v>0</v>
      </c>
      <c r="S22" s="17">
        <v>21371</v>
      </c>
      <c r="U22" s="17">
        <v>87000</v>
      </c>
      <c r="W22" s="17">
        <v>15500</v>
      </c>
      <c r="Y22" s="17">
        <v>0</v>
      </c>
      <c r="AA22" s="17">
        <v>0</v>
      </c>
      <c r="AC22" s="17">
        <v>203647</v>
      </c>
      <c r="AE22" s="17">
        <v>174734</v>
      </c>
      <c r="AG22" s="13">
        <f t="shared" si="0"/>
        <v>6.5251574727418729E-2</v>
      </c>
      <c r="AH22" s="13">
        <f t="shared" si="1"/>
        <v>0</v>
      </c>
    </row>
    <row r="23" spans="1:34" x14ac:dyDescent="0.3">
      <c r="A23" s="16">
        <v>2026</v>
      </c>
      <c r="C23" s="17">
        <v>5172</v>
      </c>
      <c r="E23" s="17">
        <v>0</v>
      </c>
      <c r="G23" s="17">
        <v>5172</v>
      </c>
      <c r="I23" s="17">
        <v>0</v>
      </c>
      <c r="K23" s="18">
        <v>58</v>
      </c>
      <c r="M23" s="18">
        <v>0</v>
      </c>
      <c r="O23" s="17">
        <v>300038</v>
      </c>
      <c r="Q23" s="17">
        <v>0</v>
      </c>
      <c r="S23" s="17">
        <v>19669</v>
      </c>
      <c r="U23" s="17">
        <v>87000</v>
      </c>
      <c r="W23" s="17">
        <v>48000</v>
      </c>
      <c r="Y23" s="17">
        <v>0</v>
      </c>
      <c r="AA23" s="17">
        <v>0</v>
      </c>
      <c r="AC23" s="17">
        <v>145369</v>
      </c>
      <c r="AE23" s="17">
        <v>112908</v>
      </c>
      <c r="AG23" s="13">
        <f t="shared" si="0"/>
        <v>6.555502969623847E-2</v>
      </c>
      <c r="AH23" s="13">
        <f t="shared" si="1"/>
        <v>0</v>
      </c>
    </row>
    <row r="24" spans="1:34" x14ac:dyDescent="0.3">
      <c r="A24" s="16">
        <v>2027</v>
      </c>
      <c r="C24" s="17">
        <v>4467</v>
      </c>
      <c r="E24" s="17">
        <v>0</v>
      </c>
      <c r="G24" s="17">
        <v>4467</v>
      </c>
      <c r="I24" s="17">
        <v>0</v>
      </c>
      <c r="K24" s="18">
        <v>58</v>
      </c>
      <c r="M24" s="18">
        <v>0</v>
      </c>
      <c r="O24" s="17">
        <v>259003</v>
      </c>
      <c r="Q24" s="17">
        <v>0</v>
      </c>
      <c r="S24" s="17">
        <v>17492</v>
      </c>
      <c r="U24" s="17">
        <v>87000</v>
      </c>
      <c r="W24" s="17">
        <v>15500</v>
      </c>
      <c r="Y24" s="17">
        <v>0</v>
      </c>
      <c r="AA24" s="17">
        <v>0</v>
      </c>
      <c r="AC24" s="17">
        <v>139010</v>
      </c>
      <c r="AE24" s="17">
        <v>97735</v>
      </c>
      <c r="AG24" s="13">
        <f t="shared" si="0"/>
        <v>6.7535897267599218E-2</v>
      </c>
      <c r="AH24" s="13">
        <f t="shared" si="1"/>
        <v>0</v>
      </c>
    </row>
    <row r="25" spans="1:34" x14ac:dyDescent="0.3">
      <c r="A25" s="16">
        <v>2028</v>
      </c>
      <c r="C25" s="17">
        <v>3873</v>
      </c>
      <c r="E25" s="17">
        <v>0</v>
      </c>
      <c r="G25" s="17">
        <v>3873</v>
      </c>
      <c r="I25" s="17">
        <v>0</v>
      </c>
      <c r="K25" s="18">
        <v>58</v>
      </c>
      <c r="M25" s="18">
        <v>0</v>
      </c>
      <c r="O25" s="17">
        <v>224675</v>
      </c>
      <c r="Q25" s="17">
        <v>0</v>
      </c>
      <c r="S25" s="17">
        <v>15664</v>
      </c>
      <c r="U25" s="17">
        <v>87000</v>
      </c>
      <c r="W25" s="17">
        <v>15500</v>
      </c>
      <c r="Y25" s="17">
        <v>0</v>
      </c>
      <c r="AA25" s="17">
        <v>0</v>
      </c>
      <c r="AC25" s="17">
        <v>106513</v>
      </c>
      <c r="AE25" s="17">
        <v>67788</v>
      </c>
      <c r="AG25" s="13">
        <f t="shared" si="0"/>
        <v>6.9718482252141986E-2</v>
      </c>
      <c r="AH25" s="13">
        <f t="shared" si="1"/>
        <v>0</v>
      </c>
    </row>
    <row r="26" spans="1:34" ht="21.9" customHeight="1" x14ac:dyDescent="0.3">
      <c r="A26" s="16">
        <v>2029</v>
      </c>
      <c r="C26" s="17">
        <v>3348</v>
      </c>
      <c r="E26" s="17">
        <v>0</v>
      </c>
      <c r="G26" s="17">
        <v>3348</v>
      </c>
      <c r="I26" s="17">
        <v>0</v>
      </c>
      <c r="K26" s="18">
        <v>58</v>
      </c>
      <c r="M26" s="18">
        <v>0</v>
      </c>
      <c r="O26" s="17">
        <v>194283</v>
      </c>
      <c r="Q26" s="17">
        <v>0</v>
      </c>
      <c r="S26" s="17">
        <v>14066</v>
      </c>
      <c r="U26" s="17">
        <v>87000</v>
      </c>
      <c r="W26" s="17">
        <v>15500</v>
      </c>
      <c r="Y26" s="17">
        <v>0</v>
      </c>
      <c r="AA26" s="17">
        <v>0</v>
      </c>
      <c r="AC26" s="17">
        <v>77716</v>
      </c>
      <c r="AE26" s="17">
        <v>44773</v>
      </c>
      <c r="AG26" s="13">
        <f t="shared" si="0"/>
        <v>7.2399540875938709E-2</v>
      </c>
      <c r="AH26" s="13">
        <f t="shared" si="1"/>
        <v>0</v>
      </c>
    </row>
    <row r="27" spans="1:34" x14ac:dyDescent="0.3">
      <c r="A27" s="16">
        <v>2030</v>
      </c>
      <c r="C27" s="17">
        <v>2916</v>
      </c>
      <c r="E27" s="17">
        <v>0</v>
      </c>
      <c r="G27" s="17">
        <v>2916</v>
      </c>
      <c r="I27" s="17">
        <v>0</v>
      </c>
      <c r="K27" s="18">
        <v>58</v>
      </c>
      <c r="M27" s="18">
        <v>0</v>
      </c>
      <c r="O27" s="17">
        <v>168878</v>
      </c>
      <c r="Q27" s="17">
        <v>0</v>
      </c>
      <c r="S27" s="17">
        <v>12691</v>
      </c>
      <c r="U27" s="17">
        <v>87000</v>
      </c>
      <c r="W27" s="17">
        <v>15500</v>
      </c>
      <c r="Y27" s="17">
        <v>0</v>
      </c>
      <c r="AA27" s="17">
        <v>0</v>
      </c>
      <c r="AC27" s="17">
        <v>53687</v>
      </c>
      <c r="AE27" s="17">
        <v>27998</v>
      </c>
      <c r="AG27" s="13">
        <f t="shared" si="0"/>
        <v>7.5148924075368023E-2</v>
      </c>
      <c r="AH27" s="13">
        <f t="shared" si="1"/>
        <v>0</v>
      </c>
    </row>
    <row r="28" spans="1:34" x14ac:dyDescent="0.3">
      <c r="A28" s="16">
        <v>2031</v>
      </c>
      <c r="C28" s="17">
        <v>2535</v>
      </c>
      <c r="E28" s="17">
        <v>0</v>
      </c>
      <c r="G28" s="17">
        <v>2535</v>
      </c>
      <c r="I28" s="17">
        <v>0</v>
      </c>
      <c r="K28" s="18">
        <v>58</v>
      </c>
      <c r="M28" s="18">
        <v>0</v>
      </c>
      <c r="O28" s="17">
        <v>147121</v>
      </c>
      <c r="Q28" s="17">
        <v>0</v>
      </c>
      <c r="S28" s="17">
        <v>11518</v>
      </c>
      <c r="U28" s="17">
        <v>87000</v>
      </c>
      <c r="W28" s="17">
        <v>15500</v>
      </c>
      <c r="Y28" s="17">
        <v>0</v>
      </c>
      <c r="AA28" s="17">
        <v>0</v>
      </c>
      <c r="AC28" s="17">
        <v>33103</v>
      </c>
      <c r="AE28" s="17">
        <v>15627</v>
      </c>
      <c r="AG28" s="13">
        <f t="shared" si="0"/>
        <v>7.828929928426262E-2</v>
      </c>
      <c r="AH28" s="13">
        <f t="shared" si="1"/>
        <v>0</v>
      </c>
    </row>
    <row r="29" spans="1:34" x14ac:dyDescent="0.3">
      <c r="A29" s="16">
        <v>2032</v>
      </c>
      <c r="C29" s="17">
        <v>2220</v>
      </c>
      <c r="E29" s="17">
        <v>0</v>
      </c>
      <c r="G29" s="17">
        <v>2220</v>
      </c>
      <c r="I29" s="17">
        <v>0</v>
      </c>
      <c r="K29" s="18">
        <v>58</v>
      </c>
      <c r="M29" s="18">
        <v>0</v>
      </c>
      <c r="O29" s="17">
        <v>128775</v>
      </c>
      <c r="Q29" s="17">
        <v>0</v>
      </c>
      <c r="S29" s="17">
        <v>10519</v>
      </c>
      <c r="U29" s="17">
        <v>87000</v>
      </c>
      <c r="W29" s="17">
        <v>0</v>
      </c>
      <c r="Y29" s="17">
        <v>0</v>
      </c>
      <c r="AA29" s="17">
        <v>0</v>
      </c>
      <c r="AC29" s="17">
        <v>31256</v>
      </c>
      <c r="AE29" s="17">
        <v>13356</v>
      </c>
      <c r="AG29" s="13">
        <f t="shared" si="0"/>
        <v>8.1685109687439333E-2</v>
      </c>
      <c r="AH29" s="13">
        <f t="shared" si="1"/>
        <v>0</v>
      </c>
    </row>
    <row r="30" spans="1:34" x14ac:dyDescent="0.3">
      <c r="A30" s="16">
        <v>2033</v>
      </c>
      <c r="C30" s="17">
        <v>1931</v>
      </c>
      <c r="E30" s="17">
        <v>0</v>
      </c>
      <c r="G30" s="17">
        <v>1931</v>
      </c>
      <c r="I30" s="17">
        <v>0</v>
      </c>
      <c r="K30" s="18">
        <v>58</v>
      </c>
      <c r="M30" s="18">
        <v>0</v>
      </c>
      <c r="O30" s="17">
        <v>112142</v>
      </c>
      <c r="Q30" s="17">
        <v>0</v>
      </c>
      <c r="S30" s="17">
        <v>9532</v>
      </c>
      <c r="U30" s="17">
        <v>87000</v>
      </c>
      <c r="W30" s="17">
        <v>0</v>
      </c>
      <c r="Y30" s="17">
        <v>0</v>
      </c>
      <c r="AA30" s="17">
        <v>0</v>
      </c>
      <c r="AC30" s="17">
        <v>15610</v>
      </c>
      <c r="AE30" s="17">
        <v>6038</v>
      </c>
      <c r="AG30" s="13">
        <f t="shared" si="0"/>
        <v>8.4999375791407317E-2</v>
      </c>
      <c r="AH30" s="13">
        <f t="shared" si="1"/>
        <v>0</v>
      </c>
    </row>
    <row r="31" spans="1:34" ht="21.9" customHeight="1" x14ac:dyDescent="0.3">
      <c r="A31" s="16">
        <v>2034</v>
      </c>
      <c r="C31" s="17">
        <v>1689</v>
      </c>
      <c r="E31" s="17">
        <v>0</v>
      </c>
      <c r="G31" s="17">
        <v>1689</v>
      </c>
      <c r="I31" s="17">
        <v>0</v>
      </c>
      <c r="K31" s="18">
        <v>58</v>
      </c>
      <c r="M31" s="18">
        <v>0</v>
      </c>
      <c r="O31" s="17">
        <v>97886</v>
      </c>
      <c r="Q31" s="17">
        <v>0</v>
      </c>
      <c r="S31" s="17">
        <v>8320</v>
      </c>
      <c r="U31" s="17">
        <v>87000</v>
      </c>
      <c r="W31" s="17">
        <v>0</v>
      </c>
      <c r="Y31" s="17">
        <v>0</v>
      </c>
      <c r="AA31" s="17">
        <v>0</v>
      </c>
      <c r="AC31" s="17">
        <v>2566</v>
      </c>
      <c r="AE31" s="17">
        <v>899</v>
      </c>
      <c r="AG31" s="13">
        <f t="shared" si="0"/>
        <v>8.4996833050691625E-2</v>
      </c>
      <c r="AH31" s="13">
        <f t="shared" si="1"/>
        <v>0</v>
      </c>
    </row>
    <row r="32" spans="1:34" x14ac:dyDescent="0.3">
      <c r="A32" s="16">
        <v>2035</v>
      </c>
      <c r="C32" s="17">
        <v>0</v>
      </c>
      <c r="E32" s="17">
        <v>0</v>
      </c>
      <c r="G32" s="17">
        <v>0</v>
      </c>
      <c r="I32" s="17">
        <v>0</v>
      </c>
      <c r="K32" s="18">
        <v>0</v>
      </c>
      <c r="M32" s="18">
        <v>0</v>
      </c>
      <c r="O32" s="17">
        <v>0</v>
      </c>
      <c r="Q32" s="17">
        <v>0</v>
      </c>
      <c r="S32" s="17">
        <v>0</v>
      </c>
      <c r="U32" s="17">
        <v>0</v>
      </c>
      <c r="W32" s="17">
        <v>0</v>
      </c>
      <c r="Y32" s="17">
        <v>93100</v>
      </c>
      <c r="AA32" s="17">
        <v>0</v>
      </c>
      <c r="AC32" s="17">
        <v>-93100</v>
      </c>
      <c r="AE32" s="17">
        <v>-29509</v>
      </c>
      <c r="AG32" s="13">
        <f t="shared" si="0"/>
        <v>0</v>
      </c>
      <c r="AH32" s="13">
        <f t="shared" si="1"/>
        <v>0</v>
      </c>
    </row>
    <row r="33" spans="1:34" x14ac:dyDescent="0.3">
      <c r="A33" s="16">
        <v>2036</v>
      </c>
      <c r="C33" s="17">
        <v>0</v>
      </c>
      <c r="E33" s="17">
        <v>0</v>
      </c>
      <c r="G33" s="17">
        <v>0</v>
      </c>
      <c r="I33" s="17">
        <v>0</v>
      </c>
      <c r="K33" s="18">
        <v>0</v>
      </c>
      <c r="M33" s="18">
        <v>0</v>
      </c>
      <c r="O33" s="17">
        <v>0</v>
      </c>
      <c r="Q33" s="17">
        <v>0</v>
      </c>
      <c r="S33" s="17">
        <v>0</v>
      </c>
      <c r="U33" s="17">
        <v>0</v>
      </c>
      <c r="W33" s="17">
        <v>0</v>
      </c>
      <c r="Y33" s="17">
        <v>0</v>
      </c>
      <c r="AA33" s="17">
        <v>0</v>
      </c>
      <c r="AC33" s="17">
        <v>0</v>
      </c>
      <c r="AE33" s="17">
        <v>0</v>
      </c>
      <c r="AG33" s="13">
        <f t="shared" si="0"/>
        <v>0</v>
      </c>
      <c r="AH33" s="13">
        <f t="shared" si="1"/>
        <v>0</v>
      </c>
    </row>
    <row r="34" spans="1:34" x14ac:dyDescent="0.3">
      <c r="A34" s="16">
        <v>2037</v>
      </c>
      <c r="C34" s="17">
        <v>0</v>
      </c>
      <c r="E34" s="17">
        <v>0</v>
      </c>
      <c r="G34" s="17">
        <v>0</v>
      </c>
      <c r="I34" s="17">
        <v>0</v>
      </c>
      <c r="K34" s="18">
        <v>0</v>
      </c>
      <c r="M34" s="18">
        <v>0</v>
      </c>
      <c r="O34" s="17">
        <v>0</v>
      </c>
      <c r="Q34" s="17">
        <v>0</v>
      </c>
      <c r="S34" s="17">
        <v>0</v>
      </c>
      <c r="U34" s="17">
        <v>0</v>
      </c>
      <c r="W34" s="17">
        <v>0</v>
      </c>
      <c r="Y34" s="17">
        <v>0</v>
      </c>
      <c r="AA34" s="17">
        <v>0</v>
      </c>
      <c r="AC34" s="17">
        <v>0</v>
      </c>
      <c r="AE34" s="17">
        <v>0</v>
      </c>
      <c r="AG34" s="13">
        <f t="shared" si="0"/>
        <v>0</v>
      </c>
      <c r="AH34" s="13">
        <f t="shared" si="1"/>
        <v>0</v>
      </c>
    </row>
    <row r="35" spans="1:34" x14ac:dyDescent="0.3">
      <c r="A35" s="16">
        <v>2038</v>
      </c>
      <c r="C35" s="17">
        <v>0</v>
      </c>
      <c r="E35" s="17">
        <v>0</v>
      </c>
      <c r="G35" s="17">
        <v>0</v>
      </c>
      <c r="I35" s="17">
        <v>0</v>
      </c>
      <c r="K35" s="18">
        <v>0</v>
      </c>
      <c r="M35" s="18">
        <v>0</v>
      </c>
      <c r="O35" s="17">
        <v>0</v>
      </c>
      <c r="Q35" s="17">
        <v>0</v>
      </c>
      <c r="S35" s="17">
        <v>0</v>
      </c>
      <c r="U35" s="17">
        <v>0</v>
      </c>
      <c r="W35" s="17">
        <v>0</v>
      </c>
      <c r="Y35" s="17">
        <v>0</v>
      </c>
      <c r="AA35" s="17">
        <v>0</v>
      </c>
      <c r="AC35" s="17">
        <v>0</v>
      </c>
      <c r="AE35" s="17">
        <v>0</v>
      </c>
      <c r="AG35" s="13">
        <f t="shared" si="0"/>
        <v>0</v>
      </c>
      <c r="AH35" s="13">
        <f t="shared" si="1"/>
        <v>0</v>
      </c>
    </row>
    <row r="36" spans="1:34" ht="21.9" customHeight="1" x14ac:dyDescent="0.3">
      <c r="A36" s="16">
        <v>2039</v>
      </c>
      <c r="C36" s="17">
        <v>0</v>
      </c>
      <c r="E36" s="17">
        <v>0</v>
      </c>
      <c r="G36" s="17">
        <v>0</v>
      </c>
      <c r="I36" s="17">
        <v>0</v>
      </c>
      <c r="K36" s="18">
        <v>0</v>
      </c>
      <c r="M36" s="18">
        <v>0</v>
      </c>
      <c r="O36" s="17">
        <v>0</v>
      </c>
      <c r="Q36" s="17">
        <v>0</v>
      </c>
      <c r="S36" s="17">
        <v>0</v>
      </c>
      <c r="U36" s="17">
        <v>0</v>
      </c>
      <c r="W36" s="17">
        <v>0</v>
      </c>
      <c r="Y36" s="17">
        <v>0</v>
      </c>
      <c r="AA36" s="17">
        <v>0</v>
      </c>
      <c r="AC36" s="17">
        <v>0</v>
      </c>
      <c r="AE36" s="17">
        <v>0</v>
      </c>
      <c r="AG36" s="13">
        <f t="shared" si="0"/>
        <v>0</v>
      </c>
      <c r="AH36" s="13">
        <f t="shared" si="1"/>
        <v>0</v>
      </c>
    </row>
    <row r="37" spans="1:34" x14ac:dyDescent="0.3">
      <c r="A37" s="16">
        <v>2040</v>
      </c>
      <c r="C37" s="17">
        <v>0</v>
      </c>
      <c r="E37" s="17">
        <v>0</v>
      </c>
      <c r="G37" s="17">
        <v>0</v>
      </c>
      <c r="I37" s="17">
        <v>0</v>
      </c>
      <c r="K37" s="18">
        <v>0</v>
      </c>
      <c r="M37" s="18">
        <v>0</v>
      </c>
      <c r="O37" s="17">
        <v>0</v>
      </c>
      <c r="Q37" s="17">
        <v>0</v>
      </c>
      <c r="S37" s="17">
        <v>0</v>
      </c>
      <c r="U37" s="17">
        <v>0</v>
      </c>
      <c r="W37" s="17">
        <v>0</v>
      </c>
      <c r="Y37" s="17">
        <v>0</v>
      </c>
      <c r="AA37" s="17">
        <v>0</v>
      </c>
      <c r="AC37" s="17">
        <v>0</v>
      </c>
      <c r="AE37" s="17">
        <v>0</v>
      </c>
      <c r="AG37" s="13">
        <f t="shared" si="0"/>
        <v>0</v>
      </c>
      <c r="AH37" s="13">
        <f t="shared" si="1"/>
        <v>0</v>
      </c>
    </row>
    <row r="38" spans="1:34" x14ac:dyDescent="0.3">
      <c r="A38" s="16">
        <v>2041</v>
      </c>
      <c r="C38" s="17">
        <v>0</v>
      </c>
      <c r="E38" s="17">
        <v>0</v>
      </c>
      <c r="G38" s="17">
        <v>0</v>
      </c>
      <c r="I38" s="17">
        <v>0</v>
      </c>
      <c r="K38" s="18">
        <v>0</v>
      </c>
      <c r="M38" s="18">
        <v>0</v>
      </c>
      <c r="O38" s="17">
        <v>0</v>
      </c>
      <c r="Q38" s="17">
        <v>0</v>
      </c>
      <c r="S38" s="17">
        <v>0</v>
      </c>
      <c r="U38" s="17">
        <v>0</v>
      </c>
      <c r="W38" s="17">
        <v>0</v>
      </c>
      <c r="Y38" s="17">
        <v>0</v>
      </c>
      <c r="AA38" s="17">
        <v>0</v>
      </c>
      <c r="AC38" s="17">
        <v>0</v>
      </c>
      <c r="AE38" s="17">
        <v>0</v>
      </c>
      <c r="AG38" s="13">
        <f t="shared" si="0"/>
        <v>0</v>
      </c>
      <c r="AH38" s="13">
        <f t="shared" si="1"/>
        <v>0</v>
      </c>
    </row>
    <row r="39" spans="1:34" x14ac:dyDescent="0.3">
      <c r="A39" s="16">
        <v>2042</v>
      </c>
      <c r="C39" s="17">
        <v>0</v>
      </c>
      <c r="E39" s="17">
        <v>0</v>
      </c>
      <c r="G39" s="17">
        <v>0</v>
      </c>
      <c r="I39" s="17">
        <v>0</v>
      </c>
      <c r="K39" s="18">
        <v>0</v>
      </c>
      <c r="M39" s="18">
        <v>0</v>
      </c>
      <c r="O39" s="17">
        <v>0</v>
      </c>
      <c r="Q39" s="17">
        <v>0</v>
      </c>
      <c r="S39" s="17">
        <v>0</v>
      </c>
      <c r="U39" s="17">
        <v>0</v>
      </c>
      <c r="W39" s="17">
        <v>0</v>
      </c>
      <c r="Y39" s="17">
        <v>0</v>
      </c>
      <c r="AA39" s="17">
        <v>0</v>
      </c>
      <c r="AC39" s="17">
        <v>0</v>
      </c>
      <c r="AE39" s="17">
        <v>0</v>
      </c>
      <c r="AG39" s="13">
        <f t="shared" si="0"/>
        <v>0</v>
      </c>
      <c r="AH39" s="13">
        <f t="shared" si="1"/>
        <v>0</v>
      </c>
    </row>
    <row r="40" spans="1:34" x14ac:dyDescent="0.3">
      <c r="A40" s="16">
        <v>2043</v>
      </c>
      <c r="C40" s="17">
        <v>0</v>
      </c>
      <c r="E40" s="17">
        <v>0</v>
      </c>
      <c r="G40" s="17">
        <v>0</v>
      </c>
      <c r="I40" s="17">
        <v>0</v>
      </c>
      <c r="K40" s="18">
        <v>0</v>
      </c>
      <c r="M40" s="18">
        <v>0</v>
      </c>
      <c r="O40" s="17">
        <v>0</v>
      </c>
      <c r="Q40" s="17">
        <v>0</v>
      </c>
      <c r="S40" s="17">
        <v>0</v>
      </c>
      <c r="U40" s="17">
        <v>0</v>
      </c>
      <c r="W40" s="17">
        <v>0</v>
      </c>
      <c r="Y40" s="17">
        <v>0</v>
      </c>
      <c r="AA40" s="17">
        <v>0</v>
      </c>
      <c r="AC40" s="17">
        <v>0</v>
      </c>
      <c r="AE40" s="17">
        <v>0</v>
      </c>
      <c r="AG40" s="13">
        <f t="shared" si="0"/>
        <v>0</v>
      </c>
      <c r="AH40" s="13">
        <f t="shared" si="1"/>
        <v>0</v>
      </c>
    </row>
    <row r="41" spans="1:34" ht="21.9" customHeight="1" x14ac:dyDescent="0.3">
      <c r="A41" s="16">
        <v>2044</v>
      </c>
      <c r="C41" s="17">
        <v>0</v>
      </c>
      <c r="E41" s="17">
        <v>0</v>
      </c>
      <c r="G41" s="17">
        <v>0</v>
      </c>
      <c r="I41" s="17">
        <v>0</v>
      </c>
      <c r="K41" s="18">
        <v>0</v>
      </c>
      <c r="M41" s="18">
        <v>0</v>
      </c>
      <c r="O41" s="17">
        <v>0</v>
      </c>
      <c r="Q41" s="17">
        <v>0</v>
      </c>
      <c r="S41" s="17">
        <v>0</v>
      </c>
      <c r="U41" s="17">
        <v>0</v>
      </c>
      <c r="W41" s="17">
        <v>0</v>
      </c>
      <c r="Y41" s="17">
        <v>0</v>
      </c>
      <c r="AA41" s="17">
        <v>0</v>
      </c>
      <c r="AC41" s="17">
        <v>0</v>
      </c>
      <c r="AE41" s="17">
        <v>0</v>
      </c>
      <c r="AG41" s="13">
        <f t="shared" si="0"/>
        <v>0</v>
      </c>
      <c r="AH41" s="13">
        <f t="shared" si="1"/>
        <v>0</v>
      </c>
    </row>
    <row r="42" spans="1:34" x14ac:dyDescent="0.3">
      <c r="A42" s="16">
        <v>2045</v>
      </c>
      <c r="C42" s="17">
        <v>0</v>
      </c>
      <c r="E42" s="17">
        <v>0</v>
      </c>
      <c r="G42" s="17">
        <v>0</v>
      </c>
      <c r="I42" s="17">
        <v>0</v>
      </c>
      <c r="K42" s="18">
        <v>0</v>
      </c>
      <c r="M42" s="18">
        <v>0</v>
      </c>
      <c r="O42" s="17">
        <v>0</v>
      </c>
      <c r="Q42" s="17">
        <v>0</v>
      </c>
      <c r="S42" s="17">
        <v>0</v>
      </c>
      <c r="U42" s="17">
        <v>0</v>
      </c>
      <c r="W42" s="17">
        <v>0</v>
      </c>
      <c r="Y42" s="17">
        <v>0</v>
      </c>
      <c r="AA42" s="17">
        <v>0</v>
      </c>
      <c r="AC42" s="17">
        <v>0</v>
      </c>
      <c r="AE42" s="17">
        <v>0</v>
      </c>
      <c r="AG42" s="13">
        <f t="shared" si="0"/>
        <v>0</v>
      </c>
      <c r="AH42" s="13">
        <f t="shared" si="1"/>
        <v>0</v>
      </c>
    </row>
    <row r="43" spans="1:34" x14ac:dyDescent="0.3">
      <c r="A43" s="16">
        <v>2046</v>
      </c>
      <c r="C43" s="17">
        <v>0</v>
      </c>
      <c r="E43" s="17">
        <v>0</v>
      </c>
      <c r="G43" s="17">
        <v>0</v>
      </c>
      <c r="I43" s="17">
        <v>0</v>
      </c>
      <c r="K43" s="18">
        <v>0</v>
      </c>
      <c r="M43" s="18">
        <v>0</v>
      </c>
      <c r="O43" s="17">
        <v>0</v>
      </c>
      <c r="Q43" s="17">
        <v>0</v>
      </c>
      <c r="S43" s="17">
        <v>0</v>
      </c>
      <c r="U43" s="17">
        <v>0</v>
      </c>
      <c r="W43" s="17">
        <v>0</v>
      </c>
      <c r="Y43" s="17">
        <v>0</v>
      </c>
      <c r="AA43" s="17">
        <v>0</v>
      </c>
      <c r="AC43" s="17">
        <v>0</v>
      </c>
      <c r="AE43" s="17">
        <v>0</v>
      </c>
      <c r="AG43" s="13">
        <f t="shared" si="0"/>
        <v>0</v>
      </c>
      <c r="AH43" s="13">
        <f t="shared" si="1"/>
        <v>0</v>
      </c>
    </row>
    <row r="44" spans="1:34" x14ac:dyDescent="0.3">
      <c r="A44" s="16">
        <v>2047</v>
      </c>
      <c r="C44" s="17">
        <v>0</v>
      </c>
      <c r="E44" s="17">
        <v>0</v>
      </c>
      <c r="G44" s="17">
        <v>0</v>
      </c>
      <c r="I44" s="17">
        <v>0</v>
      </c>
      <c r="K44" s="18">
        <v>0</v>
      </c>
      <c r="M44" s="18">
        <v>0</v>
      </c>
      <c r="O44" s="17">
        <v>0</v>
      </c>
      <c r="Q44" s="17">
        <v>0</v>
      </c>
      <c r="S44" s="17">
        <v>0</v>
      </c>
      <c r="U44" s="17">
        <v>0</v>
      </c>
      <c r="W44" s="17">
        <v>0</v>
      </c>
      <c r="Y44" s="17">
        <v>0</v>
      </c>
      <c r="AA44" s="17">
        <v>0</v>
      </c>
      <c r="AC44" s="17">
        <v>0</v>
      </c>
      <c r="AE44" s="17">
        <v>0</v>
      </c>
      <c r="AG44" s="13">
        <f t="shared" si="0"/>
        <v>0</v>
      </c>
      <c r="AH44" s="13">
        <f t="shared" si="1"/>
        <v>0</v>
      </c>
    </row>
    <row r="45" spans="1:34" x14ac:dyDescent="0.3">
      <c r="A45" s="16">
        <v>2048</v>
      </c>
      <c r="C45" s="17">
        <v>0</v>
      </c>
      <c r="E45" s="17">
        <v>0</v>
      </c>
      <c r="G45" s="17">
        <v>0</v>
      </c>
      <c r="I45" s="17">
        <v>0</v>
      </c>
      <c r="K45" s="18">
        <v>0</v>
      </c>
      <c r="M45" s="18">
        <v>0</v>
      </c>
      <c r="O45" s="17">
        <v>0</v>
      </c>
      <c r="Q45" s="17">
        <v>0</v>
      </c>
      <c r="S45" s="17">
        <v>0</v>
      </c>
      <c r="U45" s="17">
        <v>0</v>
      </c>
      <c r="W45" s="17">
        <v>0</v>
      </c>
      <c r="Y45" s="17">
        <v>0</v>
      </c>
      <c r="AA45" s="17">
        <v>0</v>
      </c>
      <c r="AC45" s="17">
        <v>0</v>
      </c>
      <c r="AE45" s="17">
        <v>0</v>
      </c>
      <c r="AG45" s="13">
        <f t="shared" si="0"/>
        <v>0</v>
      </c>
      <c r="AH45" s="13">
        <f t="shared" si="1"/>
        <v>0</v>
      </c>
    </row>
    <row r="46" spans="1:34" ht="21.9" customHeight="1" x14ac:dyDescent="0.3">
      <c r="A46" s="16">
        <v>2049</v>
      </c>
      <c r="C46" s="17">
        <v>0</v>
      </c>
      <c r="E46" s="17">
        <v>0</v>
      </c>
      <c r="G46" s="17">
        <v>0</v>
      </c>
      <c r="I46" s="17">
        <v>0</v>
      </c>
      <c r="K46" s="18">
        <v>0</v>
      </c>
      <c r="M46" s="18">
        <v>0</v>
      </c>
      <c r="O46" s="17">
        <v>0</v>
      </c>
      <c r="Q46" s="17">
        <v>0</v>
      </c>
      <c r="S46" s="17">
        <v>0</v>
      </c>
      <c r="U46" s="17">
        <v>0</v>
      </c>
      <c r="W46" s="17">
        <v>0</v>
      </c>
      <c r="Y46" s="17">
        <v>0</v>
      </c>
      <c r="AA46" s="17">
        <v>0</v>
      </c>
      <c r="AC46" s="17">
        <v>0</v>
      </c>
      <c r="AE46" s="17">
        <v>0</v>
      </c>
      <c r="AG46" s="13">
        <f t="shared" si="0"/>
        <v>0</v>
      </c>
      <c r="AH46" s="13">
        <f t="shared" si="1"/>
        <v>0</v>
      </c>
    </row>
    <row r="47" spans="1:34" x14ac:dyDescent="0.3">
      <c r="A47" s="16">
        <v>2050</v>
      </c>
      <c r="C47" s="17">
        <v>0</v>
      </c>
      <c r="E47" s="17">
        <v>0</v>
      </c>
      <c r="G47" s="17">
        <v>0</v>
      </c>
      <c r="I47" s="17">
        <v>0</v>
      </c>
      <c r="K47" s="18">
        <v>0</v>
      </c>
      <c r="M47" s="18">
        <v>0</v>
      </c>
      <c r="O47" s="17">
        <v>0</v>
      </c>
      <c r="Q47" s="17">
        <v>0</v>
      </c>
      <c r="S47" s="17">
        <v>0</v>
      </c>
      <c r="U47" s="17">
        <v>0</v>
      </c>
      <c r="W47" s="17">
        <v>0</v>
      </c>
      <c r="Y47" s="17">
        <v>0</v>
      </c>
      <c r="AA47" s="17">
        <v>0</v>
      </c>
      <c r="AC47" s="17">
        <v>0</v>
      </c>
      <c r="AE47" s="17">
        <v>0</v>
      </c>
      <c r="AG47" s="13">
        <f t="shared" si="0"/>
        <v>0</v>
      </c>
      <c r="AH47" s="13">
        <f t="shared" si="1"/>
        <v>0</v>
      </c>
    </row>
    <row r="48" spans="1:34" x14ac:dyDescent="0.3">
      <c r="A48" s="16">
        <v>2051</v>
      </c>
      <c r="C48" s="17">
        <v>0</v>
      </c>
      <c r="E48" s="17">
        <v>0</v>
      </c>
      <c r="G48" s="17">
        <v>0</v>
      </c>
      <c r="I48" s="17">
        <v>0</v>
      </c>
      <c r="K48" s="18">
        <v>0</v>
      </c>
      <c r="M48" s="18">
        <v>0</v>
      </c>
      <c r="O48" s="17">
        <v>0</v>
      </c>
      <c r="Q48" s="17">
        <v>0</v>
      </c>
      <c r="S48" s="17">
        <v>0</v>
      </c>
      <c r="U48" s="17">
        <v>0</v>
      </c>
      <c r="W48" s="17">
        <v>0</v>
      </c>
      <c r="Y48" s="17">
        <v>0</v>
      </c>
      <c r="AA48" s="17">
        <v>0</v>
      </c>
      <c r="AC48" s="17">
        <v>0</v>
      </c>
      <c r="AE48" s="17">
        <v>0</v>
      </c>
      <c r="AG48" s="13">
        <f t="shared" si="0"/>
        <v>0</v>
      </c>
      <c r="AH48" s="13">
        <f t="shared" si="1"/>
        <v>0</v>
      </c>
    </row>
    <row r="49" spans="1:34" x14ac:dyDescent="0.3">
      <c r="A49" s="16">
        <v>2052</v>
      </c>
      <c r="C49" s="17">
        <v>0</v>
      </c>
      <c r="E49" s="17">
        <v>0</v>
      </c>
      <c r="G49" s="17">
        <v>0</v>
      </c>
      <c r="I49" s="17">
        <v>0</v>
      </c>
      <c r="K49" s="18">
        <v>0</v>
      </c>
      <c r="M49" s="18">
        <v>0</v>
      </c>
      <c r="O49" s="17">
        <v>0</v>
      </c>
      <c r="Q49" s="17">
        <v>0</v>
      </c>
      <c r="S49" s="17">
        <v>0</v>
      </c>
      <c r="U49" s="17">
        <v>0</v>
      </c>
      <c r="W49" s="17">
        <v>0</v>
      </c>
      <c r="Y49" s="17">
        <v>0</v>
      </c>
      <c r="AA49" s="17">
        <v>0</v>
      </c>
      <c r="AC49" s="17">
        <v>0</v>
      </c>
      <c r="AE49" s="17">
        <v>0</v>
      </c>
      <c r="AG49" s="13">
        <f t="shared" si="0"/>
        <v>0</v>
      </c>
      <c r="AH49" s="13">
        <f t="shared" si="1"/>
        <v>0</v>
      </c>
    </row>
    <row r="50" spans="1:34" x14ac:dyDescent="0.3">
      <c r="A50" s="16">
        <v>2053</v>
      </c>
      <c r="C50" s="17">
        <v>0</v>
      </c>
      <c r="E50" s="17">
        <v>0</v>
      </c>
      <c r="G50" s="17">
        <v>0</v>
      </c>
      <c r="I50" s="17">
        <v>0</v>
      </c>
      <c r="K50" s="18">
        <v>0</v>
      </c>
      <c r="M50" s="18">
        <v>0</v>
      </c>
      <c r="O50" s="17">
        <v>0</v>
      </c>
      <c r="Q50" s="17">
        <v>0</v>
      </c>
      <c r="S50" s="17">
        <v>0</v>
      </c>
      <c r="U50" s="17">
        <v>0</v>
      </c>
      <c r="W50" s="17">
        <v>0</v>
      </c>
      <c r="Y50" s="17">
        <v>0</v>
      </c>
      <c r="AA50" s="17">
        <v>0</v>
      </c>
      <c r="AC50" s="17">
        <v>0</v>
      </c>
      <c r="AE50" s="17">
        <v>0</v>
      </c>
      <c r="AG50" s="13">
        <f t="shared" si="0"/>
        <v>0</v>
      </c>
      <c r="AH50" s="13">
        <f t="shared" si="1"/>
        <v>0</v>
      </c>
    </row>
    <row r="51" spans="1:34" ht="21.9" customHeight="1" x14ac:dyDescent="0.3">
      <c r="A51" s="16">
        <v>2054</v>
      </c>
      <c r="C51" s="17">
        <v>0</v>
      </c>
      <c r="E51" s="17">
        <v>0</v>
      </c>
      <c r="G51" s="17">
        <v>0</v>
      </c>
      <c r="I51" s="17">
        <v>0</v>
      </c>
      <c r="K51" s="18">
        <v>0</v>
      </c>
      <c r="M51" s="18">
        <v>0</v>
      </c>
      <c r="O51" s="17">
        <v>0</v>
      </c>
      <c r="Q51" s="17">
        <v>0</v>
      </c>
      <c r="S51" s="17">
        <v>0</v>
      </c>
      <c r="U51" s="17">
        <v>0</v>
      </c>
      <c r="W51" s="17">
        <v>0</v>
      </c>
      <c r="Y51" s="17">
        <v>0</v>
      </c>
      <c r="AA51" s="17">
        <v>0</v>
      </c>
      <c r="AC51" s="17">
        <v>0</v>
      </c>
      <c r="AE51" s="17">
        <v>0</v>
      </c>
      <c r="AG51" s="13">
        <f t="shared" si="0"/>
        <v>0</v>
      </c>
      <c r="AH51" s="13">
        <f t="shared" si="1"/>
        <v>0</v>
      </c>
    </row>
    <row r="52" spans="1:34" x14ac:dyDescent="0.3">
      <c r="A52" s="16">
        <v>2055</v>
      </c>
      <c r="C52" s="17">
        <v>0</v>
      </c>
      <c r="E52" s="17">
        <v>0</v>
      </c>
      <c r="G52" s="17">
        <v>0</v>
      </c>
      <c r="I52" s="17">
        <v>0</v>
      </c>
      <c r="K52" s="18">
        <v>0</v>
      </c>
      <c r="M52" s="18">
        <v>0</v>
      </c>
      <c r="O52" s="17">
        <v>0</v>
      </c>
      <c r="Q52" s="17">
        <v>0</v>
      </c>
      <c r="S52" s="17">
        <v>0</v>
      </c>
      <c r="U52" s="17">
        <v>0</v>
      </c>
      <c r="W52" s="17">
        <v>0</v>
      </c>
      <c r="Y52" s="17">
        <v>0</v>
      </c>
      <c r="AA52" s="17">
        <v>0</v>
      </c>
      <c r="AC52" s="17">
        <v>0</v>
      </c>
      <c r="AE52" s="17">
        <v>0</v>
      </c>
      <c r="AG52" s="13">
        <f t="shared" si="0"/>
        <v>0</v>
      </c>
      <c r="AH52" s="13">
        <f t="shared" si="1"/>
        <v>0</v>
      </c>
    </row>
    <row r="53" spans="1:34" x14ac:dyDescent="0.3">
      <c r="A53" s="16">
        <v>2056</v>
      </c>
      <c r="C53" s="17">
        <v>0</v>
      </c>
      <c r="E53" s="17">
        <v>0</v>
      </c>
      <c r="G53" s="17">
        <v>0</v>
      </c>
      <c r="I53" s="17">
        <v>0</v>
      </c>
      <c r="K53" s="18">
        <v>0</v>
      </c>
      <c r="M53" s="18">
        <v>0</v>
      </c>
      <c r="O53" s="17">
        <v>0</v>
      </c>
      <c r="Q53" s="17">
        <v>0</v>
      </c>
      <c r="S53" s="17">
        <v>0</v>
      </c>
      <c r="U53" s="17">
        <v>0</v>
      </c>
      <c r="W53" s="17">
        <v>0</v>
      </c>
      <c r="Y53" s="17">
        <v>0</v>
      </c>
      <c r="AA53" s="17">
        <v>0</v>
      </c>
      <c r="AC53" s="17">
        <v>0</v>
      </c>
      <c r="AE53" s="17">
        <v>0</v>
      </c>
      <c r="AG53" s="13">
        <f t="shared" si="0"/>
        <v>0</v>
      </c>
      <c r="AH53" s="13">
        <f t="shared" si="1"/>
        <v>0</v>
      </c>
    </row>
    <row r="54" spans="1:34" x14ac:dyDescent="0.3">
      <c r="A54" s="16">
        <v>2057</v>
      </c>
      <c r="C54" s="17">
        <v>0</v>
      </c>
      <c r="E54" s="17">
        <v>0</v>
      </c>
      <c r="G54" s="17">
        <v>0</v>
      </c>
      <c r="I54" s="17">
        <v>0</v>
      </c>
      <c r="K54" s="18">
        <v>0</v>
      </c>
      <c r="M54" s="18">
        <v>0</v>
      </c>
      <c r="O54" s="17">
        <v>0</v>
      </c>
      <c r="Q54" s="17">
        <v>0</v>
      </c>
      <c r="S54" s="17">
        <v>0</v>
      </c>
      <c r="U54" s="17">
        <v>0</v>
      </c>
      <c r="W54" s="17">
        <v>0</v>
      </c>
      <c r="Y54" s="17">
        <v>0</v>
      </c>
      <c r="AA54" s="17">
        <v>0</v>
      </c>
      <c r="AC54" s="17">
        <v>0</v>
      </c>
      <c r="AE54" s="17">
        <v>0</v>
      </c>
      <c r="AG54" s="13">
        <f t="shared" si="0"/>
        <v>0</v>
      </c>
      <c r="AH54" s="13">
        <f t="shared" si="1"/>
        <v>0</v>
      </c>
    </row>
    <row r="55" spans="1:34" x14ac:dyDescent="0.3">
      <c r="A55" s="16">
        <v>2058</v>
      </c>
      <c r="C55" s="17">
        <v>0</v>
      </c>
      <c r="E55" s="17">
        <v>0</v>
      </c>
      <c r="G55" s="17">
        <v>0</v>
      </c>
      <c r="I55" s="17">
        <v>0</v>
      </c>
      <c r="K55" s="18">
        <v>0</v>
      </c>
      <c r="M55" s="18">
        <v>0</v>
      </c>
      <c r="O55" s="17">
        <v>0</v>
      </c>
      <c r="Q55" s="17">
        <v>0</v>
      </c>
      <c r="S55" s="17">
        <v>0</v>
      </c>
      <c r="U55" s="17">
        <v>0</v>
      </c>
      <c r="W55" s="17">
        <v>0</v>
      </c>
      <c r="Y55" s="17">
        <v>0</v>
      </c>
      <c r="AA55" s="17">
        <v>0</v>
      </c>
      <c r="AC55" s="17">
        <v>0</v>
      </c>
      <c r="AE55" s="17">
        <v>0</v>
      </c>
      <c r="AG55" s="13">
        <f t="shared" si="0"/>
        <v>0</v>
      </c>
      <c r="AH55" s="13">
        <f t="shared" si="1"/>
        <v>0</v>
      </c>
    </row>
    <row r="56" spans="1:34" ht="21.9" customHeight="1" x14ac:dyDescent="0.3">
      <c r="A56" s="16">
        <v>2059</v>
      </c>
      <c r="C56" s="17">
        <v>0</v>
      </c>
      <c r="E56" s="17">
        <v>0</v>
      </c>
      <c r="G56" s="17">
        <v>0</v>
      </c>
      <c r="I56" s="17">
        <v>0</v>
      </c>
      <c r="K56" s="18">
        <v>0</v>
      </c>
      <c r="M56" s="18">
        <v>0</v>
      </c>
      <c r="O56" s="17">
        <v>0</v>
      </c>
      <c r="Q56" s="17">
        <v>0</v>
      </c>
      <c r="S56" s="17">
        <v>0</v>
      </c>
      <c r="U56" s="17">
        <v>0</v>
      </c>
      <c r="W56" s="17">
        <v>0</v>
      </c>
      <c r="Y56" s="17">
        <v>0</v>
      </c>
      <c r="AA56" s="17">
        <v>0</v>
      </c>
      <c r="AC56" s="17">
        <v>0</v>
      </c>
      <c r="AE56" s="17">
        <v>0</v>
      </c>
      <c r="AG56" s="13">
        <f t="shared" si="0"/>
        <v>0</v>
      </c>
      <c r="AH56" s="13">
        <f t="shared" si="1"/>
        <v>0</v>
      </c>
    </row>
    <row r="57" spans="1:34" x14ac:dyDescent="0.3">
      <c r="A57" s="16">
        <v>2060</v>
      </c>
      <c r="C57" s="19">
        <v>0</v>
      </c>
      <c r="E57" s="19">
        <v>0</v>
      </c>
      <c r="G57" s="19">
        <v>0</v>
      </c>
      <c r="I57" s="19">
        <v>0</v>
      </c>
      <c r="K57" s="18">
        <v>0</v>
      </c>
      <c r="M57" s="18">
        <v>0</v>
      </c>
      <c r="O57" s="19">
        <v>0</v>
      </c>
      <c r="Q57" s="19">
        <v>0</v>
      </c>
      <c r="S57" s="19">
        <v>0</v>
      </c>
      <c r="U57" s="19">
        <v>0</v>
      </c>
      <c r="W57" s="19">
        <v>0</v>
      </c>
      <c r="Y57" s="19">
        <v>0</v>
      </c>
      <c r="AA57" s="19">
        <v>0</v>
      </c>
      <c r="AC57" s="19">
        <v>0</v>
      </c>
      <c r="AE57" s="19">
        <v>0</v>
      </c>
      <c r="AG57" s="13">
        <f t="shared" si="0"/>
        <v>0</v>
      </c>
      <c r="AH57" s="13">
        <f t="shared" si="1"/>
        <v>0</v>
      </c>
    </row>
    <row r="58" spans="1:34" x14ac:dyDescent="0.3">
      <c r="AG58" s="13"/>
      <c r="AH58" s="13"/>
    </row>
    <row r="59" spans="1:34" x14ac:dyDescent="0.3">
      <c r="A59" s="228" t="s">
        <v>2</v>
      </c>
      <c r="C59" s="229">
        <v>39373</v>
      </c>
      <c r="E59" s="229">
        <v>0</v>
      </c>
      <c r="G59" s="229">
        <v>39373</v>
      </c>
      <c r="I59" s="229">
        <v>0</v>
      </c>
      <c r="O59" s="229">
        <v>2283674</v>
      </c>
      <c r="Q59" s="229">
        <v>0</v>
      </c>
      <c r="S59" s="229">
        <v>162635</v>
      </c>
      <c r="U59" s="229">
        <v>957000</v>
      </c>
      <c r="W59" s="229">
        <v>173500</v>
      </c>
      <c r="Y59" s="229">
        <v>93100</v>
      </c>
      <c r="AA59" s="229">
        <v>0</v>
      </c>
      <c r="AC59" s="229">
        <v>897439</v>
      </c>
      <c r="AE59" s="229">
        <v>704920</v>
      </c>
      <c r="AG59" s="13"/>
      <c r="AH59" s="13"/>
    </row>
    <row r="60" spans="1:34" x14ac:dyDescent="0.3">
      <c r="AG60" s="13"/>
      <c r="AH60" s="13"/>
    </row>
    <row r="61" spans="1:34" ht="21.9" customHeight="1" x14ac:dyDescent="0.3">
      <c r="A61" t="s">
        <v>45</v>
      </c>
      <c r="AC61" s="225" t="s">
        <v>721</v>
      </c>
      <c r="AD61" s="15"/>
      <c r="AE61" s="15"/>
      <c r="AG61" s="13"/>
      <c r="AH61" s="13"/>
    </row>
    <row r="62" spans="1:34" x14ac:dyDescent="0.3">
      <c r="A62" t="s">
        <v>77</v>
      </c>
      <c r="AC62" s="20" t="s">
        <v>46</v>
      </c>
      <c r="AE62" s="17">
        <v>795002</v>
      </c>
      <c r="AG62" s="13"/>
      <c r="AH62" s="13"/>
    </row>
    <row r="63" spans="1:34" x14ac:dyDescent="0.3">
      <c r="A63" t="s">
        <v>78</v>
      </c>
      <c r="AC63" s="20" t="s">
        <v>47</v>
      </c>
      <c r="AE63" s="17">
        <v>627390</v>
      </c>
      <c r="AG63" s="13"/>
      <c r="AH63" s="13"/>
    </row>
    <row r="64" spans="1:34" x14ac:dyDescent="0.3">
      <c r="A64" t="s">
        <v>79</v>
      </c>
      <c r="AC64" s="20" t="s">
        <v>48</v>
      </c>
      <c r="AE64" s="17">
        <v>561307</v>
      </c>
      <c r="AG64" s="13"/>
      <c r="AH64" s="13"/>
    </row>
    <row r="65" spans="1:1" ht="8.1" customHeight="1" x14ac:dyDescent="0.3">
      <c r="A65" t="s">
        <v>713</v>
      </c>
    </row>
    <row r="66" spans="1:1" x14ac:dyDescent="0.3">
      <c r="A66" t="s">
        <v>718</v>
      </c>
    </row>
    <row r="67" spans="1:1" x14ac:dyDescent="0.3">
      <c r="A67" s="230"/>
    </row>
  </sheetData>
  <printOptions horizontalCentered="1"/>
  <pageMargins left="0.5" right="0.3" top="0.75" bottom="0.75" header="0.5" footer="0.5"/>
  <pageSetup paperSize="154" scale="42"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0FC6D-2DAA-493E-909C-1AE1BB8E8E2C}">
  <sheetPr>
    <tabColor rgb="FF7030A0"/>
    <pageSetUpPr fitToPage="1"/>
  </sheetPr>
  <dimension ref="A1:AH67"/>
  <sheetViews>
    <sheetView showGridLines="0" zoomScaleNormal="100" zoomScaleSheetLayoutView="100" workbookViewId="0">
      <selection activeCell="AH1" sqref="A1:AH1048576"/>
    </sheetView>
  </sheetViews>
  <sheetFormatPr defaultRowHeight="14.4" x14ac:dyDescent="0.3"/>
  <cols>
    <col min="1" max="1" width="6" bestFit="1" customWidth="1"/>
    <col min="2" max="2" width="1.6640625" customWidth="1"/>
    <col min="3" max="3" width="9.5546875" customWidth="1"/>
    <col min="4" max="4" width="1.6640625" customWidth="1"/>
    <col min="5" max="5" width="9.5546875" customWidth="1"/>
    <col min="6" max="6" width="1.6640625" customWidth="1"/>
    <col min="7" max="7" width="9.5546875" customWidth="1"/>
    <col min="8" max="8" width="1.6640625" customWidth="1"/>
    <col min="9" max="9" width="9.5546875" customWidth="1"/>
    <col min="10" max="10" width="1.6640625" customWidth="1"/>
    <col min="11" max="11" width="13.33203125" customWidth="1"/>
    <col min="12" max="12" width="1.6640625" customWidth="1"/>
    <col min="13" max="13" width="13.33203125" bestFit="1" customWidth="1"/>
    <col min="14" max="14" width="1.6640625" customWidth="1"/>
    <col min="15" max="15" width="14.5546875" customWidth="1"/>
    <col min="16" max="16" width="1.6640625" customWidth="1"/>
    <col min="17" max="17" width="14.5546875" hidden="1" customWidth="1"/>
    <col min="18" max="18" width="1.6640625" hidden="1" customWidth="1"/>
    <col min="19" max="19" width="14.5546875" customWidth="1"/>
    <col min="20" max="20" width="1.6640625" customWidth="1"/>
    <col min="21" max="21" width="14.5546875" customWidth="1"/>
    <col min="22" max="22" width="1.6640625" customWidth="1"/>
    <col min="23" max="23" width="14.5546875" customWidth="1"/>
    <col min="24" max="24" width="1.6640625" customWidth="1"/>
    <col min="25" max="25" width="14.5546875" bestFit="1" customWidth="1"/>
    <col min="26" max="26" width="1.6640625" customWidth="1"/>
    <col min="27" max="27" width="14.5546875" customWidth="1"/>
    <col min="28" max="28" width="1.6640625" customWidth="1"/>
    <col min="29" max="29" width="14.5546875" customWidth="1"/>
    <col min="30" max="30" width="1.6640625" customWidth="1"/>
    <col min="31" max="31" width="14.5546875" customWidth="1"/>
  </cols>
  <sheetData>
    <row r="1" spans="1:34" x14ac:dyDescent="0.3">
      <c r="A1" s="223" t="s">
        <v>57</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row>
    <row r="2" spans="1:34" x14ac:dyDescent="0.3">
      <c r="A2" s="223" t="s">
        <v>62</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row>
    <row r="3" spans="1:34" x14ac:dyDescent="0.3">
      <c r="A3" s="223" t="s">
        <v>22</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row>
    <row r="4" spans="1:34" x14ac:dyDescent="0.3">
      <c r="A4" s="223" t="s">
        <v>710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row>
    <row r="5" spans="1:34" x14ac:dyDescent="0.3">
      <c r="A5" s="223" t="s">
        <v>60</v>
      </c>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row>
    <row r="6" spans="1:34" x14ac:dyDescent="0.3">
      <c r="A6" s="223" t="s">
        <v>86</v>
      </c>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row>
    <row r="7" spans="1:34" x14ac:dyDescent="0.3">
      <c r="A7" s="223" t="s">
        <v>23</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row>
    <row r="8" spans="1:34" x14ac:dyDescent="0.3">
      <c r="A8" s="223" t="s">
        <v>24</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row>
    <row r="9" spans="1:34" x14ac:dyDescent="0.3">
      <c r="A9" s="223" t="s">
        <v>25</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row>
    <row r="10" spans="1:34" x14ac:dyDescent="0.3">
      <c r="A10" s="223" t="s">
        <v>711</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row>
    <row r="11" spans="1:34" x14ac:dyDescent="0.3">
      <c r="A11" s="223" t="s">
        <v>5</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row>
    <row r="12" spans="1:34" x14ac:dyDescent="0.3">
      <c r="A12" s="223" t="s">
        <v>5</v>
      </c>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row>
    <row r="13" spans="1:34" x14ac:dyDescent="0.3">
      <c r="A13" s="223" t="s">
        <v>5</v>
      </c>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row>
    <row r="14" spans="1:34" x14ac:dyDescent="0.3">
      <c r="K14" s="224"/>
      <c r="L14" s="14"/>
      <c r="M14" s="14"/>
    </row>
    <row r="15" spans="1:34" x14ac:dyDescent="0.3">
      <c r="C15" s="224" t="s">
        <v>29</v>
      </c>
      <c r="D15" s="14"/>
      <c r="E15" s="14"/>
      <c r="G15" s="224" t="s">
        <v>35</v>
      </c>
      <c r="H15" s="14"/>
      <c r="I15" s="14"/>
      <c r="K15" s="224" t="s">
        <v>74</v>
      </c>
      <c r="L15" s="14"/>
      <c r="M15" s="14"/>
    </row>
    <row r="16" spans="1:34" x14ac:dyDescent="0.3">
      <c r="C16" s="225" t="s">
        <v>50</v>
      </c>
      <c r="D16" s="15"/>
      <c r="E16" s="15"/>
      <c r="G16" s="225" t="s">
        <v>50</v>
      </c>
      <c r="H16" s="15"/>
      <c r="I16" s="15"/>
      <c r="K16" s="225" t="s">
        <v>75</v>
      </c>
      <c r="L16" s="15"/>
      <c r="M16" s="15"/>
      <c r="O16" s="226" t="s">
        <v>26</v>
      </c>
      <c r="S16" s="226" t="s">
        <v>14</v>
      </c>
      <c r="AC16" s="226" t="s">
        <v>26</v>
      </c>
      <c r="AE16" s="226" t="s">
        <v>27</v>
      </c>
      <c r="AG16" s="9" t="s">
        <v>14</v>
      </c>
      <c r="AH16" s="9"/>
    </row>
    <row r="17" spans="1:34" x14ac:dyDescent="0.3">
      <c r="E17" s="226" t="s">
        <v>28</v>
      </c>
      <c r="I17" s="226" t="s">
        <v>28</v>
      </c>
      <c r="M17" s="226" t="s">
        <v>28</v>
      </c>
      <c r="O17" s="226" t="s">
        <v>29</v>
      </c>
      <c r="S17" s="226" t="s">
        <v>31</v>
      </c>
      <c r="U17" s="226" t="s">
        <v>32</v>
      </c>
      <c r="W17" s="226" t="s">
        <v>33</v>
      </c>
      <c r="Y17" s="226" t="s">
        <v>34</v>
      </c>
      <c r="AC17" s="226" t="s">
        <v>35</v>
      </c>
      <c r="AE17" s="226" t="s">
        <v>36</v>
      </c>
      <c r="AG17" s="9" t="s">
        <v>31</v>
      </c>
      <c r="AH17" s="9"/>
    </row>
    <row r="18" spans="1:34" x14ac:dyDescent="0.3">
      <c r="C18" s="226" t="s">
        <v>37</v>
      </c>
      <c r="E18" s="226" t="s">
        <v>38</v>
      </c>
      <c r="G18" s="226" t="s">
        <v>37</v>
      </c>
      <c r="I18" s="226" t="s">
        <v>38</v>
      </c>
      <c r="K18" s="226" t="s">
        <v>37</v>
      </c>
      <c r="M18" s="226" t="s">
        <v>38</v>
      </c>
      <c r="O18" s="226" t="s">
        <v>39</v>
      </c>
      <c r="Q18" s="226" t="s">
        <v>712</v>
      </c>
      <c r="S18" s="226" t="s">
        <v>30</v>
      </c>
      <c r="U18" s="226" t="s">
        <v>40</v>
      </c>
      <c r="W18" s="226" t="s">
        <v>41</v>
      </c>
      <c r="Y18" s="226" t="s">
        <v>76</v>
      </c>
      <c r="AA18" s="226" t="s">
        <v>42</v>
      </c>
      <c r="AC18" s="226" t="s">
        <v>39</v>
      </c>
      <c r="AE18" s="226" t="s">
        <v>43</v>
      </c>
      <c r="AG18" s="9" t="s">
        <v>30</v>
      </c>
      <c r="AH18" s="9" t="s">
        <v>42</v>
      </c>
    </row>
    <row r="19" spans="1:34" ht="16.8" x14ac:dyDescent="0.3">
      <c r="A19" s="227" t="s">
        <v>1</v>
      </c>
      <c r="C19" s="227" t="s">
        <v>715</v>
      </c>
      <c r="E19" s="227" t="s">
        <v>716</v>
      </c>
      <c r="G19" s="227" t="s">
        <v>715</v>
      </c>
      <c r="I19" s="227" t="s">
        <v>716</v>
      </c>
      <c r="K19" s="227" t="s">
        <v>44</v>
      </c>
      <c r="M19" s="227" t="s">
        <v>717</v>
      </c>
      <c r="O19" s="227" t="s">
        <v>720</v>
      </c>
      <c r="Q19" s="227" t="s">
        <v>720</v>
      </c>
      <c r="S19" s="227" t="s">
        <v>720</v>
      </c>
      <c r="U19" s="227" t="s">
        <v>720</v>
      </c>
      <c r="W19" s="227" t="s">
        <v>720</v>
      </c>
      <c r="Y19" s="227" t="s">
        <v>720</v>
      </c>
      <c r="AA19" s="227" t="s">
        <v>720</v>
      </c>
      <c r="AC19" s="227" t="s">
        <v>720</v>
      </c>
      <c r="AE19" s="227" t="s">
        <v>720</v>
      </c>
      <c r="AG19" s="10" t="s">
        <v>69</v>
      </c>
      <c r="AH19" s="10" t="s">
        <v>69</v>
      </c>
    </row>
    <row r="20" spans="1:34" x14ac:dyDescent="0.3">
      <c r="AG20" s="8"/>
      <c r="AH20" s="8"/>
    </row>
    <row r="21" spans="1:34" x14ac:dyDescent="0.3">
      <c r="A21" s="16">
        <v>2024</v>
      </c>
      <c r="C21" s="17">
        <v>5842</v>
      </c>
      <c r="E21" s="17">
        <v>0</v>
      </c>
      <c r="G21" s="17">
        <v>5842</v>
      </c>
      <c r="I21" s="17">
        <v>0</v>
      </c>
      <c r="K21" s="18">
        <v>58</v>
      </c>
      <c r="M21" s="18">
        <v>0</v>
      </c>
      <c r="O21" s="17">
        <v>338819</v>
      </c>
      <c r="Q21" s="17">
        <v>0</v>
      </c>
      <c r="S21" s="17">
        <v>22450</v>
      </c>
      <c r="U21" s="17">
        <v>87000</v>
      </c>
      <c r="W21" s="17">
        <v>32500</v>
      </c>
      <c r="Y21" s="17">
        <v>0</v>
      </c>
      <c r="AA21" s="17">
        <v>0</v>
      </c>
      <c r="AC21" s="17">
        <v>196869</v>
      </c>
      <c r="AE21" s="17">
        <v>186607</v>
      </c>
      <c r="AG21" s="13">
        <f t="shared" ref="AG21:AG57" si="0">IFERROR(S21/O21,0)</f>
        <v>6.625956631711917E-2</v>
      </c>
      <c r="AH21" s="13">
        <f t="shared" ref="AH21:AH57" si="1">IFERROR(AA21/O21,0)</f>
        <v>0</v>
      </c>
    </row>
    <row r="22" spans="1:34" x14ac:dyDescent="0.3">
      <c r="A22" s="16">
        <v>2025</v>
      </c>
      <c r="C22" s="17">
        <v>6560</v>
      </c>
      <c r="E22" s="17">
        <v>0</v>
      </c>
      <c r="G22" s="17">
        <v>6560</v>
      </c>
      <c r="I22" s="17">
        <v>0</v>
      </c>
      <c r="K22" s="18">
        <v>58</v>
      </c>
      <c r="M22" s="18">
        <v>0</v>
      </c>
      <c r="O22" s="17">
        <v>380499</v>
      </c>
      <c r="Q22" s="17">
        <v>0</v>
      </c>
      <c r="S22" s="17">
        <v>23623</v>
      </c>
      <c r="U22" s="17">
        <v>87000</v>
      </c>
      <c r="W22" s="17">
        <v>53000</v>
      </c>
      <c r="Y22" s="17">
        <v>0</v>
      </c>
      <c r="AA22" s="17">
        <v>0</v>
      </c>
      <c r="AC22" s="17">
        <v>216876</v>
      </c>
      <c r="AE22" s="17">
        <v>186086</v>
      </c>
      <c r="AG22" s="13">
        <f t="shared" si="0"/>
        <v>6.2084263033542794E-2</v>
      </c>
      <c r="AH22" s="13">
        <f t="shared" si="1"/>
        <v>0</v>
      </c>
    </row>
    <row r="23" spans="1:34" x14ac:dyDescent="0.3">
      <c r="A23" s="16">
        <v>2026</v>
      </c>
      <c r="C23" s="17">
        <v>6471</v>
      </c>
      <c r="E23" s="17">
        <v>0</v>
      </c>
      <c r="G23" s="17">
        <v>6471</v>
      </c>
      <c r="I23" s="17">
        <v>0</v>
      </c>
      <c r="K23" s="18">
        <v>58</v>
      </c>
      <c r="M23" s="18">
        <v>0</v>
      </c>
      <c r="O23" s="17">
        <v>375223</v>
      </c>
      <c r="Q23" s="17">
        <v>0</v>
      </c>
      <c r="S23" s="17">
        <v>22864</v>
      </c>
      <c r="U23" s="17">
        <v>87000</v>
      </c>
      <c r="W23" s="17">
        <v>78500</v>
      </c>
      <c r="Y23" s="17">
        <v>0</v>
      </c>
      <c r="AA23" s="17">
        <v>0</v>
      </c>
      <c r="AC23" s="17">
        <v>186858</v>
      </c>
      <c r="AE23" s="17">
        <v>145133</v>
      </c>
      <c r="AG23" s="13">
        <f t="shared" si="0"/>
        <v>6.0934430991703599E-2</v>
      </c>
      <c r="AH23" s="13">
        <f t="shared" si="1"/>
        <v>0</v>
      </c>
    </row>
    <row r="24" spans="1:34" x14ac:dyDescent="0.3">
      <c r="A24" s="16">
        <v>2027</v>
      </c>
      <c r="C24" s="17">
        <v>6274</v>
      </c>
      <c r="E24" s="17">
        <v>0</v>
      </c>
      <c r="G24" s="17">
        <v>6274</v>
      </c>
      <c r="I24" s="17">
        <v>0</v>
      </c>
      <c r="K24" s="18">
        <v>58</v>
      </c>
      <c r="M24" s="18">
        <v>0</v>
      </c>
      <c r="O24" s="17">
        <v>364010</v>
      </c>
      <c r="Q24" s="17">
        <v>0</v>
      </c>
      <c r="S24" s="17">
        <v>21956</v>
      </c>
      <c r="U24" s="17">
        <v>87000</v>
      </c>
      <c r="W24" s="17">
        <v>15500</v>
      </c>
      <c r="Y24" s="17">
        <v>0</v>
      </c>
      <c r="AA24" s="17">
        <v>0</v>
      </c>
      <c r="AC24" s="17">
        <v>239555</v>
      </c>
      <c r="AE24" s="17">
        <v>168425</v>
      </c>
      <c r="AG24" s="13">
        <f t="shared" si="0"/>
        <v>6.031702425757534E-2</v>
      </c>
      <c r="AH24" s="13">
        <f t="shared" si="1"/>
        <v>0</v>
      </c>
    </row>
    <row r="25" spans="1:34" x14ac:dyDescent="0.3">
      <c r="A25" s="16">
        <v>2028</v>
      </c>
      <c r="C25" s="17">
        <v>5606</v>
      </c>
      <c r="E25" s="17">
        <v>0</v>
      </c>
      <c r="G25" s="17">
        <v>5606</v>
      </c>
      <c r="I25" s="17">
        <v>0</v>
      </c>
      <c r="K25" s="18">
        <v>58</v>
      </c>
      <c r="M25" s="18">
        <v>0</v>
      </c>
      <c r="O25" s="17">
        <v>325120</v>
      </c>
      <c r="Q25" s="17">
        <v>0</v>
      </c>
      <c r="S25" s="17">
        <v>19932</v>
      </c>
      <c r="U25" s="17">
        <v>87000</v>
      </c>
      <c r="W25" s="17">
        <v>15500</v>
      </c>
      <c r="Y25" s="17">
        <v>0</v>
      </c>
      <c r="AA25" s="17">
        <v>0</v>
      </c>
      <c r="AC25" s="17">
        <v>202688</v>
      </c>
      <c r="AE25" s="17">
        <v>128998</v>
      </c>
      <c r="AG25" s="13">
        <f t="shared" si="0"/>
        <v>6.1306594488188974E-2</v>
      </c>
      <c r="AH25" s="13">
        <f t="shared" si="1"/>
        <v>0</v>
      </c>
    </row>
    <row r="26" spans="1:34" ht="21.9" customHeight="1" x14ac:dyDescent="0.3">
      <c r="A26" s="16">
        <v>2029</v>
      </c>
      <c r="C26" s="17">
        <v>4983</v>
      </c>
      <c r="E26" s="17">
        <v>0</v>
      </c>
      <c r="G26" s="17">
        <v>4983</v>
      </c>
      <c r="I26" s="17">
        <v>0</v>
      </c>
      <c r="K26" s="18">
        <v>58</v>
      </c>
      <c r="M26" s="18">
        <v>0</v>
      </c>
      <c r="O26" s="17">
        <v>289300</v>
      </c>
      <c r="Q26" s="17">
        <v>0</v>
      </c>
      <c r="S26" s="17">
        <v>18105</v>
      </c>
      <c r="U26" s="17">
        <v>87000</v>
      </c>
      <c r="W26" s="17">
        <v>15500</v>
      </c>
      <c r="Y26" s="17">
        <v>0</v>
      </c>
      <c r="AA26" s="17">
        <v>0</v>
      </c>
      <c r="AC26" s="17">
        <v>168695</v>
      </c>
      <c r="AE26" s="17">
        <v>97186</v>
      </c>
      <c r="AG26" s="13">
        <f t="shared" si="0"/>
        <v>6.2582094711372271E-2</v>
      </c>
      <c r="AH26" s="13">
        <f t="shared" si="1"/>
        <v>0</v>
      </c>
    </row>
    <row r="27" spans="1:34" x14ac:dyDescent="0.3">
      <c r="A27" s="16">
        <v>2030</v>
      </c>
      <c r="C27" s="17">
        <v>4466</v>
      </c>
      <c r="E27" s="17">
        <v>0</v>
      </c>
      <c r="G27" s="17">
        <v>4466</v>
      </c>
      <c r="I27" s="17">
        <v>0</v>
      </c>
      <c r="K27" s="18">
        <v>58</v>
      </c>
      <c r="M27" s="18">
        <v>0</v>
      </c>
      <c r="O27" s="17">
        <v>258603</v>
      </c>
      <c r="Q27" s="17">
        <v>0</v>
      </c>
      <c r="S27" s="17">
        <v>16503</v>
      </c>
      <c r="U27" s="17">
        <v>87000</v>
      </c>
      <c r="W27" s="17">
        <v>15500</v>
      </c>
      <c r="Y27" s="17">
        <v>0</v>
      </c>
      <c r="AA27" s="17">
        <v>0</v>
      </c>
      <c r="AC27" s="17">
        <v>139600</v>
      </c>
      <c r="AE27" s="17">
        <v>72802</v>
      </c>
      <c r="AG27" s="13">
        <f t="shared" si="0"/>
        <v>6.3815965012006814E-2</v>
      </c>
      <c r="AH27" s="13">
        <f t="shared" si="1"/>
        <v>0</v>
      </c>
    </row>
    <row r="28" spans="1:34" x14ac:dyDescent="0.3">
      <c r="A28" s="16">
        <v>2031</v>
      </c>
      <c r="C28" s="17">
        <v>3990</v>
      </c>
      <c r="E28" s="17">
        <v>0</v>
      </c>
      <c r="G28" s="17">
        <v>3990</v>
      </c>
      <c r="I28" s="17">
        <v>0</v>
      </c>
      <c r="K28" s="18">
        <v>58</v>
      </c>
      <c r="M28" s="18">
        <v>0</v>
      </c>
      <c r="O28" s="17">
        <v>231537</v>
      </c>
      <c r="Q28" s="17">
        <v>0</v>
      </c>
      <c r="S28" s="17">
        <v>15106</v>
      </c>
      <c r="U28" s="17">
        <v>87000</v>
      </c>
      <c r="W28" s="17">
        <v>15500</v>
      </c>
      <c r="Y28" s="17">
        <v>0</v>
      </c>
      <c r="AA28" s="17">
        <v>0</v>
      </c>
      <c r="AC28" s="17">
        <v>113931</v>
      </c>
      <c r="AE28" s="17">
        <v>53783</v>
      </c>
      <c r="AG28" s="13">
        <f t="shared" si="0"/>
        <v>6.5242272293413145E-2</v>
      </c>
      <c r="AH28" s="13">
        <f t="shared" si="1"/>
        <v>0</v>
      </c>
    </row>
    <row r="29" spans="1:34" x14ac:dyDescent="0.3">
      <c r="A29" s="16">
        <v>2032</v>
      </c>
      <c r="C29" s="17">
        <v>3590</v>
      </c>
      <c r="E29" s="17">
        <v>0</v>
      </c>
      <c r="G29" s="17">
        <v>3590</v>
      </c>
      <c r="I29" s="17">
        <v>0</v>
      </c>
      <c r="K29" s="18">
        <v>58</v>
      </c>
      <c r="M29" s="18">
        <v>0</v>
      </c>
      <c r="O29" s="17">
        <v>208166</v>
      </c>
      <c r="Q29" s="17">
        <v>0</v>
      </c>
      <c r="S29" s="17">
        <v>13893</v>
      </c>
      <c r="U29" s="17">
        <v>87000</v>
      </c>
      <c r="W29" s="17">
        <v>15500</v>
      </c>
      <c r="Y29" s="17">
        <v>0</v>
      </c>
      <c r="AA29" s="17">
        <v>0</v>
      </c>
      <c r="AC29" s="17">
        <v>91773</v>
      </c>
      <c r="AE29" s="17">
        <v>39216</v>
      </c>
      <c r="AG29" s="13">
        <f t="shared" si="0"/>
        <v>6.6740005572475808E-2</v>
      </c>
      <c r="AH29" s="13">
        <f t="shared" si="1"/>
        <v>0</v>
      </c>
    </row>
    <row r="30" spans="1:34" x14ac:dyDescent="0.3">
      <c r="A30" s="16">
        <v>2033</v>
      </c>
      <c r="C30" s="17">
        <v>3208</v>
      </c>
      <c r="E30" s="17">
        <v>0</v>
      </c>
      <c r="G30" s="17">
        <v>3208</v>
      </c>
      <c r="I30" s="17">
        <v>0</v>
      </c>
      <c r="K30" s="18">
        <v>58</v>
      </c>
      <c r="M30" s="18">
        <v>0</v>
      </c>
      <c r="O30" s="17">
        <v>186413</v>
      </c>
      <c r="Q30" s="17">
        <v>0</v>
      </c>
      <c r="S30" s="17">
        <v>12784</v>
      </c>
      <c r="U30" s="17">
        <v>87000</v>
      </c>
      <c r="W30" s="17">
        <v>15500</v>
      </c>
      <c r="Y30" s="17">
        <v>0</v>
      </c>
      <c r="AA30" s="17">
        <v>0</v>
      </c>
      <c r="AC30" s="17">
        <v>71129</v>
      </c>
      <c r="AE30" s="17">
        <v>27514</v>
      </c>
      <c r="AG30" s="13">
        <f t="shared" si="0"/>
        <v>6.8578908123360496E-2</v>
      </c>
      <c r="AH30" s="13">
        <f t="shared" si="1"/>
        <v>0</v>
      </c>
    </row>
    <row r="31" spans="1:34" ht="21.9" customHeight="1" x14ac:dyDescent="0.3">
      <c r="A31" s="16">
        <v>2034</v>
      </c>
      <c r="C31" s="17">
        <v>2896</v>
      </c>
      <c r="E31" s="17">
        <v>0</v>
      </c>
      <c r="G31" s="17">
        <v>2896</v>
      </c>
      <c r="I31" s="17">
        <v>0</v>
      </c>
      <c r="K31" s="18">
        <v>58</v>
      </c>
      <c r="M31" s="18">
        <v>0</v>
      </c>
      <c r="O31" s="17">
        <v>167663</v>
      </c>
      <c r="Q31" s="17">
        <v>0</v>
      </c>
      <c r="S31" s="17">
        <v>11543</v>
      </c>
      <c r="U31" s="17">
        <v>87000</v>
      </c>
      <c r="W31" s="17">
        <v>15500</v>
      </c>
      <c r="Y31" s="17">
        <v>0</v>
      </c>
      <c r="AA31" s="17">
        <v>0</v>
      </c>
      <c r="AC31" s="17">
        <v>53620</v>
      </c>
      <c r="AE31" s="17">
        <v>18776</v>
      </c>
      <c r="AG31" s="13">
        <f t="shared" si="0"/>
        <v>6.8846436005558773E-2</v>
      </c>
      <c r="AH31" s="13">
        <f t="shared" si="1"/>
        <v>0</v>
      </c>
    </row>
    <row r="32" spans="1:34" x14ac:dyDescent="0.3">
      <c r="A32" s="16">
        <v>2035</v>
      </c>
      <c r="C32" s="17">
        <v>2603</v>
      </c>
      <c r="E32" s="17">
        <v>0</v>
      </c>
      <c r="G32" s="17">
        <v>2603</v>
      </c>
      <c r="I32" s="17">
        <v>0</v>
      </c>
      <c r="K32" s="18">
        <v>58</v>
      </c>
      <c r="M32" s="18">
        <v>0</v>
      </c>
      <c r="O32" s="17">
        <v>151015</v>
      </c>
      <c r="Q32" s="17">
        <v>0</v>
      </c>
      <c r="S32" s="17">
        <v>12836</v>
      </c>
      <c r="U32" s="17">
        <v>87000</v>
      </c>
      <c r="W32" s="17">
        <v>15500</v>
      </c>
      <c r="Y32" s="17">
        <v>0</v>
      </c>
      <c r="AA32" s="17">
        <v>0</v>
      </c>
      <c r="AC32" s="17">
        <v>35679</v>
      </c>
      <c r="AE32" s="17">
        <v>11308</v>
      </c>
      <c r="AG32" s="13">
        <f t="shared" si="0"/>
        <v>8.4998178988842168E-2</v>
      </c>
      <c r="AH32" s="13">
        <f t="shared" si="1"/>
        <v>0</v>
      </c>
    </row>
    <row r="33" spans="1:34" x14ac:dyDescent="0.3">
      <c r="A33" s="16">
        <v>2036</v>
      </c>
      <c r="C33" s="17">
        <v>2352</v>
      </c>
      <c r="E33" s="17">
        <v>0</v>
      </c>
      <c r="G33" s="17">
        <v>2352</v>
      </c>
      <c r="I33" s="17">
        <v>0</v>
      </c>
      <c r="K33" s="18">
        <v>58</v>
      </c>
      <c r="M33" s="18">
        <v>0</v>
      </c>
      <c r="O33" s="17">
        <v>136564</v>
      </c>
      <c r="Q33" s="17">
        <v>0</v>
      </c>
      <c r="S33" s="17">
        <v>11608</v>
      </c>
      <c r="U33" s="17">
        <v>87000</v>
      </c>
      <c r="W33" s="17">
        <v>15500</v>
      </c>
      <c r="Y33" s="17">
        <v>0</v>
      </c>
      <c r="AA33" s="17">
        <v>0</v>
      </c>
      <c r="AC33" s="17">
        <v>22456</v>
      </c>
      <c r="AE33" s="17">
        <v>6443</v>
      </c>
      <c r="AG33" s="13">
        <f t="shared" si="0"/>
        <v>8.5000439354441876E-2</v>
      </c>
      <c r="AH33" s="13">
        <f t="shared" si="1"/>
        <v>0</v>
      </c>
    </row>
    <row r="34" spans="1:34" x14ac:dyDescent="0.3">
      <c r="A34" s="16">
        <v>2037</v>
      </c>
      <c r="C34" s="17">
        <v>2120</v>
      </c>
      <c r="E34" s="17">
        <v>0</v>
      </c>
      <c r="G34" s="17">
        <v>2120</v>
      </c>
      <c r="I34" s="17">
        <v>0</v>
      </c>
      <c r="K34" s="18">
        <v>58</v>
      </c>
      <c r="M34" s="18">
        <v>0</v>
      </c>
      <c r="O34" s="17">
        <v>122988</v>
      </c>
      <c r="Q34" s="17">
        <v>0</v>
      </c>
      <c r="S34" s="17">
        <v>10454</v>
      </c>
      <c r="U34" s="17">
        <v>87000</v>
      </c>
      <c r="W34" s="17">
        <v>0</v>
      </c>
      <c r="Y34" s="17">
        <v>0</v>
      </c>
      <c r="AA34" s="17">
        <v>0</v>
      </c>
      <c r="AC34" s="17">
        <v>25534</v>
      </c>
      <c r="AE34" s="17">
        <v>6632</v>
      </c>
      <c r="AG34" s="13">
        <f t="shared" si="0"/>
        <v>8.5000162617491132E-2</v>
      </c>
      <c r="AH34" s="13">
        <f t="shared" si="1"/>
        <v>0</v>
      </c>
    </row>
    <row r="35" spans="1:34" x14ac:dyDescent="0.3">
      <c r="A35" s="16">
        <v>2038</v>
      </c>
      <c r="C35" s="17">
        <v>1907</v>
      </c>
      <c r="E35" s="17">
        <v>0</v>
      </c>
      <c r="G35" s="17">
        <v>1907</v>
      </c>
      <c r="I35" s="17">
        <v>0</v>
      </c>
      <c r="K35" s="18">
        <v>58</v>
      </c>
      <c r="M35" s="18">
        <v>0</v>
      </c>
      <c r="O35" s="17">
        <v>110658</v>
      </c>
      <c r="Q35" s="17">
        <v>0</v>
      </c>
      <c r="S35" s="17">
        <v>9406</v>
      </c>
      <c r="U35" s="17">
        <v>87000</v>
      </c>
      <c r="W35" s="17">
        <v>0</v>
      </c>
      <c r="Y35" s="17">
        <v>0</v>
      </c>
      <c r="AA35" s="17">
        <v>0</v>
      </c>
      <c r="AC35" s="17">
        <v>14252</v>
      </c>
      <c r="AE35" s="17">
        <v>3351</v>
      </c>
      <c r="AG35" s="13">
        <f t="shared" si="0"/>
        <v>8.5000632579659854E-2</v>
      </c>
      <c r="AH35" s="13">
        <f t="shared" si="1"/>
        <v>0</v>
      </c>
    </row>
    <row r="36" spans="1:34" ht="21.9" customHeight="1" x14ac:dyDescent="0.3">
      <c r="A36" s="16">
        <v>2039</v>
      </c>
      <c r="C36" s="17">
        <v>1731</v>
      </c>
      <c r="E36" s="17">
        <v>0</v>
      </c>
      <c r="G36" s="17">
        <v>1731</v>
      </c>
      <c r="I36" s="17">
        <v>0</v>
      </c>
      <c r="K36" s="18">
        <v>58</v>
      </c>
      <c r="M36" s="18">
        <v>0</v>
      </c>
      <c r="O36" s="17">
        <v>100140</v>
      </c>
      <c r="Q36" s="17">
        <v>0</v>
      </c>
      <c r="S36" s="17">
        <v>8512</v>
      </c>
      <c r="U36" s="17">
        <v>87000</v>
      </c>
      <c r="W36" s="17">
        <v>0</v>
      </c>
      <c r="Y36" s="17">
        <v>0</v>
      </c>
      <c r="AA36" s="17">
        <v>0</v>
      </c>
      <c r="AC36" s="17">
        <v>4628</v>
      </c>
      <c r="AE36" s="17">
        <v>985</v>
      </c>
      <c r="AG36" s="13">
        <f t="shared" si="0"/>
        <v>8.5000998601957256E-2</v>
      </c>
      <c r="AH36" s="13">
        <f t="shared" si="1"/>
        <v>0</v>
      </c>
    </row>
    <row r="37" spans="1:34" x14ac:dyDescent="0.3">
      <c r="A37" s="16">
        <v>2040</v>
      </c>
      <c r="C37" s="17">
        <v>0</v>
      </c>
      <c r="E37" s="17">
        <v>0</v>
      </c>
      <c r="G37" s="17">
        <v>0</v>
      </c>
      <c r="I37" s="17">
        <v>0</v>
      </c>
      <c r="K37" s="18">
        <v>0</v>
      </c>
      <c r="M37" s="18">
        <v>0</v>
      </c>
      <c r="O37" s="17">
        <v>0</v>
      </c>
      <c r="Q37" s="17">
        <v>0</v>
      </c>
      <c r="S37" s="17">
        <v>0</v>
      </c>
      <c r="U37" s="17">
        <v>0</v>
      </c>
      <c r="W37" s="17">
        <v>0</v>
      </c>
      <c r="Y37" s="17">
        <v>93100</v>
      </c>
      <c r="AA37" s="17">
        <v>0</v>
      </c>
      <c r="AC37" s="17">
        <v>-93100</v>
      </c>
      <c r="AE37" s="17">
        <v>-17935</v>
      </c>
      <c r="AG37" s="13">
        <f t="shared" si="0"/>
        <v>0</v>
      </c>
      <c r="AH37" s="13">
        <f t="shared" si="1"/>
        <v>0</v>
      </c>
    </row>
    <row r="38" spans="1:34" x14ac:dyDescent="0.3">
      <c r="A38" s="16">
        <v>2041</v>
      </c>
      <c r="C38" s="17">
        <v>0</v>
      </c>
      <c r="E38" s="17">
        <v>0</v>
      </c>
      <c r="G38" s="17">
        <v>0</v>
      </c>
      <c r="I38" s="17">
        <v>0</v>
      </c>
      <c r="K38" s="18">
        <v>0</v>
      </c>
      <c r="M38" s="18">
        <v>0</v>
      </c>
      <c r="O38" s="17">
        <v>0</v>
      </c>
      <c r="Q38" s="17">
        <v>0</v>
      </c>
      <c r="S38" s="17">
        <v>0</v>
      </c>
      <c r="U38" s="17">
        <v>0</v>
      </c>
      <c r="W38" s="17">
        <v>0</v>
      </c>
      <c r="Y38" s="17">
        <v>0</v>
      </c>
      <c r="AA38" s="17">
        <v>0</v>
      </c>
      <c r="AC38" s="17">
        <v>0</v>
      </c>
      <c r="AE38" s="17">
        <v>0</v>
      </c>
      <c r="AG38" s="13">
        <f t="shared" si="0"/>
        <v>0</v>
      </c>
      <c r="AH38" s="13">
        <f t="shared" si="1"/>
        <v>0</v>
      </c>
    </row>
    <row r="39" spans="1:34" x14ac:dyDescent="0.3">
      <c r="A39" s="16">
        <v>2042</v>
      </c>
      <c r="C39" s="17">
        <v>0</v>
      </c>
      <c r="E39" s="17">
        <v>0</v>
      </c>
      <c r="G39" s="17">
        <v>0</v>
      </c>
      <c r="I39" s="17">
        <v>0</v>
      </c>
      <c r="K39" s="18">
        <v>0</v>
      </c>
      <c r="M39" s="18">
        <v>0</v>
      </c>
      <c r="O39" s="17">
        <v>0</v>
      </c>
      <c r="Q39" s="17">
        <v>0</v>
      </c>
      <c r="S39" s="17">
        <v>0</v>
      </c>
      <c r="U39" s="17">
        <v>0</v>
      </c>
      <c r="W39" s="17">
        <v>0</v>
      </c>
      <c r="Y39" s="17">
        <v>0</v>
      </c>
      <c r="AA39" s="17">
        <v>0</v>
      </c>
      <c r="AC39" s="17">
        <v>0</v>
      </c>
      <c r="AE39" s="17">
        <v>0</v>
      </c>
      <c r="AG39" s="13">
        <f t="shared" si="0"/>
        <v>0</v>
      </c>
      <c r="AH39" s="13">
        <f t="shared" si="1"/>
        <v>0</v>
      </c>
    </row>
    <row r="40" spans="1:34" x14ac:dyDescent="0.3">
      <c r="A40" s="16">
        <v>2043</v>
      </c>
      <c r="C40" s="17">
        <v>0</v>
      </c>
      <c r="E40" s="17">
        <v>0</v>
      </c>
      <c r="G40" s="17">
        <v>0</v>
      </c>
      <c r="I40" s="17">
        <v>0</v>
      </c>
      <c r="K40" s="18">
        <v>0</v>
      </c>
      <c r="M40" s="18">
        <v>0</v>
      </c>
      <c r="O40" s="17">
        <v>0</v>
      </c>
      <c r="Q40" s="17">
        <v>0</v>
      </c>
      <c r="S40" s="17">
        <v>0</v>
      </c>
      <c r="U40" s="17">
        <v>0</v>
      </c>
      <c r="W40" s="17">
        <v>0</v>
      </c>
      <c r="Y40" s="17">
        <v>0</v>
      </c>
      <c r="AA40" s="17">
        <v>0</v>
      </c>
      <c r="AC40" s="17">
        <v>0</v>
      </c>
      <c r="AE40" s="17">
        <v>0</v>
      </c>
      <c r="AG40" s="13">
        <f t="shared" si="0"/>
        <v>0</v>
      </c>
      <c r="AH40" s="13">
        <f t="shared" si="1"/>
        <v>0</v>
      </c>
    </row>
    <row r="41" spans="1:34" ht="21.9" customHeight="1" x14ac:dyDescent="0.3">
      <c r="A41" s="16">
        <v>2044</v>
      </c>
      <c r="C41" s="17">
        <v>0</v>
      </c>
      <c r="E41" s="17">
        <v>0</v>
      </c>
      <c r="G41" s="17">
        <v>0</v>
      </c>
      <c r="I41" s="17">
        <v>0</v>
      </c>
      <c r="K41" s="18">
        <v>0</v>
      </c>
      <c r="M41" s="18">
        <v>0</v>
      </c>
      <c r="O41" s="17">
        <v>0</v>
      </c>
      <c r="Q41" s="17">
        <v>0</v>
      </c>
      <c r="S41" s="17">
        <v>0</v>
      </c>
      <c r="U41" s="17">
        <v>0</v>
      </c>
      <c r="W41" s="17">
        <v>0</v>
      </c>
      <c r="Y41" s="17">
        <v>0</v>
      </c>
      <c r="AA41" s="17">
        <v>0</v>
      </c>
      <c r="AC41" s="17">
        <v>0</v>
      </c>
      <c r="AE41" s="17">
        <v>0</v>
      </c>
      <c r="AG41" s="13">
        <f t="shared" si="0"/>
        <v>0</v>
      </c>
      <c r="AH41" s="13">
        <f t="shared" si="1"/>
        <v>0</v>
      </c>
    </row>
    <row r="42" spans="1:34" x14ac:dyDescent="0.3">
      <c r="A42" s="16">
        <v>2045</v>
      </c>
      <c r="C42" s="17">
        <v>0</v>
      </c>
      <c r="E42" s="17">
        <v>0</v>
      </c>
      <c r="G42" s="17">
        <v>0</v>
      </c>
      <c r="I42" s="17">
        <v>0</v>
      </c>
      <c r="K42" s="18">
        <v>0</v>
      </c>
      <c r="M42" s="18">
        <v>0</v>
      </c>
      <c r="O42" s="17">
        <v>0</v>
      </c>
      <c r="Q42" s="17">
        <v>0</v>
      </c>
      <c r="S42" s="17">
        <v>0</v>
      </c>
      <c r="U42" s="17">
        <v>0</v>
      </c>
      <c r="W42" s="17">
        <v>0</v>
      </c>
      <c r="Y42" s="17">
        <v>0</v>
      </c>
      <c r="AA42" s="17">
        <v>0</v>
      </c>
      <c r="AC42" s="17">
        <v>0</v>
      </c>
      <c r="AE42" s="17">
        <v>0</v>
      </c>
      <c r="AG42" s="13">
        <f t="shared" si="0"/>
        <v>0</v>
      </c>
      <c r="AH42" s="13">
        <f t="shared" si="1"/>
        <v>0</v>
      </c>
    </row>
    <row r="43" spans="1:34" x14ac:dyDescent="0.3">
      <c r="A43" s="16">
        <v>2046</v>
      </c>
      <c r="C43" s="17">
        <v>0</v>
      </c>
      <c r="E43" s="17">
        <v>0</v>
      </c>
      <c r="G43" s="17">
        <v>0</v>
      </c>
      <c r="I43" s="17">
        <v>0</v>
      </c>
      <c r="K43" s="18">
        <v>0</v>
      </c>
      <c r="M43" s="18">
        <v>0</v>
      </c>
      <c r="O43" s="17">
        <v>0</v>
      </c>
      <c r="Q43" s="17">
        <v>0</v>
      </c>
      <c r="S43" s="17">
        <v>0</v>
      </c>
      <c r="U43" s="17">
        <v>0</v>
      </c>
      <c r="W43" s="17">
        <v>0</v>
      </c>
      <c r="Y43" s="17">
        <v>0</v>
      </c>
      <c r="AA43" s="17">
        <v>0</v>
      </c>
      <c r="AC43" s="17">
        <v>0</v>
      </c>
      <c r="AE43" s="17">
        <v>0</v>
      </c>
      <c r="AG43" s="13">
        <f t="shared" si="0"/>
        <v>0</v>
      </c>
      <c r="AH43" s="13">
        <f t="shared" si="1"/>
        <v>0</v>
      </c>
    </row>
    <row r="44" spans="1:34" x14ac:dyDescent="0.3">
      <c r="A44" s="16">
        <v>2047</v>
      </c>
      <c r="C44" s="17">
        <v>0</v>
      </c>
      <c r="E44" s="17">
        <v>0</v>
      </c>
      <c r="G44" s="17">
        <v>0</v>
      </c>
      <c r="I44" s="17">
        <v>0</v>
      </c>
      <c r="K44" s="18">
        <v>0</v>
      </c>
      <c r="M44" s="18">
        <v>0</v>
      </c>
      <c r="O44" s="17">
        <v>0</v>
      </c>
      <c r="Q44" s="17">
        <v>0</v>
      </c>
      <c r="S44" s="17">
        <v>0</v>
      </c>
      <c r="U44" s="17">
        <v>0</v>
      </c>
      <c r="W44" s="17">
        <v>0</v>
      </c>
      <c r="Y44" s="17">
        <v>0</v>
      </c>
      <c r="AA44" s="17">
        <v>0</v>
      </c>
      <c r="AC44" s="17">
        <v>0</v>
      </c>
      <c r="AE44" s="17">
        <v>0</v>
      </c>
      <c r="AG44" s="13">
        <f t="shared" si="0"/>
        <v>0</v>
      </c>
      <c r="AH44" s="13">
        <f t="shared" si="1"/>
        <v>0</v>
      </c>
    </row>
    <row r="45" spans="1:34" x14ac:dyDescent="0.3">
      <c r="A45" s="16">
        <v>2048</v>
      </c>
      <c r="C45" s="17">
        <v>0</v>
      </c>
      <c r="E45" s="17">
        <v>0</v>
      </c>
      <c r="G45" s="17">
        <v>0</v>
      </c>
      <c r="I45" s="17">
        <v>0</v>
      </c>
      <c r="K45" s="18">
        <v>0</v>
      </c>
      <c r="M45" s="18">
        <v>0</v>
      </c>
      <c r="O45" s="17">
        <v>0</v>
      </c>
      <c r="Q45" s="17">
        <v>0</v>
      </c>
      <c r="S45" s="17">
        <v>0</v>
      </c>
      <c r="U45" s="17">
        <v>0</v>
      </c>
      <c r="W45" s="17">
        <v>0</v>
      </c>
      <c r="Y45" s="17">
        <v>0</v>
      </c>
      <c r="AA45" s="17">
        <v>0</v>
      </c>
      <c r="AC45" s="17">
        <v>0</v>
      </c>
      <c r="AE45" s="17">
        <v>0</v>
      </c>
      <c r="AG45" s="13">
        <f t="shared" si="0"/>
        <v>0</v>
      </c>
      <c r="AH45" s="13">
        <f t="shared" si="1"/>
        <v>0</v>
      </c>
    </row>
    <row r="46" spans="1:34" ht="21.9" customHeight="1" x14ac:dyDescent="0.3">
      <c r="A46" s="16">
        <v>2049</v>
      </c>
      <c r="C46" s="17">
        <v>0</v>
      </c>
      <c r="E46" s="17">
        <v>0</v>
      </c>
      <c r="G46" s="17">
        <v>0</v>
      </c>
      <c r="I46" s="17">
        <v>0</v>
      </c>
      <c r="K46" s="18">
        <v>0</v>
      </c>
      <c r="M46" s="18">
        <v>0</v>
      </c>
      <c r="O46" s="17">
        <v>0</v>
      </c>
      <c r="Q46" s="17">
        <v>0</v>
      </c>
      <c r="S46" s="17">
        <v>0</v>
      </c>
      <c r="U46" s="17">
        <v>0</v>
      </c>
      <c r="W46" s="17">
        <v>0</v>
      </c>
      <c r="Y46" s="17">
        <v>0</v>
      </c>
      <c r="AA46" s="17">
        <v>0</v>
      </c>
      <c r="AC46" s="17">
        <v>0</v>
      </c>
      <c r="AE46" s="17">
        <v>0</v>
      </c>
      <c r="AG46" s="13">
        <f t="shared" si="0"/>
        <v>0</v>
      </c>
      <c r="AH46" s="13">
        <f t="shared" si="1"/>
        <v>0</v>
      </c>
    </row>
    <row r="47" spans="1:34" x14ac:dyDescent="0.3">
      <c r="A47" s="16">
        <v>2050</v>
      </c>
      <c r="C47" s="17">
        <v>0</v>
      </c>
      <c r="E47" s="17">
        <v>0</v>
      </c>
      <c r="G47" s="17">
        <v>0</v>
      </c>
      <c r="I47" s="17">
        <v>0</v>
      </c>
      <c r="K47" s="18">
        <v>0</v>
      </c>
      <c r="M47" s="18">
        <v>0</v>
      </c>
      <c r="O47" s="17">
        <v>0</v>
      </c>
      <c r="Q47" s="17">
        <v>0</v>
      </c>
      <c r="S47" s="17">
        <v>0</v>
      </c>
      <c r="U47" s="17">
        <v>0</v>
      </c>
      <c r="W47" s="17">
        <v>0</v>
      </c>
      <c r="Y47" s="17">
        <v>0</v>
      </c>
      <c r="AA47" s="17">
        <v>0</v>
      </c>
      <c r="AC47" s="17">
        <v>0</v>
      </c>
      <c r="AE47" s="17">
        <v>0</v>
      </c>
      <c r="AG47" s="13">
        <f t="shared" si="0"/>
        <v>0</v>
      </c>
      <c r="AH47" s="13">
        <f t="shared" si="1"/>
        <v>0</v>
      </c>
    </row>
    <row r="48" spans="1:34" x14ac:dyDescent="0.3">
      <c r="A48" s="16">
        <v>2051</v>
      </c>
      <c r="C48" s="17">
        <v>0</v>
      </c>
      <c r="E48" s="17">
        <v>0</v>
      </c>
      <c r="G48" s="17">
        <v>0</v>
      </c>
      <c r="I48" s="17">
        <v>0</v>
      </c>
      <c r="K48" s="18">
        <v>0</v>
      </c>
      <c r="M48" s="18">
        <v>0</v>
      </c>
      <c r="O48" s="17">
        <v>0</v>
      </c>
      <c r="Q48" s="17">
        <v>0</v>
      </c>
      <c r="S48" s="17">
        <v>0</v>
      </c>
      <c r="U48" s="17">
        <v>0</v>
      </c>
      <c r="W48" s="17">
        <v>0</v>
      </c>
      <c r="Y48" s="17">
        <v>0</v>
      </c>
      <c r="AA48" s="17">
        <v>0</v>
      </c>
      <c r="AC48" s="17">
        <v>0</v>
      </c>
      <c r="AE48" s="17">
        <v>0</v>
      </c>
      <c r="AG48" s="13">
        <f t="shared" si="0"/>
        <v>0</v>
      </c>
      <c r="AH48" s="13">
        <f t="shared" si="1"/>
        <v>0</v>
      </c>
    </row>
    <row r="49" spans="1:34" x14ac:dyDescent="0.3">
      <c r="A49" s="16">
        <v>2052</v>
      </c>
      <c r="C49" s="17">
        <v>0</v>
      </c>
      <c r="E49" s="17">
        <v>0</v>
      </c>
      <c r="G49" s="17">
        <v>0</v>
      </c>
      <c r="I49" s="17">
        <v>0</v>
      </c>
      <c r="K49" s="18">
        <v>0</v>
      </c>
      <c r="M49" s="18">
        <v>0</v>
      </c>
      <c r="O49" s="17">
        <v>0</v>
      </c>
      <c r="Q49" s="17">
        <v>0</v>
      </c>
      <c r="S49" s="17">
        <v>0</v>
      </c>
      <c r="U49" s="17">
        <v>0</v>
      </c>
      <c r="W49" s="17">
        <v>0</v>
      </c>
      <c r="Y49" s="17">
        <v>0</v>
      </c>
      <c r="AA49" s="17">
        <v>0</v>
      </c>
      <c r="AC49" s="17">
        <v>0</v>
      </c>
      <c r="AE49" s="17">
        <v>0</v>
      </c>
      <c r="AG49" s="13">
        <f t="shared" si="0"/>
        <v>0</v>
      </c>
      <c r="AH49" s="13">
        <f t="shared" si="1"/>
        <v>0</v>
      </c>
    </row>
    <row r="50" spans="1:34" x14ac:dyDescent="0.3">
      <c r="A50" s="16">
        <v>2053</v>
      </c>
      <c r="C50" s="17">
        <v>0</v>
      </c>
      <c r="E50" s="17">
        <v>0</v>
      </c>
      <c r="G50" s="17">
        <v>0</v>
      </c>
      <c r="I50" s="17">
        <v>0</v>
      </c>
      <c r="K50" s="18">
        <v>0</v>
      </c>
      <c r="M50" s="18">
        <v>0</v>
      </c>
      <c r="O50" s="17">
        <v>0</v>
      </c>
      <c r="Q50" s="17">
        <v>0</v>
      </c>
      <c r="S50" s="17">
        <v>0</v>
      </c>
      <c r="U50" s="17">
        <v>0</v>
      </c>
      <c r="W50" s="17">
        <v>0</v>
      </c>
      <c r="Y50" s="17">
        <v>0</v>
      </c>
      <c r="AA50" s="17">
        <v>0</v>
      </c>
      <c r="AC50" s="17">
        <v>0</v>
      </c>
      <c r="AE50" s="17">
        <v>0</v>
      </c>
      <c r="AG50" s="13">
        <f t="shared" si="0"/>
        <v>0</v>
      </c>
      <c r="AH50" s="13">
        <f t="shared" si="1"/>
        <v>0</v>
      </c>
    </row>
    <row r="51" spans="1:34" ht="21.9" customHeight="1" x14ac:dyDescent="0.3">
      <c r="A51" s="16">
        <v>2054</v>
      </c>
      <c r="C51" s="17">
        <v>0</v>
      </c>
      <c r="E51" s="17">
        <v>0</v>
      </c>
      <c r="G51" s="17">
        <v>0</v>
      </c>
      <c r="I51" s="17">
        <v>0</v>
      </c>
      <c r="K51" s="18">
        <v>0</v>
      </c>
      <c r="M51" s="18">
        <v>0</v>
      </c>
      <c r="O51" s="17">
        <v>0</v>
      </c>
      <c r="Q51" s="17">
        <v>0</v>
      </c>
      <c r="S51" s="17">
        <v>0</v>
      </c>
      <c r="U51" s="17">
        <v>0</v>
      </c>
      <c r="W51" s="17">
        <v>0</v>
      </c>
      <c r="Y51" s="17">
        <v>0</v>
      </c>
      <c r="AA51" s="17">
        <v>0</v>
      </c>
      <c r="AC51" s="17">
        <v>0</v>
      </c>
      <c r="AE51" s="17">
        <v>0</v>
      </c>
      <c r="AG51" s="13">
        <f t="shared" si="0"/>
        <v>0</v>
      </c>
      <c r="AH51" s="13">
        <f t="shared" si="1"/>
        <v>0</v>
      </c>
    </row>
    <row r="52" spans="1:34" x14ac:dyDescent="0.3">
      <c r="A52" s="16">
        <v>2055</v>
      </c>
      <c r="C52" s="17">
        <v>0</v>
      </c>
      <c r="E52" s="17">
        <v>0</v>
      </c>
      <c r="G52" s="17">
        <v>0</v>
      </c>
      <c r="I52" s="17">
        <v>0</v>
      </c>
      <c r="K52" s="18">
        <v>0</v>
      </c>
      <c r="M52" s="18">
        <v>0</v>
      </c>
      <c r="O52" s="17">
        <v>0</v>
      </c>
      <c r="Q52" s="17">
        <v>0</v>
      </c>
      <c r="S52" s="17">
        <v>0</v>
      </c>
      <c r="U52" s="17">
        <v>0</v>
      </c>
      <c r="W52" s="17">
        <v>0</v>
      </c>
      <c r="Y52" s="17">
        <v>0</v>
      </c>
      <c r="AA52" s="17">
        <v>0</v>
      </c>
      <c r="AC52" s="17">
        <v>0</v>
      </c>
      <c r="AE52" s="17">
        <v>0</v>
      </c>
      <c r="AG52" s="13">
        <f t="shared" si="0"/>
        <v>0</v>
      </c>
      <c r="AH52" s="13">
        <f t="shared" si="1"/>
        <v>0</v>
      </c>
    </row>
    <row r="53" spans="1:34" x14ac:dyDescent="0.3">
      <c r="A53" s="16">
        <v>2056</v>
      </c>
      <c r="C53" s="17">
        <v>0</v>
      </c>
      <c r="E53" s="17">
        <v>0</v>
      </c>
      <c r="G53" s="17">
        <v>0</v>
      </c>
      <c r="I53" s="17">
        <v>0</v>
      </c>
      <c r="K53" s="18">
        <v>0</v>
      </c>
      <c r="M53" s="18">
        <v>0</v>
      </c>
      <c r="O53" s="17">
        <v>0</v>
      </c>
      <c r="Q53" s="17">
        <v>0</v>
      </c>
      <c r="S53" s="17">
        <v>0</v>
      </c>
      <c r="U53" s="17">
        <v>0</v>
      </c>
      <c r="W53" s="17">
        <v>0</v>
      </c>
      <c r="Y53" s="17">
        <v>0</v>
      </c>
      <c r="AA53" s="17">
        <v>0</v>
      </c>
      <c r="AC53" s="17">
        <v>0</v>
      </c>
      <c r="AE53" s="17">
        <v>0</v>
      </c>
      <c r="AG53" s="13">
        <f t="shared" si="0"/>
        <v>0</v>
      </c>
      <c r="AH53" s="13">
        <f t="shared" si="1"/>
        <v>0</v>
      </c>
    </row>
    <row r="54" spans="1:34" x14ac:dyDescent="0.3">
      <c r="A54" s="16">
        <v>2057</v>
      </c>
      <c r="C54" s="17">
        <v>0</v>
      </c>
      <c r="E54" s="17">
        <v>0</v>
      </c>
      <c r="G54" s="17">
        <v>0</v>
      </c>
      <c r="I54" s="17">
        <v>0</v>
      </c>
      <c r="K54" s="18">
        <v>0</v>
      </c>
      <c r="M54" s="18">
        <v>0</v>
      </c>
      <c r="O54" s="17">
        <v>0</v>
      </c>
      <c r="Q54" s="17">
        <v>0</v>
      </c>
      <c r="S54" s="17">
        <v>0</v>
      </c>
      <c r="U54" s="17">
        <v>0</v>
      </c>
      <c r="W54" s="17">
        <v>0</v>
      </c>
      <c r="Y54" s="17">
        <v>0</v>
      </c>
      <c r="AA54" s="17">
        <v>0</v>
      </c>
      <c r="AC54" s="17">
        <v>0</v>
      </c>
      <c r="AE54" s="17">
        <v>0</v>
      </c>
      <c r="AG54" s="13">
        <f t="shared" si="0"/>
        <v>0</v>
      </c>
      <c r="AH54" s="13">
        <f t="shared" si="1"/>
        <v>0</v>
      </c>
    </row>
    <row r="55" spans="1:34" x14ac:dyDescent="0.3">
      <c r="A55" s="16">
        <v>2058</v>
      </c>
      <c r="C55" s="17">
        <v>0</v>
      </c>
      <c r="E55" s="17">
        <v>0</v>
      </c>
      <c r="G55" s="17">
        <v>0</v>
      </c>
      <c r="I55" s="17">
        <v>0</v>
      </c>
      <c r="K55" s="18">
        <v>0</v>
      </c>
      <c r="M55" s="18">
        <v>0</v>
      </c>
      <c r="O55" s="17">
        <v>0</v>
      </c>
      <c r="Q55" s="17">
        <v>0</v>
      </c>
      <c r="S55" s="17">
        <v>0</v>
      </c>
      <c r="U55" s="17">
        <v>0</v>
      </c>
      <c r="W55" s="17">
        <v>0</v>
      </c>
      <c r="Y55" s="17">
        <v>0</v>
      </c>
      <c r="AA55" s="17">
        <v>0</v>
      </c>
      <c r="AC55" s="17">
        <v>0</v>
      </c>
      <c r="AE55" s="17">
        <v>0</v>
      </c>
      <c r="AG55" s="13">
        <f t="shared" si="0"/>
        <v>0</v>
      </c>
      <c r="AH55" s="13">
        <f t="shared" si="1"/>
        <v>0</v>
      </c>
    </row>
    <row r="56" spans="1:34" ht="21.9" customHeight="1" x14ac:dyDescent="0.3">
      <c r="A56" s="16">
        <v>2059</v>
      </c>
      <c r="C56" s="17">
        <v>0</v>
      </c>
      <c r="E56" s="17">
        <v>0</v>
      </c>
      <c r="G56" s="17">
        <v>0</v>
      </c>
      <c r="I56" s="17">
        <v>0</v>
      </c>
      <c r="K56" s="18">
        <v>0</v>
      </c>
      <c r="M56" s="18">
        <v>0</v>
      </c>
      <c r="O56" s="17">
        <v>0</v>
      </c>
      <c r="Q56" s="17">
        <v>0</v>
      </c>
      <c r="S56" s="17">
        <v>0</v>
      </c>
      <c r="U56" s="17">
        <v>0</v>
      </c>
      <c r="W56" s="17">
        <v>0</v>
      </c>
      <c r="Y56" s="17">
        <v>0</v>
      </c>
      <c r="AA56" s="17">
        <v>0</v>
      </c>
      <c r="AC56" s="17">
        <v>0</v>
      </c>
      <c r="AE56" s="17">
        <v>0</v>
      </c>
      <c r="AG56" s="13">
        <f t="shared" si="0"/>
        <v>0</v>
      </c>
      <c r="AH56" s="13">
        <f t="shared" si="1"/>
        <v>0</v>
      </c>
    </row>
    <row r="57" spans="1:34" x14ac:dyDescent="0.3">
      <c r="A57" s="16">
        <v>2060</v>
      </c>
      <c r="C57" s="19">
        <v>0</v>
      </c>
      <c r="E57" s="19">
        <v>0</v>
      </c>
      <c r="G57" s="19">
        <v>0</v>
      </c>
      <c r="I57" s="19">
        <v>0</v>
      </c>
      <c r="K57" s="18">
        <v>0</v>
      </c>
      <c r="M57" s="18">
        <v>0</v>
      </c>
      <c r="O57" s="19">
        <v>0</v>
      </c>
      <c r="Q57" s="19">
        <v>0</v>
      </c>
      <c r="S57" s="19">
        <v>0</v>
      </c>
      <c r="U57" s="19">
        <v>0</v>
      </c>
      <c r="W57" s="19">
        <v>0</v>
      </c>
      <c r="Y57" s="19">
        <v>0</v>
      </c>
      <c r="AA57" s="19">
        <v>0</v>
      </c>
      <c r="AC57" s="19">
        <v>0</v>
      </c>
      <c r="AE57" s="19">
        <v>0</v>
      </c>
      <c r="AG57" s="13">
        <f t="shared" si="0"/>
        <v>0</v>
      </c>
      <c r="AH57" s="13">
        <f t="shared" si="1"/>
        <v>0</v>
      </c>
    </row>
    <row r="58" spans="1:34" x14ac:dyDescent="0.3">
      <c r="AG58" s="13"/>
      <c r="AH58" s="13"/>
    </row>
    <row r="59" spans="1:34" x14ac:dyDescent="0.3">
      <c r="A59" s="228" t="s">
        <v>2</v>
      </c>
      <c r="C59" s="229">
        <v>64599</v>
      </c>
      <c r="E59" s="229">
        <v>0</v>
      </c>
      <c r="G59" s="229">
        <v>64599</v>
      </c>
      <c r="I59" s="229">
        <v>0</v>
      </c>
      <c r="O59" s="229">
        <v>3746718</v>
      </c>
      <c r="Q59" s="229">
        <v>0</v>
      </c>
      <c r="S59" s="229">
        <v>251575</v>
      </c>
      <c r="U59" s="229">
        <v>1392000</v>
      </c>
      <c r="W59" s="229">
        <v>319000</v>
      </c>
      <c r="Y59" s="229">
        <v>93100</v>
      </c>
      <c r="AA59" s="229">
        <v>0</v>
      </c>
      <c r="AC59" s="229">
        <v>1691043</v>
      </c>
      <c r="AE59" s="229">
        <v>1135310</v>
      </c>
      <c r="AG59" s="13"/>
      <c r="AH59" s="13"/>
    </row>
    <row r="60" spans="1:34" x14ac:dyDescent="0.3">
      <c r="AG60" s="13"/>
      <c r="AH60" s="13"/>
    </row>
    <row r="61" spans="1:34" ht="21.9" customHeight="1" x14ac:dyDescent="0.3">
      <c r="A61" t="s">
        <v>45</v>
      </c>
      <c r="AC61" s="225" t="s">
        <v>721</v>
      </c>
      <c r="AD61" s="15"/>
      <c r="AE61" s="15"/>
      <c r="AG61" s="13"/>
      <c r="AH61" s="13"/>
    </row>
    <row r="62" spans="1:34" x14ac:dyDescent="0.3">
      <c r="A62" t="s">
        <v>80</v>
      </c>
      <c r="AC62" s="20" t="s">
        <v>46</v>
      </c>
      <c r="AE62" s="17">
        <v>1375497</v>
      </c>
      <c r="AG62" s="13"/>
      <c r="AH62" s="13"/>
    </row>
    <row r="63" spans="1:34" x14ac:dyDescent="0.3">
      <c r="A63" t="s">
        <v>81</v>
      </c>
      <c r="AC63" s="20" t="s">
        <v>47</v>
      </c>
      <c r="AE63" s="17">
        <v>951938</v>
      </c>
      <c r="AG63" s="13"/>
      <c r="AH63" s="13"/>
    </row>
    <row r="64" spans="1:34" x14ac:dyDescent="0.3">
      <c r="A64" t="s">
        <v>82</v>
      </c>
      <c r="AC64" s="20" t="s">
        <v>48</v>
      </c>
      <c r="AE64" s="17">
        <v>810536</v>
      </c>
      <c r="AG64" s="13"/>
      <c r="AH64" s="13"/>
    </row>
    <row r="65" spans="1:1" ht="8.1" customHeight="1" x14ac:dyDescent="0.3">
      <c r="A65" t="s">
        <v>83</v>
      </c>
    </row>
    <row r="66" spans="1:1" x14ac:dyDescent="0.3">
      <c r="A66" t="s">
        <v>722</v>
      </c>
    </row>
    <row r="67" spans="1:1" x14ac:dyDescent="0.3">
      <c r="A67" s="230" t="s">
        <v>723</v>
      </c>
    </row>
  </sheetData>
  <printOptions horizontalCentered="1"/>
  <pageMargins left="0.5" right="0.3" top="0.75" bottom="0.75" header="0.5" footer="0.5"/>
  <pageSetup paperSize="160" scale="45"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511D0-6326-4867-A879-769F04D09397}">
  <sheetPr>
    <tabColor rgb="FF7030A0"/>
    <pageSetUpPr fitToPage="1"/>
  </sheetPr>
  <dimension ref="A1:AH67"/>
  <sheetViews>
    <sheetView showGridLines="0" topLeftCell="A53" zoomScaleNormal="100" zoomScaleSheetLayoutView="85" workbookViewId="0">
      <selection activeCell="AE46" sqref="AE46"/>
    </sheetView>
  </sheetViews>
  <sheetFormatPr defaultRowHeight="14.4" x14ac:dyDescent="0.3"/>
  <cols>
    <col min="1" max="1" width="6" bestFit="1" customWidth="1"/>
    <col min="2" max="2" width="1.6640625" customWidth="1"/>
    <col min="3" max="3" width="9.5546875" customWidth="1"/>
    <col min="4" max="4" width="1.6640625" customWidth="1"/>
    <col min="5" max="5" width="9.5546875" customWidth="1"/>
    <col min="6" max="6" width="1.6640625" customWidth="1"/>
    <col min="7" max="7" width="9.5546875" customWidth="1"/>
    <col min="8" max="8" width="1.6640625" customWidth="1"/>
    <col min="9" max="9" width="9.5546875" customWidth="1"/>
    <col min="10" max="10" width="1.6640625" customWidth="1"/>
    <col min="11" max="11" width="13.33203125" customWidth="1"/>
    <col min="12" max="12" width="1.6640625" customWidth="1"/>
    <col min="13" max="13" width="13.33203125" bestFit="1" customWidth="1"/>
    <col min="14" max="14" width="1.6640625" customWidth="1"/>
    <col min="15" max="15" width="14.5546875" customWidth="1"/>
    <col min="16" max="16" width="1.6640625" customWidth="1"/>
    <col min="17" max="17" width="14.5546875" hidden="1" customWidth="1"/>
    <col min="18" max="18" width="1.6640625" hidden="1" customWidth="1"/>
    <col min="19" max="19" width="14.5546875" customWidth="1"/>
    <col min="20" max="20" width="1.6640625" customWidth="1"/>
    <col min="21" max="21" width="14.5546875" customWidth="1"/>
    <col min="22" max="22" width="1.6640625" customWidth="1"/>
    <col min="23" max="23" width="14.5546875" customWidth="1"/>
    <col min="24" max="24" width="1.6640625" customWidth="1"/>
    <col min="25" max="25" width="14.5546875" bestFit="1" customWidth="1"/>
    <col min="26" max="26" width="1.6640625" customWidth="1"/>
    <col min="27" max="27" width="14.5546875" customWidth="1"/>
    <col min="28" max="28" width="1.6640625" customWidth="1"/>
    <col min="29" max="29" width="14.5546875" customWidth="1"/>
    <col min="30" max="30" width="1.6640625" customWidth="1"/>
    <col min="31" max="31" width="14.5546875" customWidth="1"/>
  </cols>
  <sheetData>
    <row r="1" spans="1:34" x14ac:dyDescent="0.3">
      <c r="A1" s="223" t="s">
        <v>58</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row>
    <row r="2" spans="1:34" x14ac:dyDescent="0.3">
      <c r="A2" s="223" t="s">
        <v>63</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row>
    <row r="3" spans="1:34" x14ac:dyDescent="0.3">
      <c r="A3" s="223" t="s">
        <v>22</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row>
    <row r="4" spans="1:34" x14ac:dyDescent="0.3">
      <c r="A4" s="223" t="s">
        <v>710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row>
    <row r="5" spans="1:34" x14ac:dyDescent="0.3">
      <c r="A5" s="223" t="s">
        <v>60</v>
      </c>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row>
    <row r="6" spans="1:34" x14ac:dyDescent="0.3">
      <c r="A6" s="223" t="s">
        <v>86</v>
      </c>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row>
    <row r="7" spans="1:34" x14ac:dyDescent="0.3">
      <c r="A7" s="223" t="s">
        <v>23</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row>
    <row r="8" spans="1:34" x14ac:dyDescent="0.3">
      <c r="A8" s="223" t="s">
        <v>24</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row>
    <row r="9" spans="1:34" x14ac:dyDescent="0.3">
      <c r="A9" s="223" t="s">
        <v>25</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row>
    <row r="10" spans="1:34" x14ac:dyDescent="0.3">
      <c r="A10" s="223" t="s">
        <v>711</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row>
    <row r="11" spans="1:34" x14ac:dyDescent="0.3">
      <c r="A11" s="223" t="s">
        <v>5</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row>
    <row r="12" spans="1:34" x14ac:dyDescent="0.3">
      <c r="A12" s="223" t="s">
        <v>5</v>
      </c>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row>
    <row r="13" spans="1:34" x14ac:dyDescent="0.3">
      <c r="A13" s="223" t="s">
        <v>5</v>
      </c>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row>
    <row r="14" spans="1:34" x14ac:dyDescent="0.3">
      <c r="K14" s="224"/>
      <c r="L14" s="14"/>
      <c r="M14" s="14"/>
    </row>
    <row r="15" spans="1:34" x14ac:dyDescent="0.3">
      <c r="C15" s="224" t="s">
        <v>29</v>
      </c>
      <c r="D15" s="14"/>
      <c r="E15" s="14"/>
      <c r="G15" s="224" t="s">
        <v>35</v>
      </c>
      <c r="H15" s="14"/>
      <c r="I15" s="14"/>
      <c r="K15" s="224" t="s">
        <v>74</v>
      </c>
      <c r="L15" s="14"/>
      <c r="M15" s="14"/>
    </row>
    <row r="16" spans="1:34" x14ac:dyDescent="0.3">
      <c r="C16" s="225" t="s">
        <v>50</v>
      </c>
      <c r="D16" s="15"/>
      <c r="E16" s="15"/>
      <c r="G16" s="225" t="s">
        <v>50</v>
      </c>
      <c r="H16" s="15"/>
      <c r="I16" s="15"/>
      <c r="K16" s="225" t="s">
        <v>75</v>
      </c>
      <c r="L16" s="15"/>
      <c r="M16" s="15"/>
      <c r="O16" s="226" t="s">
        <v>26</v>
      </c>
      <c r="S16" s="226" t="s">
        <v>14</v>
      </c>
      <c r="AC16" s="226" t="s">
        <v>26</v>
      </c>
      <c r="AE16" s="226" t="s">
        <v>27</v>
      </c>
      <c r="AG16" s="9" t="s">
        <v>14</v>
      </c>
      <c r="AH16" s="9"/>
    </row>
    <row r="17" spans="1:34" x14ac:dyDescent="0.3">
      <c r="E17" s="226" t="s">
        <v>28</v>
      </c>
      <c r="I17" s="226" t="s">
        <v>28</v>
      </c>
      <c r="M17" s="226" t="s">
        <v>28</v>
      </c>
      <c r="O17" s="226" t="s">
        <v>29</v>
      </c>
      <c r="S17" s="226" t="s">
        <v>31</v>
      </c>
      <c r="U17" s="226" t="s">
        <v>32</v>
      </c>
      <c r="W17" s="226" t="s">
        <v>33</v>
      </c>
      <c r="Y17" s="226" t="s">
        <v>34</v>
      </c>
      <c r="AC17" s="226" t="s">
        <v>35</v>
      </c>
      <c r="AE17" s="226" t="s">
        <v>36</v>
      </c>
      <c r="AG17" s="9" t="s">
        <v>31</v>
      </c>
      <c r="AH17" s="9"/>
    </row>
    <row r="18" spans="1:34" x14ac:dyDescent="0.3">
      <c r="C18" s="226" t="s">
        <v>37</v>
      </c>
      <c r="E18" s="226" t="s">
        <v>38</v>
      </c>
      <c r="G18" s="226" t="s">
        <v>37</v>
      </c>
      <c r="I18" s="226" t="s">
        <v>38</v>
      </c>
      <c r="K18" s="226" t="s">
        <v>37</v>
      </c>
      <c r="M18" s="226" t="s">
        <v>38</v>
      </c>
      <c r="O18" s="226" t="s">
        <v>39</v>
      </c>
      <c r="Q18" s="226" t="s">
        <v>712</v>
      </c>
      <c r="S18" s="226" t="s">
        <v>30</v>
      </c>
      <c r="U18" s="226" t="s">
        <v>40</v>
      </c>
      <c r="W18" s="226" t="s">
        <v>41</v>
      </c>
      <c r="Y18" s="226" t="s">
        <v>76</v>
      </c>
      <c r="AA18" s="226" t="s">
        <v>42</v>
      </c>
      <c r="AC18" s="226" t="s">
        <v>39</v>
      </c>
      <c r="AE18" s="226" t="s">
        <v>43</v>
      </c>
      <c r="AG18" s="9" t="s">
        <v>30</v>
      </c>
      <c r="AH18" s="9" t="s">
        <v>42</v>
      </c>
    </row>
    <row r="19" spans="1:34" ht="17.25" customHeight="1" x14ac:dyDescent="0.3">
      <c r="A19" s="227" t="s">
        <v>1</v>
      </c>
      <c r="C19" s="227" t="s">
        <v>715</v>
      </c>
      <c r="E19" s="227" t="s">
        <v>716</v>
      </c>
      <c r="G19" s="227" t="s">
        <v>715</v>
      </c>
      <c r="I19" s="227" t="s">
        <v>716</v>
      </c>
      <c r="K19" s="227" t="s">
        <v>44</v>
      </c>
      <c r="M19" s="227" t="s">
        <v>717</v>
      </c>
      <c r="O19" s="227" t="s">
        <v>720</v>
      </c>
      <c r="Q19" s="227" t="s">
        <v>720</v>
      </c>
      <c r="S19" s="227" t="s">
        <v>720</v>
      </c>
      <c r="U19" s="227" t="s">
        <v>720</v>
      </c>
      <c r="W19" s="227" t="s">
        <v>720</v>
      </c>
      <c r="Y19" s="227" t="s">
        <v>720</v>
      </c>
      <c r="AA19" s="227" t="s">
        <v>720</v>
      </c>
      <c r="AC19" s="227" t="s">
        <v>720</v>
      </c>
      <c r="AE19" s="227" t="s">
        <v>720</v>
      </c>
      <c r="AG19" s="10" t="s">
        <v>69</v>
      </c>
      <c r="AH19" s="10" t="s">
        <v>69</v>
      </c>
    </row>
    <row r="20" spans="1:34" ht="15" customHeight="1" x14ac:dyDescent="0.3">
      <c r="AG20" s="8"/>
      <c r="AH20" s="8"/>
    </row>
    <row r="21" spans="1:34" ht="15" customHeight="1" x14ac:dyDescent="0.3">
      <c r="A21" s="16">
        <v>2024</v>
      </c>
      <c r="C21" s="17">
        <v>6102</v>
      </c>
      <c r="E21" s="17">
        <v>0</v>
      </c>
      <c r="G21" s="17">
        <v>6102</v>
      </c>
      <c r="I21" s="17">
        <v>0</v>
      </c>
      <c r="K21" s="18">
        <v>58</v>
      </c>
      <c r="M21" s="18">
        <v>0</v>
      </c>
      <c r="O21" s="17">
        <v>353953</v>
      </c>
      <c r="Q21" s="17">
        <v>0</v>
      </c>
      <c r="S21" s="17">
        <v>23094</v>
      </c>
      <c r="U21" s="17">
        <v>87000</v>
      </c>
      <c r="W21" s="17">
        <v>32500</v>
      </c>
      <c r="Y21" s="17">
        <v>0</v>
      </c>
      <c r="AA21" s="17">
        <v>0</v>
      </c>
      <c r="AC21" s="17">
        <v>211359</v>
      </c>
      <c r="AE21" s="17">
        <v>200342</v>
      </c>
      <c r="AG21" s="13">
        <f t="shared" ref="AG21:AG57" si="0">IFERROR(S21/O21,0)</f>
        <v>6.5245950733571978E-2</v>
      </c>
      <c r="AH21" s="13">
        <f t="shared" ref="AH21:AH57" si="1">IFERROR(AA21/O21,0)</f>
        <v>0</v>
      </c>
    </row>
    <row r="22" spans="1:34" ht="15" customHeight="1" x14ac:dyDescent="0.3">
      <c r="A22" s="16">
        <v>2025</v>
      </c>
      <c r="C22" s="17">
        <v>7456</v>
      </c>
      <c r="E22" s="17">
        <v>0</v>
      </c>
      <c r="G22" s="17">
        <v>7456</v>
      </c>
      <c r="I22" s="17">
        <v>0</v>
      </c>
      <c r="K22" s="18">
        <v>58</v>
      </c>
      <c r="M22" s="18">
        <v>0</v>
      </c>
      <c r="O22" s="17">
        <v>432441</v>
      </c>
      <c r="Q22" s="17">
        <v>0</v>
      </c>
      <c r="S22" s="17">
        <v>25830</v>
      </c>
      <c r="U22" s="17">
        <v>87000</v>
      </c>
      <c r="W22" s="17">
        <v>53000</v>
      </c>
      <c r="Y22" s="17">
        <v>0</v>
      </c>
      <c r="AA22" s="17">
        <v>286</v>
      </c>
      <c r="AC22" s="17">
        <v>266325</v>
      </c>
      <c r="AE22" s="17">
        <v>228514</v>
      </c>
      <c r="AG22" s="13">
        <f t="shared" si="0"/>
        <v>5.9730691585672957E-2</v>
      </c>
      <c r="AH22" s="13">
        <f t="shared" si="1"/>
        <v>6.6136189676742026E-4</v>
      </c>
    </row>
    <row r="23" spans="1:34" ht="15" customHeight="1" x14ac:dyDescent="0.3">
      <c r="A23" s="16">
        <v>2026</v>
      </c>
      <c r="C23" s="17">
        <v>7760</v>
      </c>
      <c r="E23" s="17">
        <v>0</v>
      </c>
      <c r="G23" s="17">
        <v>7760</v>
      </c>
      <c r="I23" s="17">
        <v>0</v>
      </c>
      <c r="K23" s="18">
        <v>58</v>
      </c>
      <c r="M23" s="18">
        <v>0</v>
      </c>
      <c r="O23" s="17">
        <v>449984</v>
      </c>
      <c r="Q23" s="17">
        <v>0</v>
      </c>
      <c r="S23" s="17">
        <v>26041</v>
      </c>
      <c r="U23" s="17">
        <v>87000</v>
      </c>
      <c r="W23" s="17">
        <v>78500</v>
      </c>
      <c r="Y23" s="17">
        <v>0</v>
      </c>
      <c r="AA23" s="17">
        <v>1276</v>
      </c>
      <c r="AC23" s="17">
        <v>257166</v>
      </c>
      <c r="AE23" s="17">
        <v>199741</v>
      </c>
      <c r="AG23" s="13">
        <f t="shared" si="0"/>
        <v>5.7870946522543022E-2</v>
      </c>
      <c r="AH23" s="13">
        <f t="shared" si="1"/>
        <v>2.8356563788934719E-3</v>
      </c>
    </row>
    <row r="24" spans="1:34" ht="15" customHeight="1" x14ac:dyDescent="0.3">
      <c r="A24" s="16">
        <v>2027</v>
      </c>
      <c r="C24" s="17">
        <v>8092</v>
      </c>
      <c r="E24" s="17">
        <v>0</v>
      </c>
      <c r="G24" s="17">
        <v>8092</v>
      </c>
      <c r="I24" s="17">
        <v>0</v>
      </c>
      <c r="K24" s="18">
        <v>58</v>
      </c>
      <c r="M24" s="18">
        <v>0</v>
      </c>
      <c r="O24" s="17">
        <v>469586</v>
      </c>
      <c r="Q24" s="17">
        <v>0</v>
      </c>
      <c r="S24" s="17">
        <v>26443</v>
      </c>
      <c r="U24" s="17">
        <v>87000</v>
      </c>
      <c r="W24" s="17">
        <v>15500</v>
      </c>
      <c r="Y24" s="17">
        <v>0</v>
      </c>
      <c r="AA24" s="17">
        <v>2358</v>
      </c>
      <c r="AC24" s="17">
        <v>338286</v>
      </c>
      <c r="AE24" s="17">
        <v>237841</v>
      </c>
      <c r="AG24" s="13">
        <f t="shared" si="0"/>
        <v>5.6311303999693349E-2</v>
      </c>
      <c r="AH24" s="13">
        <f t="shared" si="1"/>
        <v>5.0214444212561705E-3</v>
      </c>
    </row>
    <row r="25" spans="1:34" ht="15" customHeight="1" x14ac:dyDescent="0.3">
      <c r="A25" s="16">
        <v>2028</v>
      </c>
      <c r="C25" s="17">
        <v>7439</v>
      </c>
      <c r="E25" s="17">
        <v>0</v>
      </c>
      <c r="G25" s="17">
        <v>7439</v>
      </c>
      <c r="I25" s="17">
        <v>0</v>
      </c>
      <c r="K25" s="18">
        <v>58</v>
      </c>
      <c r="M25" s="18">
        <v>0</v>
      </c>
      <c r="O25" s="17">
        <v>431298</v>
      </c>
      <c r="Q25" s="17">
        <v>0</v>
      </c>
      <c r="S25" s="17">
        <v>24444</v>
      </c>
      <c r="U25" s="17">
        <v>87000</v>
      </c>
      <c r="W25" s="17">
        <v>15500</v>
      </c>
      <c r="Y25" s="17">
        <v>0</v>
      </c>
      <c r="AA25" s="17">
        <v>172</v>
      </c>
      <c r="AC25" s="17">
        <v>304181</v>
      </c>
      <c r="AE25" s="17">
        <v>193591</v>
      </c>
      <c r="AG25" s="13">
        <f t="shared" si="0"/>
        <v>5.667543090855974E-2</v>
      </c>
      <c r="AH25" s="13">
        <f t="shared" si="1"/>
        <v>3.9879619196008328E-4</v>
      </c>
    </row>
    <row r="26" spans="1:34" ht="21" customHeight="1" x14ac:dyDescent="0.3">
      <c r="A26" s="16">
        <v>2029</v>
      </c>
      <c r="C26" s="17">
        <v>6799</v>
      </c>
      <c r="E26" s="17">
        <v>0</v>
      </c>
      <c r="G26" s="17">
        <v>6799</v>
      </c>
      <c r="I26" s="17">
        <v>0</v>
      </c>
      <c r="K26" s="18">
        <v>58</v>
      </c>
      <c r="M26" s="18">
        <v>0</v>
      </c>
      <c r="O26" s="17">
        <v>394584</v>
      </c>
      <c r="Q26" s="17">
        <v>0</v>
      </c>
      <c r="S26" s="17">
        <v>22580</v>
      </c>
      <c r="U26" s="17">
        <v>87000</v>
      </c>
      <c r="W26" s="17">
        <v>15500</v>
      </c>
      <c r="Y26" s="17">
        <v>0</v>
      </c>
      <c r="AA26" s="17">
        <v>0</v>
      </c>
      <c r="AC26" s="17">
        <v>269505</v>
      </c>
      <c r="AE26" s="17">
        <v>155264</v>
      </c>
      <c r="AG26" s="13">
        <f t="shared" si="0"/>
        <v>5.7224824118565373E-2</v>
      </c>
      <c r="AH26" s="13">
        <f t="shared" si="1"/>
        <v>0</v>
      </c>
    </row>
    <row r="27" spans="1:34" ht="15" customHeight="1" x14ac:dyDescent="0.3">
      <c r="A27" s="16">
        <v>2030</v>
      </c>
      <c r="C27" s="17">
        <v>6258</v>
      </c>
      <c r="E27" s="17">
        <v>0</v>
      </c>
      <c r="G27" s="17">
        <v>6258</v>
      </c>
      <c r="I27" s="17">
        <v>0</v>
      </c>
      <c r="K27" s="18">
        <v>58</v>
      </c>
      <c r="M27" s="18">
        <v>0</v>
      </c>
      <c r="O27" s="17">
        <v>362564</v>
      </c>
      <c r="Q27" s="17">
        <v>0</v>
      </c>
      <c r="S27" s="17">
        <v>20922</v>
      </c>
      <c r="U27" s="17">
        <v>87000</v>
      </c>
      <c r="W27" s="17">
        <v>15500</v>
      </c>
      <c r="Y27" s="17">
        <v>0</v>
      </c>
      <c r="AA27" s="17">
        <v>0</v>
      </c>
      <c r="AC27" s="17">
        <v>239142</v>
      </c>
      <c r="AE27" s="17">
        <v>124713</v>
      </c>
      <c r="AG27" s="13">
        <f t="shared" si="0"/>
        <v>5.7705674032722497E-2</v>
      </c>
      <c r="AH27" s="13">
        <f t="shared" si="1"/>
        <v>0</v>
      </c>
    </row>
    <row r="28" spans="1:34" ht="15" customHeight="1" x14ac:dyDescent="0.3">
      <c r="A28" s="16">
        <v>2031</v>
      </c>
      <c r="C28" s="17">
        <v>5748</v>
      </c>
      <c r="E28" s="17">
        <v>0</v>
      </c>
      <c r="G28" s="17">
        <v>5748</v>
      </c>
      <c r="I28" s="17">
        <v>0</v>
      </c>
      <c r="K28" s="18">
        <v>58</v>
      </c>
      <c r="M28" s="18">
        <v>0</v>
      </c>
      <c r="O28" s="17">
        <v>333616</v>
      </c>
      <c r="Q28" s="17">
        <v>0</v>
      </c>
      <c r="S28" s="17">
        <v>19444</v>
      </c>
      <c r="U28" s="17">
        <v>87000</v>
      </c>
      <c r="W28" s="17">
        <v>15500</v>
      </c>
      <c r="Y28" s="17">
        <v>0</v>
      </c>
      <c r="AA28" s="17">
        <v>0</v>
      </c>
      <c r="AC28" s="17">
        <v>211671</v>
      </c>
      <c r="AE28" s="17">
        <v>99923</v>
      </c>
      <c r="AG28" s="13">
        <f t="shared" si="0"/>
        <v>5.8282576375233805E-2</v>
      </c>
      <c r="AH28" s="13">
        <f t="shared" si="1"/>
        <v>0</v>
      </c>
    </row>
    <row r="29" spans="1:34" ht="15" customHeight="1" x14ac:dyDescent="0.3">
      <c r="A29" s="16">
        <v>2032</v>
      </c>
      <c r="C29" s="17">
        <v>5316</v>
      </c>
      <c r="E29" s="17">
        <v>0</v>
      </c>
      <c r="G29" s="17">
        <v>5316</v>
      </c>
      <c r="I29" s="17">
        <v>0</v>
      </c>
      <c r="K29" s="18">
        <v>58</v>
      </c>
      <c r="M29" s="18">
        <v>0</v>
      </c>
      <c r="O29" s="17">
        <v>308207</v>
      </c>
      <c r="Q29" s="17">
        <v>0</v>
      </c>
      <c r="S29" s="17">
        <v>18145</v>
      </c>
      <c r="U29" s="17">
        <v>87000</v>
      </c>
      <c r="W29" s="17">
        <v>15500</v>
      </c>
      <c r="Y29" s="17">
        <v>0</v>
      </c>
      <c r="AA29" s="17">
        <v>0</v>
      </c>
      <c r="AC29" s="17">
        <v>187563</v>
      </c>
      <c r="AE29" s="17">
        <v>80150</v>
      </c>
      <c r="AG29" s="13">
        <f t="shared" si="0"/>
        <v>5.8872770573023973E-2</v>
      </c>
      <c r="AH29" s="13">
        <f t="shared" si="1"/>
        <v>0</v>
      </c>
    </row>
    <row r="30" spans="1:34" ht="15" customHeight="1" x14ac:dyDescent="0.3">
      <c r="A30" s="16">
        <v>2033</v>
      </c>
      <c r="C30" s="17">
        <v>4884</v>
      </c>
      <c r="E30" s="17">
        <v>0</v>
      </c>
      <c r="G30" s="17">
        <v>4884</v>
      </c>
      <c r="I30" s="17">
        <v>0</v>
      </c>
      <c r="K30" s="18">
        <v>58</v>
      </c>
      <c r="M30" s="18">
        <v>0</v>
      </c>
      <c r="O30" s="17">
        <v>283553</v>
      </c>
      <c r="Q30" s="17">
        <v>0</v>
      </c>
      <c r="S30" s="17">
        <v>16912</v>
      </c>
      <c r="U30" s="17">
        <v>87000</v>
      </c>
      <c r="W30" s="17">
        <v>15500</v>
      </c>
      <c r="Y30" s="17">
        <v>0</v>
      </c>
      <c r="AA30" s="17">
        <v>0</v>
      </c>
      <c r="AC30" s="17">
        <v>164141</v>
      </c>
      <c r="AE30" s="17">
        <v>63492</v>
      </c>
      <c r="AG30" s="13">
        <f t="shared" si="0"/>
        <v>5.9643170765253765E-2</v>
      </c>
      <c r="AH30" s="13">
        <f t="shared" si="1"/>
        <v>0</v>
      </c>
    </row>
    <row r="31" spans="1:34" ht="21" customHeight="1" x14ac:dyDescent="0.3">
      <c r="A31" s="16">
        <v>2034</v>
      </c>
      <c r="C31" s="17">
        <v>4522</v>
      </c>
      <c r="E31" s="17">
        <v>0</v>
      </c>
      <c r="G31" s="17">
        <v>4522</v>
      </c>
      <c r="I31" s="17">
        <v>0</v>
      </c>
      <c r="K31" s="18">
        <v>58</v>
      </c>
      <c r="M31" s="18">
        <v>0</v>
      </c>
      <c r="O31" s="17">
        <v>261952</v>
      </c>
      <c r="Q31" s="17">
        <v>0</v>
      </c>
      <c r="S31" s="17">
        <v>15550</v>
      </c>
      <c r="U31" s="17">
        <v>87000</v>
      </c>
      <c r="W31" s="17">
        <v>15500</v>
      </c>
      <c r="Y31" s="17">
        <v>0</v>
      </c>
      <c r="AA31" s="17">
        <v>0</v>
      </c>
      <c r="AC31" s="17">
        <v>143901</v>
      </c>
      <c r="AE31" s="17">
        <v>50388</v>
      </c>
      <c r="AG31" s="13">
        <f t="shared" si="0"/>
        <v>5.9362020522843881E-2</v>
      </c>
      <c r="AH31" s="13">
        <f t="shared" si="1"/>
        <v>0</v>
      </c>
    </row>
    <row r="32" spans="1:34" ht="15" customHeight="1" x14ac:dyDescent="0.3">
      <c r="A32" s="16">
        <v>2035</v>
      </c>
      <c r="C32" s="17">
        <v>4178</v>
      </c>
      <c r="E32" s="17">
        <v>0</v>
      </c>
      <c r="G32" s="17">
        <v>4178</v>
      </c>
      <c r="I32" s="17">
        <v>0</v>
      </c>
      <c r="K32" s="18">
        <v>58</v>
      </c>
      <c r="M32" s="18">
        <v>0</v>
      </c>
      <c r="O32" s="17">
        <v>242296</v>
      </c>
      <c r="Q32" s="17">
        <v>0</v>
      </c>
      <c r="S32" s="17">
        <v>20596</v>
      </c>
      <c r="U32" s="17">
        <v>87000</v>
      </c>
      <c r="W32" s="17">
        <v>15500</v>
      </c>
      <c r="Y32" s="17">
        <v>0</v>
      </c>
      <c r="AA32" s="17">
        <v>0</v>
      </c>
      <c r="AC32" s="17">
        <v>119201</v>
      </c>
      <c r="AE32" s="17">
        <v>37782</v>
      </c>
      <c r="AG32" s="13">
        <f t="shared" si="0"/>
        <v>8.5003466833955169E-2</v>
      </c>
      <c r="AH32" s="13">
        <f t="shared" si="1"/>
        <v>0</v>
      </c>
    </row>
    <row r="33" spans="1:34" ht="15" customHeight="1" x14ac:dyDescent="0.3">
      <c r="A33" s="16">
        <v>2036</v>
      </c>
      <c r="C33" s="17">
        <v>3873</v>
      </c>
      <c r="E33" s="17">
        <v>0</v>
      </c>
      <c r="G33" s="17">
        <v>3873</v>
      </c>
      <c r="I33" s="17">
        <v>0</v>
      </c>
      <c r="K33" s="18">
        <v>58</v>
      </c>
      <c r="M33" s="18">
        <v>0</v>
      </c>
      <c r="O33" s="17">
        <v>224979</v>
      </c>
      <c r="Q33" s="17">
        <v>0</v>
      </c>
      <c r="S33" s="17">
        <v>19123</v>
      </c>
      <c r="U33" s="17">
        <v>87000</v>
      </c>
      <c r="W33" s="17">
        <v>15500</v>
      </c>
      <c r="Y33" s="17">
        <v>0</v>
      </c>
      <c r="AA33" s="17">
        <v>0</v>
      </c>
      <c r="AC33" s="17">
        <v>103356</v>
      </c>
      <c r="AE33" s="17">
        <v>29655</v>
      </c>
      <c r="AG33" s="13">
        <f t="shared" si="0"/>
        <v>8.4999044355250936E-2</v>
      </c>
      <c r="AH33" s="13">
        <f t="shared" si="1"/>
        <v>0</v>
      </c>
    </row>
    <row r="34" spans="1:34" ht="15" customHeight="1" x14ac:dyDescent="0.3">
      <c r="A34" s="16">
        <v>2037</v>
      </c>
      <c r="C34" s="17">
        <v>3585</v>
      </c>
      <c r="E34" s="17">
        <v>0</v>
      </c>
      <c r="G34" s="17">
        <v>3585</v>
      </c>
      <c r="I34" s="17">
        <v>0</v>
      </c>
      <c r="K34" s="18">
        <v>58</v>
      </c>
      <c r="M34" s="18">
        <v>0</v>
      </c>
      <c r="O34" s="17">
        <v>208007</v>
      </c>
      <c r="Q34" s="17">
        <v>0</v>
      </c>
      <c r="S34" s="17">
        <v>17680</v>
      </c>
      <c r="U34" s="17">
        <v>87000</v>
      </c>
      <c r="W34" s="17">
        <v>15500</v>
      </c>
      <c r="Y34" s="17">
        <v>0</v>
      </c>
      <c r="AA34" s="17">
        <v>0</v>
      </c>
      <c r="AC34" s="17">
        <v>87826</v>
      </c>
      <c r="AE34" s="17">
        <v>22810</v>
      </c>
      <c r="AG34" s="13">
        <f t="shared" si="0"/>
        <v>8.4997139519343096E-2</v>
      </c>
      <c r="AH34" s="13">
        <f t="shared" si="1"/>
        <v>0</v>
      </c>
    </row>
    <row r="35" spans="1:34" ht="15" customHeight="1" x14ac:dyDescent="0.3">
      <c r="A35" s="16">
        <v>2038</v>
      </c>
      <c r="C35" s="17">
        <v>3329</v>
      </c>
      <c r="E35" s="17">
        <v>0</v>
      </c>
      <c r="G35" s="17">
        <v>3329</v>
      </c>
      <c r="I35" s="17">
        <v>0</v>
      </c>
      <c r="K35" s="18">
        <v>58</v>
      </c>
      <c r="M35" s="18">
        <v>0</v>
      </c>
      <c r="O35" s="17">
        <v>193086</v>
      </c>
      <c r="Q35" s="17">
        <v>0</v>
      </c>
      <c r="S35" s="17">
        <v>16413</v>
      </c>
      <c r="U35" s="17">
        <v>87000</v>
      </c>
      <c r="W35" s="17">
        <v>15500</v>
      </c>
      <c r="Y35" s="17">
        <v>0</v>
      </c>
      <c r="AA35" s="17">
        <v>0</v>
      </c>
      <c r="AC35" s="17">
        <v>74174</v>
      </c>
      <c r="AE35" s="17">
        <v>17438</v>
      </c>
      <c r="AG35" s="13">
        <f t="shared" si="0"/>
        <v>8.5003573537180327E-2</v>
      </c>
      <c r="AH35" s="13">
        <f t="shared" si="1"/>
        <v>0</v>
      </c>
    </row>
    <row r="36" spans="1:34" ht="21" customHeight="1" x14ac:dyDescent="0.3">
      <c r="A36" s="16">
        <v>2039</v>
      </c>
      <c r="C36" s="17">
        <v>3097</v>
      </c>
      <c r="E36" s="17">
        <v>0</v>
      </c>
      <c r="G36" s="17">
        <v>3097</v>
      </c>
      <c r="I36" s="17">
        <v>0</v>
      </c>
      <c r="K36" s="18">
        <v>58</v>
      </c>
      <c r="M36" s="18">
        <v>0</v>
      </c>
      <c r="O36" s="17">
        <v>179439</v>
      </c>
      <c r="Q36" s="17">
        <v>0</v>
      </c>
      <c r="S36" s="17">
        <v>15252</v>
      </c>
      <c r="U36" s="17">
        <v>87000</v>
      </c>
      <c r="W36" s="17">
        <v>15500</v>
      </c>
      <c r="Y36" s="17">
        <v>0</v>
      </c>
      <c r="AA36" s="17">
        <v>0</v>
      </c>
      <c r="AC36" s="17">
        <v>61686</v>
      </c>
      <c r="AE36" s="17">
        <v>13128</v>
      </c>
      <c r="AG36" s="13">
        <f t="shared" si="0"/>
        <v>8.4998244528781366E-2</v>
      </c>
      <c r="AH36" s="13">
        <f t="shared" si="1"/>
        <v>0</v>
      </c>
    </row>
    <row r="37" spans="1:34" ht="15" customHeight="1" x14ac:dyDescent="0.3">
      <c r="A37" s="16">
        <v>2040</v>
      </c>
      <c r="C37" s="17">
        <v>2887</v>
      </c>
      <c r="E37" s="17">
        <v>0</v>
      </c>
      <c r="G37" s="17">
        <v>2887</v>
      </c>
      <c r="I37" s="17">
        <v>0</v>
      </c>
      <c r="K37" s="18">
        <v>58</v>
      </c>
      <c r="M37" s="18">
        <v>0</v>
      </c>
      <c r="O37" s="17">
        <v>167384</v>
      </c>
      <c r="Q37" s="17">
        <v>0</v>
      </c>
      <c r="S37" s="17">
        <v>14228</v>
      </c>
      <c r="U37" s="17">
        <v>87000</v>
      </c>
      <c r="W37" s="17">
        <v>15500</v>
      </c>
      <c r="Y37" s="17">
        <v>0</v>
      </c>
      <c r="AA37" s="17">
        <v>0</v>
      </c>
      <c r="AC37" s="17">
        <v>50657</v>
      </c>
      <c r="AE37" s="17">
        <v>9759</v>
      </c>
      <c r="AG37" s="13">
        <f t="shared" si="0"/>
        <v>8.5002150743201263E-2</v>
      </c>
      <c r="AH37" s="13">
        <f t="shared" si="1"/>
        <v>0</v>
      </c>
    </row>
    <row r="38" spans="1:34" ht="15" customHeight="1" x14ac:dyDescent="0.3">
      <c r="A38" s="16">
        <v>2041</v>
      </c>
      <c r="C38" s="17">
        <v>2684</v>
      </c>
      <c r="E38" s="17">
        <v>0</v>
      </c>
      <c r="G38" s="17">
        <v>2684</v>
      </c>
      <c r="I38" s="17">
        <v>0</v>
      </c>
      <c r="K38" s="18">
        <v>58</v>
      </c>
      <c r="M38" s="18">
        <v>0</v>
      </c>
      <c r="O38" s="17">
        <v>155458</v>
      </c>
      <c r="Q38" s="17">
        <v>0</v>
      </c>
      <c r="S38" s="17">
        <v>13214</v>
      </c>
      <c r="U38" s="17">
        <v>87000</v>
      </c>
      <c r="W38" s="17">
        <v>15500</v>
      </c>
      <c r="Y38" s="17">
        <v>0</v>
      </c>
      <c r="AA38" s="17">
        <v>0</v>
      </c>
      <c r="AC38" s="17">
        <v>39744</v>
      </c>
      <c r="AE38" s="17">
        <v>6931</v>
      </c>
      <c r="AG38" s="13">
        <f t="shared" si="0"/>
        <v>8.5000450282391379E-2</v>
      </c>
      <c r="AH38" s="13">
        <f t="shared" si="1"/>
        <v>0</v>
      </c>
    </row>
    <row r="39" spans="1:34" ht="15" customHeight="1" x14ac:dyDescent="0.3">
      <c r="A39" s="16">
        <v>2042</v>
      </c>
      <c r="C39" s="17">
        <v>2497</v>
      </c>
      <c r="E39" s="17">
        <v>0</v>
      </c>
      <c r="G39" s="17">
        <v>2497</v>
      </c>
      <c r="I39" s="17">
        <v>0</v>
      </c>
      <c r="K39" s="18">
        <v>58</v>
      </c>
      <c r="M39" s="18">
        <v>0</v>
      </c>
      <c r="O39" s="17">
        <v>144947</v>
      </c>
      <c r="Q39" s="17">
        <v>0</v>
      </c>
      <c r="S39" s="17">
        <v>12320</v>
      </c>
      <c r="U39" s="17">
        <v>87000</v>
      </c>
      <c r="W39" s="17">
        <v>15500</v>
      </c>
      <c r="Y39" s="17">
        <v>0</v>
      </c>
      <c r="AA39" s="17">
        <v>0</v>
      </c>
      <c r="AC39" s="17">
        <v>30127</v>
      </c>
      <c r="AE39" s="17">
        <v>4756</v>
      </c>
      <c r="AG39" s="13">
        <f t="shared" si="0"/>
        <v>8.4996584958640056E-2</v>
      </c>
      <c r="AH39" s="13">
        <f t="shared" si="1"/>
        <v>0</v>
      </c>
    </row>
    <row r="40" spans="1:34" ht="15" customHeight="1" x14ac:dyDescent="0.3">
      <c r="A40" s="16">
        <v>2043</v>
      </c>
      <c r="C40" s="17">
        <v>2329</v>
      </c>
      <c r="E40" s="17">
        <v>0</v>
      </c>
      <c r="G40" s="17">
        <v>2329</v>
      </c>
      <c r="I40" s="17">
        <v>0</v>
      </c>
      <c r="K40" s="18">
        <v>58</v>
      </c>
      <c r="M40" s="18">
        <v>0</v>
      </c>
      <c r="O40" s="17">
        <v>134875</v>
      </c>
      <c r="Q40" s="17">
        <v>0</v>
      </c>
      <c r="S40" s="17">
        <v>11464</v>
      </c>
      <c r="U40" s="17">
        <v>87000</v>
      </c>
      <c r="W40" s="17">
        <v>15500</v>
      </c>
      <c r="Y40" s="17">
        <v>0</v>
      </c>
      <c r="AA40" s="17">
        <v>0</v>
      </c>
      <c r="AC40" s="17">
        <v>20910</v>
      </c>
      <c r="AE40" s="17">
        <v>2988</v>
      </c>
      <c r="AG40" s="13">
        <f t="shared" si="0"/>
        <v>8.4997219647822059E-2</v>
      </c>
      <c r="AH40" s="13">
        <f t="shared" si="1"/>
        <v>0</v>
      </c>
    </row>
    <row r="41" spans="1:34" ht="21" customHeight="1" x14ac:dyDescent="0.3">
      <c r="A41" s="16">
        <v>2044</v>
      </c>
      <c r="C41" s="17">
        <v>2177</v>
      </c>
      <c r="E41" s="17">
        <v>0</v>
      </c>
      <c r="G41" s="17">
        <v>2177</v>
      </c>
      <c r="I41" s="17">
        <v>0</v>
      </c>
      <c r="K41" s="18">
        <v>58</v>
      </c>
      <c r="M41" s="18">
        <v>0</v>
      </c>
      <c r="O41" s="17">
        <v>126125</v>
      </c>
      <c r="Q41" s="17">
        <v>0</v>
      </c>
      <c r="S41" s="17">
        <v>10721</v>
      </c>
      <c r="U41" s="17">
        <v>87000</v>
      </c>
      <c r="W41" s="17">
        <v>15500</v>
      </c>
      <c r="Y41" s="17">
        <v>0</v>
      </c>
      <c r="AA41" s="17">
        <v>0</v>
      </c>
      <c r="AC41" s="17">
        <v>12904</v>
      </c>
      <c r="AE41" s="17">
        <v>1669</v>
      </c>
      <c r="AG41" s="13">
        <f t="shared" si="0"/>
        <v>8.5002973240832502E-2</v>
      </c>
      <c r="AH41" s="13">
        <f t="shared" si="1"/>
        <v>0</v>
      </c>
    </row>
    <row r="42" spans="1:34" ht="15" customHeight="1" x14ac:dyDescent="0.3">
      <c r="A42" s="16">
        <v>2045</v>
      </c>
      <c r="C42" s="17">
        <v>2023</v>
      </c>
      <c r="E42" s="17">
        <v>0</v>
      </c>
      <c r="G42" s="17">
        <v>2023</v>
      </c>
      <c r="I42" s="17">
        <v>0</v>
      </c>
      <c r="K42" s="18">
        <v>58</v>
      </c>
      <c r="M42" s="18">
        <v>0</v>
      </c>
      <c r="O42" s="17">
        <v>117655</v>
      </c>
      <c r="Q42" s="17">
        <v>0</v>
      </c>
      <c r="S42" s="17">
        <v>10001</v>
      </c>
      <c r="U42" s="17">
        <v>87000</v>
      </c>
      <c r="W42" s="17">
        <v>15500</v>
      </c>
      <c r="Y42" s="17">
        <v>0</v>
      </c>
      <c r="AA42" s="17">
        <v>0</v>
      </c>
      <c r="AC42" s="17">
        <v>5155</v>
      </c>
      <c r="AE42" s="17">
        <v>603</v>
      </c>
      <c r="AG42" s="13">
        <f t="shared" si="0"/>
        <v>8.5002762313543839E-2</v>
      </c>
      <c r="AH42" s="13">
        <f t="shared" si="1"/>
        <v>0</v>
      </c>
    </row>
    <row r="43" spans="1:34" ht="15" customHeight="1" x14ac:dyDescent="0.3">
      <c r="A43" s="16">
        <v>2046</v>
      </c>
      <c r="C43" s="17">
        <v>1893</v>
      </c>
      <c r="E43" s="17">
        <v>0</v>
      </c>
      <c r="G43" s="17">
        <v>1893</v>
      </c>
      <c r="I43" s="17">
        <v>0</v>
      </c>
      <c r="K43" s="18">
        <v>58</v>
      </c>
      <c r="M43" s="18">
        <v>0</v>
      </c>
      <c r="O43" s="17">
        <v>109694</v>
      </c>
      <c r="Q43" s="17">
        <v>0</v>
      </c>
      <c r="S43" s="17">
        <v>9324</v>
      </c>
      <c r="U43" s="17">
        <v>87000</v>
      </c>
      <c r="W43" s="17">
        <v>0</v>
      </c>
      <c r="Y43" s="17">
        <v>0</v>
      </c>
      <c r="AA43" s="17">
        <v>0</v>
      </c>
      <c r="AC43" s="17">
        <v>13370</v>
      </c>
      <c r="AE43" s="17">
        <v>1417</v>
      </c>
      <c r="AG43" s="13">
        <f t="shared" si="0"/>
        <v>8.5000091162688932E-2</v>
      </c>
      <c r="AH43" s="13">
        <f t="shared" si="1"/>
        <v>0</v>
      </c>
    </row>
    <row r="44" spans="1:34" ht="15" customHeight="1" x14ac:dyDescent="0.3">
      <c r="A44" s="16">
        <v>2047</v>
      </c>
      <c r="C44" s="17">
        <v>1773</v>
      </c>
      <c r="E44" s="17">
        <v>0</v>
      </c>
      <c r="G44" s="17">
        <v>1773</v>
      </c>
      <c r="I44" s="17">
        <v>0</v>
      </c>
      <c r="K44" s="18">
        <v>58</v>
      </c>
      <c r="M44" s="18">
        <v>0</v>
      </c>
      <c r="O44" s="17">
        <v>102736</v>
      </c>
      <c r="Q44" s="17">
        <v>0</v>
      </c>
      <c r="S44" s="17">
        <v>8732</v>
      </c>
      <c r="U44" s="17">
        <v>87000</v>
      </c>
      <c r="W44" s="17">
        <v>0</v>
      </c>
      <c r="Y44" s="17">
        <v>0</v>
      </c>
      <c r="AA44" s="17">
        <v>0</v>
      </c>
      <c r="AC44" s="17">
        <v>7003</v>
      </c>
      <c r="AE44" s="17">
        <v>672</v>
      </c>
      <c r="AG44" s="13">
        <f t="shared" si="0"/>
        <v>8.4994549135648648E-2</v>
      </c>
      <c r="AH44" s="13">
        <f t="shared" si="1"/>
        <v>0</v>
      </c>
    </row>
    <row r="45" spans="1:34" ht="15" customHeight="1" x14ac:dyDescent="0.3">
      <c r="A45" s="16">
        <v>2048</v>
      </c>
      <c r="C45" s="17">
        <v>1661</v>
      </c>
      <c r="E45" s="17">
        <v>0</v>
      </c>
      <c r="G45" s="17">
        <v>1661</v>
      </c>
      <c r="I45" s="17">
        <v>0</v>
      </c>
      <c r="K45" s="18">
        <v>58</v>
      </c>
      <c r="M45" s="18">
        <v>0</v>
      </c>
      <c r="O45" s="17">
        <v>96259</v>
      </c>
      <c r="Q45" s="17">
        <v>0</v>
      </c>
      <c r="S45" s="17">
        <v>8182</v>
      </c>
      <c r="U45" s="17">
        <v>87000</v>
      </c>
      <c r="W45" s="17">
        <v>0</v>
      </c>
      <c r="Y45" s="17">
        <v>0</v>
      </c>
      <c r="AA45" s="17">
        <v>0</v>
      </c>
      <c r="AC45" s="17">
        <v>1077</v>
      </c>
      <c r="AE45" s="17">
        <v>94</v>
      </c>
      <c r="AG45" s="13">
        <f t="shared" si="0"/>
        <v>8.4999844170415229E-2</v>
      </c>
      <c r="AH45" s="13">
        <f t="shared" si="1"/>
        <v>0</v>
      </c>
    </row>
    <row r="46" spans="1:34" ht="21" customHeight="1" x14ac:dyDescent="0.3">
      <c r="A46" s="16">
        <v>2049</v>
      </c>
      <c r="C46" s="17">
        <v>0</v>
      </c>
      <c r="E46" s="17">
        <v>0</v>
      </c>
      <c r="G46" s="17">
        <v>0</v>
      </c>
      <c r="I46" s="17">
        <v>0</v>
      </c>
      <c r="K46" s="18">
        <v>0</v>
      </c>
      <c r="M46" s="18">
        <v>0</v>
      </c>
      <c r="O46" s="17">
        <v>0</v>
      </c>
      <c r="Q46" s="17">
        <v>0</v>
      </c>
      <c r="S46" s="17">
        <v>0</v>
      </c>
      <c r="U46" s="17">
        <v>0</v>
      </c>
      <c r="W46" s="17">
        <v>0</v>
      </c>
      <c r="Y46" s="17">
        <v>93100</v>
      </c>
      <c r="AA46" s="17">
        <v>0</v>
      </c>
      <c r="AC46" s="17">
        <v>-93100</v>
      </c>
      <c r="AE46" s="17">
        <v>-7319</v>
      </c>
      <c r="AG46" s="13">
        <f t="shared" si="0"/>
        <v>0</v>
      </c>
      <c r="AH46" s="13">
        <f t="shared" si="1"/>
        <v>0</v>
      </c>
    </row>
    <row r="47" spans="1:34" ht="15" customHeight="1" x14ac:dyDescent="0.3">
      <c r="A47" s="16">
        <v>2050</v>
      </c>
      <c r="C47" s="17">
        <v>0</v>
      </c>
      <c r="E47" s="17">
        <v>0</v>
      </c>
      <c r="G47" s="17">
        <v>0</v>
      </c>
      <c r="I47" s="17">
        <v>0</v>
      </c>
      <c r="K47" s="18">
        <v>0</v>
      </c>
      <c r="M47" s="18">
        <v>0</v>
      </c>
      <c r="O47" s="17">
        <v>0</v>
      </c>
      <c r="Q47" s="17">
        <v>0</v>
      </c>
      <c r="S47" s="17">
        <v>0</v>
      </c>
      <c r="U47" s="17">
        <v>0</v>
      </c>
      <c r="W47" s="17">
        <v>0</v>
      </c>
      <c r="Y47" s="17">
        <v>0</v>
      </c>
      <c r="AA47" s="17">
        <v>0</v>
      </c>
      <c r="AC47" s="17">
        <v>0</v>
      </c>
      <c r="AE47" s="17">
        <v>0</v>
      </c>
      <c r="AG47" s="13">
        <f t="shared" si="0"/>
        <v>0</v>
      </c>
      <c r="AH47" s="13">
        <f t="shared" si="1"/>
        <v>0</v>
      </c>
    </row>
    <row r="48" spans="1:34" ht="15" customHeight="1" x14ac:dyDescent="0.3">
      <c r="A48" s="16">
        <v>2051</v>
      </c>
      <c r="C48" s="17">
        <v>0</v>
      </c>
      <c r="E48" s="17">
        <v>0</v>
      </c>
      <c r="G48" s="17">
        <v>0</v>
      </c>
      <c r="I48" s="17">
        <v>0</v>
      </c>
      <c r="K48" s="18">
        <v>0</v>
      </c>
      <c r="M48" s="18">
        <v>0</v>
      </c>
      <c r="O48" s="17">
        <v>0</v>
      </c>
      <c r="Q48" s="17">
        <v>0</v>
      </c>
      <c r="S48" s="17">
        <v>0</v>
      </c>
      <c r="U48" s="17">
        <v>0</v>
      </c>
      <c r="W48" s="17">
        <v>0</v>
      </c>
      <c r="Y48" s="17">
        <v>0</v>
      </c>
      <c r="AA48" s="17">
        <v>0</v>
      </c>
      <c r="AC48" s="17">
        <v>0</v>
      </c>
      <c r="AE48" s="17">
        <v>0</v>
      </c>
      <c r="AG48" s="13">
        <f t="shared" si="0"/>
        <v>0</v>
      </c>
      <c r="AH48" s="13">
        <f t="shared" si="1"/>
        <v>0</v>
      </c>
    </row>
    <row r="49" spans="1:34" ht="15" customHeight="1" x14ac:dyDescent="0.3">
      <c r="A49" s="16">
        <v>2052</v>
      </c>
      <c r="C49" s="17">
        <v>0</v>
      </c>
      <c r="E49" s="17">
        <v>0</v>
      </c>
      <c r="G49" s="17">
        <v>0</v>
      </c>
      <c r="I49" s="17">
        <v>0</v>
      </c>
      <c r="K49" s="18">
        <v>0</v>
      </c>
      <c r="M49" s="18">
        <v>0</v>
      </c>
      <c r="O49" s="17">
        <v>0</v>
      </c>
      <c r="Q49" s="17">
        <v>0</v>
      </c>
      <c r="S49" s="17">
        <v>0</v>
      </c>
      <c r="U49" s="17">
        <v>0</v>
      </c>
      <c r="W49" s="17">
        <v>0</v>
      </c>
      <c r="Y49" s="17">
        <v>0</v>
      </c>
      <c r="AA49" s="17">
        <v>0</v>
      </c>
      <c r="AC49" s="17">
        <v>0</v>
      </c>
      <c r="AE49" s="17">
        <v>0</v>
      </c>
      <c r="AG49" s="13">
        <f t="shared" si="0"/>
        <v>0</v>
      </c>
      <c r="AH49" s="13">
        <f t="shared" si="1"/>
        <v>0</v>
      </c>
    </row>
    <row r="50" spans="1:34" ht="15" customHeight="1" x14ac:dyDescent="0.3">
      <c r="A50" s="16">
        <v>2053</v>
      </c>
      <c r="C50" s="17">
        <v>0</v>
      </c>
      <c r="E50" s="17">
        <v>0</v>
      </c>
      <c r="G50" s="17">
        <v>0</v>
      </c>
      <c r="I50" s="17">
        <v>0</v>
      </c>
      <c r="K50" s="18">
        <v>0</v>
      </c>
      <c r="M50" s="18">
        <v>0</v>
      </c>
      <c r="O50" s="17">
        <v>0</v>
      </c>
      <c r="Q50" s="17">
        <v>0</v>
      </c>
      <c r="S50" s="17">
        <v>0</v>
      </c>
      <c r="U50" s="17">
        <v>0</v>
      </c>
      <c r="W50" s="17">
        <v>0</v>
      </c>
      <c r="Y50" s="17">
        <v>0</v>
      </c>
      <c r="AA50" s="17">
        <v>0</v>
      </c>
      <c r="AC50" s="17">
        <v>0</v>
      </c>
      <c r="AE50" s="17">
        <v>0</v>
      </c>
      <c r="AG50" s="13">
        <f t="shared" si="0"/>
        <v>0</v>
      </c>
      <c r="AH50" s="13">
        <f t="shared" si="1"/>
        <v>0</v>
      </c>
    </row>
    <row r="51" spans="1:34" ht="21" customHeight="1" x14ac:dyDescent="0.3">
      <c r="A51" s="16">
        <v>2054</v>
      </c>
      <c r="C51" s="17">
        <v>0</v>
      </c>
      <c r="E51" s="17">
        <v>0</v>
      </c>
      <c r="G51" s="17">
        <v>0</v>
      </c>
      <c r="I51" s="17">
        <v>0</v>
      </c>
      <c r="K51" s="18">
        <v>0</v>
      </c>
      <c r="M51" s="18">
        <v>0</v>
      </c>
      <c r="O51" s="17">
        <v>0</v>
      </c>
      <c r="Q51" s="17">
        <v>0</v>
      </c>
      <c r="S51" s="17">
        <v>0</v>
      </c>
      <c r="U51" s="17">
        <v>0</v>
      </c>
      <c r="W51" s="17">
        <v>0</v>
      </c>
      <c r="Y51" s="17">
        <v>0</v>
      </c>
      <c r="AA51" s="17">
        <v>0</v>
      </c>
      <c r="AC51" s="17">
        <v>0</v>
      </c>
      <c r="AE51" s="17">
        <v>0</v>
      </c>
      <c r="AG51" s="13">
        <f t="shared" si="0"/>
        <v>0</v>
      </c>
      <c r="AH51" s="13">
        <f t="shared" si="1"/>
        <v>0</v>
      </c>
    </row>
    <row r="52" spans="1:34" ht="15" customHeight="1" x14ac:dyDescent="0.3">
      <c r="A52" s="16">
        <v>2055</v>
      </c>
      <c r="C52" s="17">
        <v>0</v>
      </c>
      <c r="E52" s="17">
        <v>0</v>
      </c>
      <c r="G52" s="17">
        <v>0</v>
      </c>
      <c r="I52" s="17">
        <v>0</v>
      </c>
      <c r="K52" s="18">
        <v>0</v>
      </c>
      <c r="M52" s="18">
        <v>0</v>
      </c>
      <c r="O52" s="17">
        <v>0</v>
      </c>
      <c r="Q52" s="17">
        <v>0</v>
      </c>
      <c r="S52" s="17">
        <v>0</v>
      </c>
      <c r="U52" s="17">
        <v>0</v>
      </c>
      <c r="W52" s="17">
        <v>0</v>
      </c>
      <c r="Y52" s="17">
        <v>0</v>
      </c>
      <c r="AA52" s="17">
        <v>0</v>
      </c>
      <c r="AC52" s="17">
        <v>0</v>
      </c>
      <c r="AE52" s="17">
        <v>0</v>
      </c>
      <c r="AG52" s="13">
        <f t="shared" si="0"/>
        <v>0</v>
      </c>
      <c r="AH52" s="13">
        <f t="shared" si="1"/>
        <v>0</v>
      </c>
    </row>
    <row r="53" spans="1:34" ht="15" customHeight="1" x14ac:dyDescent="0.3">
      <c r="A53" s="16">
        <v>2056</v>
      </c>
      <c r="C53" s="17">
        <v>0</v>
      </c>
      <c r="E53" s="17">
        <v>0</v>
      </c>
      <c r="G53" s="17">
        <v>0</v>
      </c>
      <c r="I53" s="17">
        <v>0</v>
      </c>
      <c r="K53" s="18">
        <v>0</v>
      </c>
      <c r="M53" s="18">
        <v>0</v>
      </c>
      <c r="O53" s="17">
        <v>0</v>
      </c>
      <c r="Q53" s="17">
        <v>0</v>
      </c>
      <c r="S53" s="17">
        <v>0</v>
      </c>
      <c r="U53" s="17">
        <v>0</v>
      </c>
      <c r="W53" s="17">
        <v>0</v>
      </c>
      <c r="Y53" s="17">
        <v>0</v>
      </c>
      <c r="AA53" s="17">
        <v>0</v>
      </c>
      <c r="AC53" s="17">
        <v>0</v>
      </c>
      <c r="AE53" s="17">
        <v>0</v>
      </c>
      <c r="AG53" s="13">
        <f t="shared" si="0"/>
        <v>0</v>
      </c>
      <c r="AH53" s="13">
        <f t="shared" si="1"/>
        <v>0</v>
      </c>
    </row>
    <row r="54" spans="1:34" ht="15" customHeight="1" x14ac:dyDescent="0.3">
      <c r="A54" s="16">
        <v>2057</v>
      </c>
      <c r="C54" s="17">
        <v>0</v>
      </c>
      <c r="E54" s="17">
        <v>0</v>
      </c>
      <c r="G54" s="17">
        <v>0</v>
      </c>
      <c r="I54" s="17">
        <v>0</v>
      </c>
      <c r="K54" s="18">
        <v>0</v>
      </c>
      <c r="M54" s="18">
        <v>0</v>
      </c>
      <c r="O54" s="17">
        <v>0</v>
      </c>
      <c r="Q54" s="17">
        <v>0</v>
      </c>
      <c r="S54" s="17">
        <v>0</v>
      </c>
      <c r="U54" s="17">
        <v>0</v>
      </c>
      <c r="W54" s="17">
        <v>0</v>
      </c>
      <c r="Y54" s="17">
        <v>0</v>
      </c>
      <c r="AA54" s="17">
        <v>0</v>
      </c>
      <c r="AC54" s="17">
        <v>0</v>
      </c>
      <c r="AE54" s="17">
        <v>0</v>
      </c>
      <c r="AG54" s="13">
        <f t="shared" si="0"/>
        <v>0</v>
      </c>
      <c r="AH54" s="13">
        <f t="shared" si="1"/>
        <v>0</v>
      </c>
    </row>
    <row r="55" spans="1:34" ht="15" customHeight="1" x14ac:dyDescent="0.3">
      <c r="A55" s="16">
        <v>2058</v>
      </c>
      <c r="C55" s="17">
        <v>0</v>
      </c>
      <c r="E55" s="17">
        <v>0</v>
      </c>
      <c r="G55" s="17">
        <v>0</v>
      </c>
      <c r="I55" s="17">
        <v>0</v>
      </c>
      <c r="K55" s="18">
        <v>0</v>
      </c>
      <c r="M55" s="18">
        <v>0</v>
      </c>
      <c r="O55" s="17">
        <v>0</v>
      </c>
      <c r="Q55" s="17">
        <v>0</v>
      </c>
      <c r="S55" s="17">
        <v>0</v>
      </c>
      <c r="U55" s="17">
        <v>0</v>
      </c>
      <c r="W55" s="17">
        <v>0</v>
      </c>
      <c r="Y55" s="17">
        <v>0</v>
      </c>
      <c r="AA55" s="17">
        <v>0</v>
      </c>
      <c r="AC55" s="17">
        <v>0</v>
      </c>
      <c r="AE55" s="17">
        <v>0</v>
      </c>
      <c r="AG55" s="13">
        <f t="shared" si="0"/>
        <v>0</v>
      </c>
      <c r="AH55" s="13">
        <f t="shared" si="1"/>
        <v>0</v>
      </c>
    </row>
    <row r="56" spans="1:34" ht="21" customHeight="1" x14ac:dyDescent="0.3">
      <c r="A56" s="16">
        <v>2059</v>
      </c>
      <c r="C56" s="17">
        <v>0</v>
      </c>
      <c r="E56" s="17">
        <v>0</v>
      </c>
      <c r="G56" s="17">
        <v>0</v>
      </c>
      <c r="I56" s="17">
        <v>0</v>
      </c>
      <c r="K56" s="18">
        <v>0</v>
      </c>
      <c r="M56" s="18">
        <v>0</v>
      </c>
      <c r="O56" s="17">
        <v>0</v>
      </c>
      <c r="Q56" s="17">
        <v>0</v>
      </c>
      <c r="S56" s="17">
        <v>0</v>
      </c>
      <c r="U56" s="17">
        <v>0</v>
      </c>
      <c r="W56" s="17">
        <v>0</v>
      </c>
      <c r="Y56" s="17">
        <v>0</v>
      </c>
      <c r="AA56" s="17">
        <v>0</v>
      </c>
      <c r="AC56" s="17">
        <v>0</v>
      </c>
      <c r="AE56" s="17">
        <v>0</v>
      </c>
      <c r="AG56" s="13">
        <f t="shared" si="0"/>
        <v>0</v>
      </c>
      <c r="AH56" s="13">
        <f t="shared" si="1"/>
        <v>0</v>
      </c>
    </row>
    <row r="57" spans="1:34" ht="15" customHeight="1" x14ac:dyDescent="0.3">
      <c r="A57" s="16">
        <v>2060</v>
      </c>
      <c r="C57" s="19">
        <v>0</v>
      </c>
      <c r="E57" s="19">
        <v>0</v>
      </c>
      <c r="G57" s="19">
        <v>0</v>
      </c>
      <c r="I57" s="19">
        <v>0</v>
      </c>
      <c r="K57" s="18">
        <v>0</v>
      </c>
      <c r="M57" s="18">
        <v>0</v>
      </c>
      <c r="O57" s="19">
        <v>0</v>
      </c>
      <c r="Q57" s="19">
        <v>0</v>
      </c>
      <c r="S57" s="19">
        <v>0</v>
      </c>
      <c r="U57" s="19">
        <v>0</v>
      </c>
      <c r="W57" s="19">
        <v>0</v>
      </c>
      <c r="Y57" s="19">
        <v>0</v>
      </c>
      <c r="AA57" s="19">
        <v>0</v>
      </c>
      <c r="AC57" s="19">
        <v>0</v>
      </c>
      <c r="AE57" s="19">
        <v>0</v>
      </c>
      <c r="AG57" s="13">
        <f t="shared" si="0"/>
        <v>0</v>
      </c>
      <c r="AH57" s="13">
        <f t="shared" si="1"/>
        <v>0</v>
      </c>
    </row>
    <row r="58" spans="1:34" ht="15" customHeight="1" x14ac:dyDescent="0.3">
      <c r="AG58" s="13"/>
      <c r="AH58" s="13"/>
    </row>
    <row r="59" spans="1:34" ht="15" customHeight="1" x14ac:dyDescent="0.3">
      <c r="A59" s="228" t="s">
        <v>2</v>
      </c>
      <c r="C59" s="229">
        <v>108362</v>
      </c>
      <c r="E59" s="229">
        <v>0</v>
      </c>
      <c r="G59" s="229">
        <v>108362</v>
      </c>
      <c r="I59" s="229">
        <v>0</v>
      </c>
      <c r="O59" s="229">
        <v>6284678</v>
      </c>
      <c r="Q59" s="229">
        <v>0</v>
      </c>
      <c r="S59" s="229">
        <v>426655</v>
      </c>
      <c r="U59" s="229">
        <v>2175000</v>
      </c>
      <c r="W59" s="229">
        <v>458500</v>
      </c>
      <c r="Y59" s="229">
        <v>93100</v>
      </c>
      <c r="AA59" s="229">
        <v>4092</v>
      </c>
      <c r="AC59" s="229">
        <v>3127330</v>
      </c>
      <c r="AE59" s="229">
        <v>1776342</v>
      </c>
      <c r="AG59" s="13"/>
      <c r="AH59" s="13"/>
    </row>
    <row r="60" spans="1:34" ht="15" customHeight="1" x14ac:dyDescent="0.3">
      <c r="AG60" s="13"/>
      <c r="AH60" s="13"/>
    </row>
    <row r="61" spans="1:34" ht="15" customHeight="1" x14ac:dyDescent="0.3">
      <c r="A61" t="s">
        <v>45</v>
      </c>
      <c r="AC61" s="225" t="s">
        <v>721</v>
      </c>
      <c r="AD61" s="15"/>
      <c r="AE61" s="15"/>
      <c r="AG61" s="13"/>
      <c r="AH61" s="13"/>
    </row>
    <row r="62" spans="1:34" x14ac:dyDescent="0.3">
      <c r="A62" t="s">
        <v>84</v>
      </c>
      <c r="AC62" s="20" t="s">
        <v>46</v>
      </c>
      <c r="AE62" s="17">
        <v>2313873</v>
      </c>
      <c r="AG62" s="13"/>
      <c r="AH62" s="13"/>
    </row>
    <row r="63" spans="1:34" x14ac:dyDescent="0.3">
      <c r="A63" t="s">
        <v>81</v>
      </c>
      <c r="AC63" s="20" t="s">
        <v>47</v>
      </c>
      <c r="AE63" s="17">
        <v>1410159</v>
      </c>
      <c r="AG63" s="13"/>
      <c r="AH63" s="13"/>
    </row>
    <row r="64" spans="1:34" x14ac:dyDescent="0.3">
      <c r="A64" t="s">
        <v>82</v>
      </c>
      <c r="AC64" s="20" t="s">
        <v>48</v>
      </c>
      <c r="AE64" s="17">
        <v>1151728</v>
      </c>
      <c r="AG64" s="13"/>
      <c r="AH64" s="13"/>
    </row>
    <row r="65" spans="1:1" x14ac:dyDescent="0.3">
      <c r="A65" t="s">
        <v>83</v>
      </c>
    </row>
    <row r="66" spans="1:1" x14ac:dyDescent="0.3">
      <c r="A66" t="s">
        <v>722</v>
      </c>
    </row>
    <row r="67" spans="1:1" x14ac:dyDescent="0.3">
      <c r="A67" s="230" t="s">
        <v>723</v>
      </c>
    </row>
  </sheetData>
  <printOptions horizontalCentered="1"/>
  <pageMargins left="0.5" right="0.3" top="0.75" bottom="0.75" header="0.5" footer="0.5"/>
  <pageSetup paperSize="160" scale="45"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01856-527E-41EA-9DE3-B5DCFA334C33}">
  <sheetPr>
    <tabColor rgb="FF7030A0"/>
    <pageSetUpPr fitToPage="1"/>
  </sheetPr>
  <dimension ref="A1:AI68"/>
  <sheetViews>
    <sheetView showGridLines="0" topLeftCell="B1" zoomScaleNormal="100" zoomScaleSheetLayoutView="90" workbookViewId="0">
      <selection activeCell="AH19" sqref="AH19"/>
    </sheetView>
  </sheetViews>
  <sheetFormatPr defaultRowHeight="14.4" x14ac:dyDescent="0.3"/>
  <cols>
    <col min="1" max="1" width="6" bestFit="1" customWidth="1"/>
    <col min="2" max="2" width="1.6640625" customWidth="1"/>
    <col min="3" max="3" width="9.5546875" customWidth="1"/>
    <col min="4" max="4" width="1.6640625" customWidth="1"/>
    <col min="5" max="5" width="9.5546875" customWidth="1"/>
    <col min="6" max="6" width="1.6640625" customWidth="1"/>
    <col min="7" max="7" width="9.5546875" customWidth="1"/>
    <col min="8" max="8" width="1.6640625" customWidth="1"/>
    <col min="9" max="9" width="9.5546875" customWidth="1"/>
    <col min="10" max="10" width="1.6640625" customWidth="1"/>
    <col min="11" max="11" width="13.33203125" customWidth="1"/>
    <col min="12" max="12" width="1.6640625" customWidth="1"/>
    <col min="13" max="13" width="13.33203125" bestFit="1" customWidth="1"/>
    <col min="14" max="14" width="1.6640625" customWidth="1"/>
    <col min="15" max="15" width="14.5546875" customWidth="1"/>
    <col min="16" max="16" width="1.6640625" customWidth="1"/>
    <col min="17" max="17" width="14.5546875" customWidth="1"/>
    <col min="18" max="18" width="1.6640625" customWidth="1"/>
    <col min="19" max="19" width="14.5546875" customWidth="1"/>
    <col min="20" max="20" width="1.6640625" customWidth="1"/>
    <col min="21" max="21" width="14.5546875" customWidth="1"/>
    <col min="22" max="22" width="1.6640625" customWidth="1"/>
    <col min="23" max="23" width="14.5546875" customWidth="1"/>
    <col min="24" max="24" width="1.6640625" customWidth="1"/>
    <col min="25" max="25" width="14.5546875" bestFit="1" customWidth="1"/>
    <col min="26" max="26" width="1.6640625" customWidth="1"/>
    <col min="27" max="27" width="14.5546875" customWidth="1"/>
    <col min="28" max="28" width="1.6640625" customWidth="1"/>
    <col min="29" max="29" width="14.5546875" customWidth="1"/>
    <col min="30" max="30" width="1.6640625" customWidth="1"/>
    <col min="31" max="31" width="14.5546875" customWidth="1"/>
    <col min="32" max="32" width="2.109375" customWidth="1"/>
  </cols>
  <sheetData>
    <row r="1" spans="1:34" x14ac:dyDescent="0.3">
      <c r="A1" s="223" t="s">
        <v>49</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row>
    <row r="2" spans="1:34" x14ac:dyDescent="0.3">
      <c r="A2" s="223" t="s">
        <v>61</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row>
    <row r="3" spans="1:34" x14ac:dyDescent="0.3">
      <c r="A3" s="223" t="s">
        <v>22</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row>
    <row r="4" spans="1:34" x14ac:dyDescent="0.3">
      <c r="A4" s="223" t="s">
        <v>710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row>
    <row r="5" spans="1:34" x14ac:dyDescent="0.3">
      <c r="A5" s="223" t="s">
        <v>60</v>
      </c>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row>
    <row r="6" spans="1:34" x14ac:dyDescent="0.3">
      <c r="A6" s="223" t="s">
        <v>59</v>
      </c>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row>
    <row r="7" spans="1:34" x14ac:dyDescent="0.3">
      <c r="A7" s="223" t="s">
        <v>23</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row>
    <row r="8" spans="1:34" x14ac:dyDescent="0.3">
      <c r="A8" s="223" t="s">
        <v>24</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row>
    <row r="9" spans="1:34" x14ac:dyDescent="0.3">
      <c r="A9" s="223" t="s">
        <v>25</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row>
    <row r="10" spans="1:34" x14ac:dyDescent="0.3">
      <c r="A10" s="223" t="s">
        <v>711</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row>
    <row r="11" spans="1:34" x14ac:dyDescent="0.3">
      <c r="A11" s="223" t="s">
        <v>5</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row>
    <row r="12" spans="1:34" x14ac:dyDescent="0.3">
      <c r="A12" s="223" t="s">
        <v>5</v>
      </c>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row>
    <row r="13" spans="1:34" x14ac:dyDescent="0.3">
      <c r="A13" s="223" t="s">
        <v>5</v>
      </c>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row>
    <row r="14" spans="1:34" x14ac:dyDescent="0.3">
      <c r="K14" s="224"/>
      <c r="L14" s="14"/>
      <c r="M14" s="14"/>
    </row>
    <row r="15" spans="1:34" x14ac:dyDescent="0.3">
      <c r="C15" s="224" t="s">
        <v>29</v>
      </c>
      <c r="D15" s="14"/>
      <c r="E15" s="14"/>
      <c r="G15" s="224" t="s">
        <v>35</v>
      </c>
      <c r="H15" s="14"/>
      <c r="I15" s="14"/>
      <c r="K15" s="224" t="s">
        <v>74</v>
      </c>
      <c r="L15" s="14"/>
      <c r="M15" s="14"/>
    </row>
    <row r="16" spans="1:34" x14ac:dyDescent="0.3">
      <c r="C16" s="225" t="s">
        <v>50</v>
      </c>
      <c r="D16" s="15"/>
      <c r="E16" s="15"/>
      <c r="G16" s="225" t="s">
        <v>50</v>
      </c>
      <c r="H16" s="15"/>
      <c r="I16" s="15"/>
      <c r="K16" s="225" t="s">
        <v>75</v>
      </c>
      <c r="L16" s="15"/>
      <c r="M16" s="15"/>
      <c r="O16" s="226" t="s">
        <v>26</v>
      </c>
      <c r="S16" s="226" t="s">
        <v>14</v>
      </c>
      <c r="AC16" s="226" t="s">
        <v>26</v>
      </c>
      <c r="AE16" s="226" t="s">
        <v>27</v>
      </c>
      <c r="AG16" s="9" t="s">
        <v>14</v>
      </c>
      <c r="AH16" s="9"/>
    </row>
    <row r="17" spans="1:35" x14ac:dyDescent="0.3">
      <c r="E17" s="226" t="s">
        <v>28</v>
      </c>
      <c r="I17" s="226" t="s">
        <v>28</v>
      </c>
      <c r="M17" s="226" t="s">
        <v>28</v>
      </c>
      <c r="O17" s="226" t="s">
        <v>29</v>
      </c>
      <c r="S17" s="226" t="s">
        <v>31</v>
      </c>
      <c r="U17" s="226" t="s">
        <v>32</v>
      </c>
      <c r="W17" s="226" t="s">
        <v>33</v>
      </c>
      <c r="Y17" s="226" t="s">
        <v>34</v>
      </c>
      <c r="AC17" s="226" t="s">
        <v>35</v>
      </c>
      <c r="AE17" s="226" t="s">
        <v>36</v>
      </c>
      <c r="AG17" s="9" t="s">
        <v>31</v>
      </c>
      <c r="AH17" s="9"/>
      <c r="AI17" s="226" t="s">
        <v>742</v>
      </c>
    </row>
    <row r="18" spans="1:35" x14ac:dyDescent="0.3">
      <c r="C18" s="226" t="s">
        <v>37</v>
      </c>
      <c r="E18" s="226" t="s">
        <v>38</v>
      </c>
      <c r="G18" s="226" t="s">
        <v>37</v>
      </c>
      <c r="I18" s="226" t="s">
        <v>38</v>
      </c>
      <c r="K18" s="226" t="s">
        <v>37</v>
      </c>
      <c r="M18" s="226" t="s">
        <v>38</v>
      </c>
      <c r="O18" s="226" t="s">
        <v>39</v>
      </c>
      <c r="Q18" s="226" t="s">
        <v>712</v>
      </c>
      <c r="S18" s="226" t="s">
        <v>30</v>
      </c>
      <c r="U18" s="226" t="s">
        <v>40</v>
      </c>
      <c r="W18" s="226" t="s">
        <v>41</v>
      </c>
      <c r="Y18" s="226" t="s">
        <v>76</v>
      </c>
      <c r="AA18" s="226" t="s">
        <v>42</v>
      </c>
      <c r="AC18" s="226" t="s">
        <v>39</v>
      </c>
      <c r="AE18" s="226" t="s">
        <v>43</v>
      </c>
      <c r="AG18" s="9" t="s">
        <v>30</v>
      </c>
      <c r="AH18" s="9" t="s">
        <v>42</v>
      </c>
      <c r="AI18" s="9" t="s">
        <v>743</v>
      </c>
    </row>
    <row r="19" spans="1:35" ht="16.8" x14ac:dyDescent="0.3">
      <c r="A19" s="227" t="s">
        <v>1</v>
      </c>
      <c r="C19" s="227" t="s">
        <v>715</v>
      </c>
      <c r="E19" s="227" t="s">
        <v>716</v>
      </c>
      <c r="G19" s="227" t="s">
        <v>715</v>
      </c>
      <c r="I19" s="227" t="s">
        <v>716</v>
      </c>
      <c r="K19" s="227" t="s">
        <v>44</v>
      </c>
      <c r="M19" s="227" t="s">
        <v>717</v>
      </c>
      <c r="O19" s="227" t="s">
        <v>720</v>
      </c>
      <c r="Q19" s="227" t="s">
        <v>720</v>
      </c>
      <c r="S19" s="227" t="s">
        <v>720</v>
      </c>
      <c r="U19" s="227" t="s">
        <v>720</v>
      </c>
      <c r="W19" s="227" t="s">
        <v>720</v>
      </c>
      <c r="Y19" s="227" t="s">
        <v>720</v>
      </c>
      <c r="AA19" s="227" t="s">
        <v>720</v>
      </c>
      <c r="AC19" s="227" t="s">
        <v>720</v>
      </c>
      <c r="AE19" s="227" t="s">
        <v>720</v>
      </c>
      <c r="AG19" s="10" t="s">
        <v>69</v>
      </c>
      <c r="AH19" s="10" t="s">
        <v>69</v>
      </c>
      <c r="AI19" s="10" t="s">
        <v>69</v>
      </c>
    </row>
    <row r="20" spans="1:35" x14ac:dyDescent="0.3">
      <c r="AG20" s="8"/>
      <c r="AH20" s="8"/>
      <c r="AI20" s="8"/>
    </row>
    <row r="21" spans="1:35" x14ac:dyDescent="0.3">
      <c r="A21" s="16">
        <v>2024</v>
      </c>
      <c r="C21" s="17">
        <v>13048</v>
      </c>
      <c r="E21" s="17">
        <v>2953</v>
      </c>
      <c r="G21" s="17">
        <v>11742</v>
      </c>
      <c r="I21" s="17">
        <v>2658</v>
      </c>
      <c r="K21" s="18">
        <v>60</v>
      </c>
      <c r="M21" s="18">
        <v>1.62</v>
      </c>
      <c r="O21" s="17">
        <v>708826</v>
      </c>
      <c r="Q21" s="17">
        <v>9759</v>
      </c>
      <c r="S21" s="17">
        <v>56844</v>
      </c>
      <c r="U21" s="17">
        <v>81900</v>
      </c>
      <c r="W21" s="17">
        <v>97555</v>
      </c>
      <c r="Y21" s="17">
        <v>11700</v>
      </c>
      <c r="AA21" s="17">
        <v>4902</v>
      </c>
      <c r="AC21" s="17">
        <v>465684</v>
      </c>
      <c r="AE21" s="17">
        <v>441411</v>
      </c>
      <c r="AG21" s="13">
        <f t="shared" ref="AG21:AG57" si="0">IFERROR(S21/O21,0)</f>
        <v>8.019457525542234E-2</v>
      </c>
      <c r="AH21" s="13">
        <f t="shared" ref="AH21:AH57" si="1">IFERROR(AA21/O21,0)</f>
        <v>6.9156605429259088E-3</v>
      </c>
      <c r="AI21" s="13">
        <f>IFERROR(Q21/O21,0)</f>
        <v>1.3767835829949804E-2</v>
      </c>
    </row>
    <row r="22" spans="1:35" x14ac:dyDescent="0.3">
      <c r="A22" s="16">
        <v>2025</v>
      </c>
      <c r="C22" s="17">
        <v>18115</v>
      </c>
      <c r="E22" s="17">
        <v>5868</v>
      </c>
      <c r="G22" s="17">
        <v>16626</v>
      </c>
      <c r="I22" s="17">
        <v>5377</v>
      </c>
      <c r="K22" s="18">
        <v>60</v>
      </c>
      <c r="M22" s="18">
        <v>1.62</v>
      </c>
      <c r="O22" s="17">
        <v>1006268</v>
      </c>
      <c r="Q22" s="17">
        <v>18144</v>
      </c>
      <c r="S22" s="17">
        <v>69139</v>
      </c>
      <c r="U22" s="17">
        <v>83506</v>
      </c>
      <c r="W22" s="17">
        <v>264956</v>
      </c>
      <c r="Y22" s="17">
        <v>11700</v>
      </c>
      <c r="AA22" s="17">
        <v>21417</v>
      </c>
      <c r="AC22" s="17">
        <v>573694</v>
      </c>
      <c r="AE22" s="17">
        <v>492245</v>
      </c>
      <c r="AG22" s="13">
        <f t="shared" si="0"/>
        <v>6.8708336149017959E-2</v>
      </c>
      <c r="AH22" s="13">
        <f t="shared" si="1"/>
        <v>2.1283594430112057E-2</v>
      </c>
      <c r="AI22" s="13">
        <f t="shared" ref="AI22:AI57" si="2">IFERROR(Q22/O22,0)</f>
        <v>1.8030981806039743E-2</v>
      </c>
    </row>
    <row r="23" spans="1:35" x14ac:dyDescent="0.3">
      <c r="A23" s="16">
        <v>2026</v>
      </c>
      <c r="C23" s="17">
        <v>22566</v>
      </c>
      <c r="E23" s="17">
        <v>8156</v>
      </c>
      <c r="G23" s="17">
        <v>20902</v>
      </c>
      <c r="I23" s="17">
        <v>7544</v>
      </c>
      <c r="K23" s="18">
        <v>60</v>
      </c>
      <c r="M23" s="18">
        <v>1.62</v>
      </c>
      <c r="O23" s="17">
        <v>1266360</v>
      </c>
      <c r="Q23" s="17">
        <v>23746</v>
      </c>
      <c r="S23" s="17">
        <v>78447</v>
      </c>
      <c r="U23" s="17">
        <v>84287</v>
      </c>
      <c r="W23" s="17">
        <v>224312</v>
      </c>
      <c r="Y23" s="17">
        <v>23400</v>
      </c>
      <c r="AA23" s="17">
        <v>37572</v>
      </c>
      <c r="AC23" s="17">
        <v>842088</v>
      </c>
      <c r="AE23" s="17">
        <v>654049</v>
      </c>
      <c r="AG23" s="13">
        <f t="shared" si="0"/>
        <v>6.1946839761205345E-2</v>
      </c>
      <c r="AH23" s="13">
        <f t="shared" si="1"/>
        <v>2.9669288354022553E-2</v>
      </c>
      <c r="AI23" s="13">
        <f t="shared" si="2"/>
        <v>1.8751381913515903E-2</v>
      </c>
    </row>
    <row r="24" spans="1:35" x14ac:dyDescent="0.3">
      <c r="A24" s="16">
        <v>2027</v>
      </c>
      <c r="C24" s="17">
        <v>27383</v>
      </c>
      <c r="E24" s="17">
        <v>10553</v>
      </c>
      <c r="G24" s="17">
        <v>25148</v>
      </c>
      <c r="I24" s="17">
        <v>9686</v>
      </c>
      <c r="K24" s="18">
        <v>60</v>
      </c>
      <c r="M24" s="18">
        <v>1.62</v>
      </c>
      <c r="O24" s="17">
        <v>1524550</v>
      </c>
      <c r="Q24" s="17">
        <v>29274</v>
      </c>
      <c r="S24" s="17">
        <v>87919</v>
      </c>
      <c r="U24" s="17">
        <v>83576</v>
      </c>
      <c r="W24" s="17">
        <v>274098</v>
      </c>
      <c r="Y24" s="17">
        <v>0</v>
      </c>
      <c r="AA24" s="17">
        <v>65777</v>
      </c>
      <c r="AC24" s="17">
        <v>1042453</v>
      </c>
      <c r="AE24" s="17">
        <v>732925</v>
      </c>
      <c r="AG24" s="13">
        <f t="shared" si="0"/>
        <v>5.7668820307631763E-2</v>
      </c>
      <c r="AH24" s="13">
        <f t="shared" si="1"/>
        <v>4.3145190384047752E-2</v>
      </c>
      <c r="AI24" s="13">
        <f t="shared" si="2"/>
        <v>1.9201731658522188E-2</v>
      </c>
    </row>
    <row r="25" spans="1:35" x14ac:dyDescent="0.3">
      <c r="A25" s="16">
        <v>2028</v>
      </c>
      <c r="C25" s="17">
        <v>28711</v>
      </c>
      <c r="E25" s="17">
        <v>10835</v>
      </c>
      <c r="G25" s="17">
        <v>26239</v>
      </c>
      <c r="I25" s="17">
        <v>9903</v>
      </c>
      <c r="K25" s="18">
        <v>60</v>
      </c>
      <c r="M25" s="18">
        <v>1.62</v>
      </c>
      <c r="O25" s="17">
        <v>1590374</v>
      </c>
      <c r="Q25" s="17">
        <v>28666</v>
      </c>
      <c r="S25" s="17">
        <v>89342</v>
      </c>
      <c r="U25" s="17">
        <v>83175</v>
      </c>
      <c r="W25" s="17">
        <v>215205</v>
      </c>
      <c r="Y25" s="17">
        <v>11700</v>
      </c>
      <c r="AA25" s="17">
        <v>71091</v>
      </c>
      <c r="AC25" s="17">
        <v>1148528</v>
      </c>
      <c r="AE25" s="17">
        <v>730962</v>
      </c>
      <c r="AG25" s="13">
        <f t="shared" si="0"/>
        <v>5.6176723211018291E-2</v>
      </c>
      <c r="AH25" s="13">
        <f t="shared" si="1"/>
        <v>4.4700806225453887E-2</v>
      </c>
      <c r="AI25" s="13">
        <f t="shared" si="2"/>
        <v>1.8024691047514609E-2</v>
      </c>
    </row>
    <row r="26" spans="1:35" ht="21.9" customHeight="1" x14ac:dyDescent="0.3">
      <c r="A26" s="16">
        <v>2029</v>
      </c>
      <c r="C26" s="17">
        <v>31783</v>
      </c>
      <c r="E26" s="17">
        <v>11617</v>
      </c>
      <c r="G26" s="17">
        <v>28928</v>
      </c>
      <c r="I26" s="17">
        <v>10578</v>
      </c>
      <c r="K26" s="18">
        <v>60</v>
      </c>
      <c r="M26" s="18">
        <v>1.62</v>
      </c>
      <c r="O26" s="17">
        <v>1752795</v>
      </c>
      <c r="Q26" s="17">
        <v>26987</v>
      </c>
      <c r="S26" s="17">
        <v>95048</v>
      </c>
      <c r="U26" s="17">
        <v>82813</v>
      </c>
      <c r="W26" s="17">
        <v>217742</v>
      </c>
      <c r="Y26" s="17">
        <v>11700</v>
      </c>
      <c r="AA26" s="17">
        <v>85930</v>
      </c>
      <c r="AC26" s="17">
        <v>1286549</v>
      </c>
      <c r="AE26" s="17">
        <v>741192</v>
      </c>
      <c r="AG26" s="13">
        <f t="shared" si="0"/>
        <v>5.4226535333567243E-2</v>
      </c>
      <c r="AH26" s="13">
        <f t="shared" si="1"/>
        <v>4.902455792035007E-2</v>
      </c>
      <c r="AI26" s="13">
        <f t="shared" si="2"/>
        <v>1.5396552363510849E-2</v>
      </c>
    </row>
    <row r="27" spans="1:35" x14ac:dyDescent="0.3">
      <c r="A27" s="16">
        <v>2030</v>
      </c>
      <c r="C27" s="17">
        <v>30136</v>
      </c>
      <c r="E27" s="17">
        <v>10567</v>
      </c>
      <c r="G27" s="17">
        <v>27373</v>
      </c>
      <c r="I27" s="17">
        <v>9604</v>
      </c>
      <c r="K27" s="18">
        <v>60</v>
      </c>
      <c r="M27" s="18">
        <v>1.62</v>
      </c>
      <c r="O27" s="17">
        <v>1657976</v>
      </c>
      <c r="Q27" s="17">
        <v>24231</v>
      </c>
      <c r="S27" s="17">
        <v>89821</v>
      </c>
      <c r="U27" s="17">
        <v>82665</v>
      </c>
      <c r="W27" s="17">
        <v>18000</v>
      </c>
      <c r="Y27" s="17">
        <v>0</v>
      </c>
      <c r="AA27" s="17">
        <v>75203</v>
      </c>
      <c r="AC27" s="17">
        <v>1416518</v>
      </c>
      <c r="AE27" s="17">
        <v>738714</v>
      </c>
      <c r="AG27" s="13">
        <f t="shared" si="0"/>
        <v>5.4175090592384935E-2</v>
      </c>
      <c r="AH27" s="13">
        <f t="shared" si="1"/>
        <v>4.5358316405062556E-2</v>
      </c>
      <c r="AI27" s="13">
        <f t="shared" si="2"/>
        <v>1.4614807451977591E-2</v>
      </c>
    </row>
    <row r="28" spans="1:35" x14ac:dyDescent="0.3">
      <c r="A28" s="16">
        <v>2031</v>
      </c>
      <c r="C28" s="17">
        <v>25484</v>
      </c>
      <c r="E28" s="17">
        <v>8246</v>
      </c>
      <c r="G28" s="17">
        <v>23138</v>
      </c>
      <c r="I28" s="17">
        <v>7490</v>
      </c>
      <c r="K28" s="18">
        <v>60</v>
      </c>
      <c r="M28" s="18">
        <v>1.62</v>
      </c>
      <c r="O28" s="17">
        <v>1400414</v>
      </c>
      <c r="Q28" s="17">
        <v>20354</v>
      </c>
      <c r="S28" s="17">
        <v>77830</v>
      </c>
      <c r="U28" s="17">
        <v>82620</v>
      </c>
      <c r="W28" s="17">
        <v>18000</v>
      </c>
      <c r="Y28" s="17">
        <v>0</v>
      </c>
      <c r="AA28" s="17">
        <v>47303</v>
      </c>
      <c r="AC28" s="17">
        <v>1195015</v>
      </c>
      <c r="AE28" s="17">
        <v>564128</v>
      </c>
      <c r="AG28" s="13">
        <f t="shared" si="0"/>
        <v>5.5576422400804334E-2</v>
      </c>
      <c r="AH28" s="13">
        <f t="shared" si="1"/>
        <v>3.377786854458753E-2</v>
      </c>
      <c r="AI28" s="13">
        <f t="shared" si="2"/>
        <v>1.4534273436283841E-2</v>
      </c>
    </row>
    <row r="29" spans="1:35" x14ac:dyDescent="0.3">
      <c r="A29" s="16">
        <v>2032</v>
      </c>
      <c r="C29" s="17">
        <v>21666</v>
      </c>
      <c r="E29" s="17">
        <v>6336</v>
      </c>
      <c r="G29" s="17">
        <v>19661</v>
      </c>
      <c r="I29" s="17">
        <v>5752</v>
      </c>
      <c r="K29" s="18">
        <v>60</v>
      </c>
      <c r="M29" s="18">
        <v>1.62</v>
      </c>
      <c r="O29" s="17">
        <v>1188954</v>
      </c>
      <c r="Q29" s="17">
        <v>17219</v>
      </c>
      <c r="S29" s="17">
        <v>67885</v>
      </c>
      <c r="U29" s="17">
        <v>82574</v>
      </c>
      <c r="W29" s="17">
        <v>18000</v>
      </c>
      <c r="Y29" s="17">
        <v>0</v>
      </c>
      <c r="AA29" s="17">
        <v>28162</v>
      </c>
      <c r="AC29" s="17">
        <v>1009552</v>
      </c>
      <c r="AE29" s="17">
        <v>431404</v>
      </c>
      <c r="AG29" s="13">
        <f t="shared" si="0"/>
        <v>5.709640574824594E-2</v>
      </c>
      <c r="AH29" s="13">
        <f t="shared" si="1"/>
        <v>2.368636633545116E-2</v>
      </c>
      <c r="AI29" s="13">
        <f t="shared" si="2"/>
        <v>1.4482477875510743E-2</v>
      </c>
    </row>
    <row r="30" spans="1:35" x14ac:dyDescent="0.3">
      <c r="A30" s="16">
        <v>2033</v>
      </c>
      <c r="C30" s="17">
        <v>18357</v>
      </c>
      <c r="E30" s="17">
        <v>4675</v>
      </c>
      <c r="G30" s="17">
        <v>16648</v>
      </c>
      <c r="I30" s="17">
        <v>4241</v>
      </c>
      <c r="K30" s="18">
        <v>60</v>
      </c>
      <c r="M30" s="18">
        <v>1.62</v>
      </c>
      <c r="O30" s="17">
        <v>1005778</v>
      </c>
      <c r="Q30" s="17">
        <v>14542</v>
      </c>
      <c r="S30" s="17">
        <v>86226</v>
      </c>
      <c r="U30" s="17">
        <v>82531</v>
      </c>
      <c r="W30" s="17">
        <v>18000</v>
      </c>
      <c r="Y30" s="17">
        <v>0</v>
      </c>
      <c r="AA30" s="17">
        <v>17447</v>
      </c>
      <c r="AC30" s="17">
        <v>816115</v>
      </c>
      <c r="AE30" s="17">
        <v>315688</v>
      </c>
      <c r="AG30" s="13">
        <f t="shared" si="0"/>
        <v>8.5730648314041466E-2</v>
      </c>
      <c r="AH30" s="13">
        <f t="shared" si="1"/>
        <v>1.7346770360854979E-2</v>
      </c>
      <c r="AI30" s="13">
        <f t="shared" si="2"/>
        <v>1.445845902376071E-2</v>
      </c>
    </row>
    <row r="31" spans="1:35" ht="21.9" customHeight="1" x14ac:dyDescent="0.3">
      <c r="A31" s="16">
        <v>2034</v>
      </c>
      <c r="C31" s="17">
        <v>15305</v>
      </c>
      <c r="E31" s="17">
        <v>3124</v>
      </c>
      <c r="G31" s="17">
        <v>13874</v>
      </c>
      <c r="I31" s="17">
        <v>2834</v>
      </c>
      <c r="K31" s="18">
        <v>60</v>
      </c>
      <c r="M31" s="18">
        <v>1.62</v>
      </c>
      <c r="O31" s="17">
        <v>836977</v>
      </c>
      <c r="Q31" s="17">
        <v>11778</v>
      </c>
      <c r="S31" s="17">
        <v>71857</v>
      </c>
      <c r="U31" s="17">
        <v>82502</v>
      </c>
      <c r="W31" s="17">
        <v>18000</v>
      </c>
      <c r="Y31" s="17">
        <v>0</v>
      </c>
      <c r="AA31" s="17">
        <v>9396</v>
      </c>
      <c r="AC31" s="17">
        <v>667000</v>
      </c>
      <c r="AE31" s="17">
        <v>233551</v>
      </c>
      <c r="AG31" s="13">
        <f t="shared" si="0"/>
        <v>8.5853016271653815E-2</v>
      </c>
      <c r="AH31" s="13">
        <f t="shared" si="1"/>
        <v>1.1226114935057952E-2</v>
      </c>
      <c r="AI31" s="13">
        <f t="shared" si="2"/>
        <v>1.4072071275554765E-2</v>
      </c>
    </row>
    <row r="32" spans="1:35" x14ac:dyDescent="0.3">
      <c r="A32" s="16">
        <v>2035</v>
      </c>
      <c r="C32" s="17">
        <v>13045</v>
      </c>
      <c r="E32" s="17">
        <v>1986</v>
      </c>
      <c r="G32" s="17">
        <v>11822</v>
      </c>
      <c r="I32" s="17">
        <v>1799</v>
      </c>
      <c r="K32" s="18">
        <v>60</v>
      </c>
      <c r="M32" s="18">
        <v>1.62</v>
      </c>
      <c r="O32" s="17">
        <v>712239</v>
      </c>
      <c r="Q32" s="17">
        <v>10057</v>
      </c>
      <c r="S32" s="17">
        <v>61238</v>
      </c>
      <c r="U32" s="17">
        <v>82462</v>
      </c>
      <c r="W32" s="17">
        <v>18000</v>
      </c>
      <c r="Y32" s="17">
        <v>0</v>
      </c>
      <c r="AA32" s="17">
        <v>3798</v>
      </c>
      <c r="AC32" s="17">
        <v>556799</v>
      </c>
      <c r="AE32" s="17">
        <v>176484</v>
      </c>
      <c r="AG32" s="13">
        <f t="shared" si="0"/>
        <v>8.5979565847980804E-2</v>
      </c>
      <c r="AH32" s="13">
        <f t="shared" si="1"/>
        <v>5.3324796872959782E-3</v>
      </c>
      <c r="AI32" s="13">
        <f t="shared" si="2"/>
        <v>1.4120260193558623E-2</v>
      </c>
    </row>
    <row r="33" spans="1:35" x14ac:dyDescent="0.3">
      <c r="A33" s="16">
        <v>2036</v>
      </c>
      <c r="C33" s="17">
        <v>10974</v>
      </c>
      <c r="E33" s="17">
        <v>919</v>
      </c>
      <c r="G33" s="17">
        <v>9921</v>
      </c>
      <c r="I33" s="17">
        <v>831</v>
      </c>
      <c r="K33" s="18">
        <v>60</v>
      </c>
      <c r="M33" s="18">
        <v>1.62</v>
      </c>
      <c r="O33" s="17">
        <v>596605</v>
      </c>
      <c r="Q33" s="17">
        <v>8333</v>
      </c>
      <c r="S33" s="17">
        <v>51395</v>
      </c>
      <c r="U33" s="17">
        <v>82247</v>
      </c>
      <c r="W33" s="17">
        <v>18000</v>
      </c>
      <c r="Y33" s="17">
        <v>0</v>
      </c>
      <c r="AA33" s="17">
        <v>0</v>
      </c>
      <c r="AC33" s="17">
        <v>453295</v>
      </c>
      <c r="AE33" s="17">
        <v>130059</v>
      </c>
      <c r="AG33" s="13">
        <f t="shared" si="0"/>
        <v>8.6145774842651332E-2</v>
      </c>
      <c r="AH33" s="13">
        <f t="shared" si="1"/>
        <v>0</v>
      </c>
      <c r="AI33" s="13">
        <f t="shared" si="2"/>
        <v>1.3967365342228108E-2</v>
      </c>
    </row>
    <row r="34" spans="1:35" x14ac:dyDescent="0.3">
      <c r="A34" s="16">
        <v>2037</v>
      </c>
      <c r="C34" s="17">
        <v>9119</v>
      </c>
      <c r="E34" s="17">
        <v>0</v>
      </c>
      <c r="G34" s="17">
        <v>8207</v>
      </c>
      <c r="I34" s="17">
        <v>0</v>
      </c>
      <c r="K34" s="18">
        <v>60</v>
      </c>
      <c r="M34" s="18">
        <v>1.62</v>
      </c>
      <c r="O34" s="17">
        <v>492472</v>
      </c>
      <c r="Q34" s="17">
        <v>6814</v>
      </c>
      <c r="S34" s="17">
        <v>42517</v>
      </c>
      <c r="U34" s="17">
        <v>81951</v>
      </c>
      <c r="W34" s="17">
        <v>18000</v>
      </c>
      <c r="Y34" s="17">
        <v>0</v>
      </c>
      <c r="AA34" s="17">
        <v>0</v>
      </c>
      <c r="AC34" s="17">
        <v>356819</v>
      </c>
      <c r="AE34" s="17">
        <v>92673</v>
      </c>
      <c r="AG34" s="13">
        <f t="shared" si="0"/>
        <v>8.6333842330122326E-2</v>
      </c>
      <c r="AH34" s="13">
        <f t="shared" si="1"/>
        <v>0</v>
      </c>
      <c r="AI34" s="13">
        <f t="shared" si="2"/>
        <v>1.3836319628324047E-2</v>
      </c>
    </row>
    <row r="35" spans="1:35" x14ac:dyDescent="0.3">
      <c r="A35" s="16">
        <v>2038</v>
      </c>
      <c r="C35" s="17">
        <v>7686</v>
      </c>
      <c r="E35" s="17">
        <v>0</v>
      </c>
      <c r="G35" s="17">
        <v>6917</v>
      </c>
      <c r="I35" s="17">
        <v>0</v>
      </c>
      <c r="K35" s="18">
        <v>60</v>
      </c>
      <c r="M35" s="18">
        <v>1.62</v>
      </c>
      <c r="O35" s="17">
        <v>415017</v>
      </c>
      <c r="Q35" s="17">
        <v>5748</v>
      </c>
      <c r="S35" s="17">
        <v>35833</v>
      </c>
      <c r="U35" s="17">
        <v>81900</v>
      </c>
      <c r="W35" s="17">
        <v>18000</v>
      </c>
      <c r="Y35" s="17">
        <v>0</v>
      </c>
      <c r="AA35" s="17">
        <v>0</v>
      </c>
      <c r="AC35" s="17">
        <v>285031</v>
      </c>
      <c r="AE35" s="17">
        <v>67012</v>
      </c>
      <c r="AG35" s="13">
        <f t="shared" si="0"/>
        <v>8.6341041451314049E-2</v>
      </c>
      <c r="AH35" s="13">
        <f t="shared" si="1"/>
        <v>0</v>
      </c>
      <c r="AI35" s="13">
        <f t="shared" si="2"/>
        <v>1.3850035058804821E-2</v>
      </c>
    </row>
    <row r="36" spans="1:35" ht="21.9" customHeight="1" x14ac:dyDescent="0.3">
      <c r="A36" s="16">
        <v>2039</v>
      </c>
      <c r="C36" s="17">
        <v>6250</v>
      </c>
      <c r="E36" s="17">
        <v>0</v>
      </c>
      <c r="G36" s="17">
        <v>5626</v>
      </c>
      <c r="I36" s="17">
        <v>0</v>
      </c>
      <c r="K36" s="18">
        <v>60</v>
      </c>
      <c r="M36" s="18">
        <v>1.62</v>
      </c>
      <c r="O36" s="17">
        <v>337557</v>
      </c>
      <c r="Q36" s="17">
        <v>4645</v>
      </c>
      <c r="S36" s="17">
        <v>29151</v>
      </c>
      <c r="U36" s="17">
        <v>81900</v>
      </c>
      <c r="W36" s="17">
        <v>18000</v>
      </c>
      <c r="Y36" s="17">
        <v>0</v>
      </c>
      <c r="AA36" s="17">
        <v>0</v>
      </c>
      <c r="AC36" s="17">
        <v>213150</v>
      </c>
      <c r="AE36" s="17">
        <v>45362</v>
      </c>
      <c r="AG36" s="13">
        <f t="shared" si="0"/>
        <v>8.6358748300287058E-2</v>
      </c>
      <c r="AH36" s="13">
        <f t="shared" si="1"/>
        <v>0</v>
      </c>
      <c r="AI36" s="13">
        <f t="shared" si="2"/>
        <v>1.376063894394132E-2</v>
      </c>
    </row>
    <row r="37" spans="1:35" x14ac:dyDescent="0.3">
      <c r="A37" s="16">
        <v>2040</v>
      </c>
      <c r="C37" s="17">
        <v>4910</v>
      </c>
      <c r="E37" s="17">
        <v>0</v>
      </c>
      <c r="G37" s="17">
        <v>4418</v>
      </c>
      <c r="I37" s="17">
        <v>0</v>
      </c>
      <c r="K37" s="18">
        <v>60</v>
      </c>
      <c r="M37" s="18">
        <v>1.62</v>
      </c>
      <c r="O37" s="17">
        <v>265070</v>
      </c>
      <c r="Q37" s="17">
        <v>3495</v>
      </c>
      <c r="S37" s="17">
        <v>22890</v>
      </c>
      <c r="U37" s="17">
        <v>81900</v>
      </c>
      <c r="W37" s="17">
        <v>18000</v>
      </c>
      <c r="Y37" s="17">
        <v>0</v>
      </c>
      <c r="AA37" s="17">
        <v>0</v>
      </c>
      <c r="AC37" s="17">
        <v>145775</v>
      </c>
      <c r="AE37" s="17">
        <v>28083</v>
      </c>
      <c r="AG37" s="13">
        <f t="shared" si="0"/>
        <v>8.6354547855283514E-2</v>
      </c>
      <c r="AH37" s="13">
        <f t="shared" si="1"/>
        <v>0</v>
      </c>
      <c r="AI37" s="13">
        <f t="shared" si="2"/>
        <v>1.3185196363224809E-2</v>
      </c>
    </row>
    <row r="38" spans="1:35" x14ac:dyDescent="0.3">
      <c r="A38" s="16">
        <v>2041</v>
      </c>
      <c r="C38" s="17">
        <v>4159</v>
      </c>
      <c r="E38" s="17">
        <v>0</v>
      </c>
      <c r="G38" s="17">
        <v>3745</v>
      </c>
      <c r="I38" s="17">
        <v>0</v>
      </c>
      <c r="K38" s="18">
        <v>60</v>
      </c>
      <c r="M38" s="18">
        <v>1.62</v>
      </c>
      <c r="O38" s="17">
        <v>224661</v>
      </c>
      <c r="Q38" s="17">
        <v>2907</v>
      </c>
      <c r="S38" s="17">
        <v>19402</v>
      </c>
      <c r="U38" s="17">
        <v>81900</v>
      </c>
      <c r="W38" s="17">
        <v>18000</v>
      </c>
      <c r="Y38" s="17">
        <v>0</v>
      </c>
      <c r="AA38" s="17">
        <v>0</v>
      </c>
      <c r="AC38" s="17">
        <v>108267</v>
      </c>
      <c r="AE38" s="17">
        <v>18880</v>
      </c>
      <c r="AG38" s="13">
        <f t="shared" si="0"/>
        <v>8.6361228695679262E-2</v>
      </c>
      <c r="AH38" s="13">
        <f t="shared" si="1"/>
        <v>0</v>
      </c>
      <c r="AI38" s="13">
        <f t="shared" si="2"/>
        <v>1.2939495506563222E-2</v>
      </c>
    </row>
    <row r="39" spans="1:35" x14ac:dyDescent="0.3">
      <c r="A39" s="16">
        <v>2042</v>
      </c>
      <c r="C39" s="17">
        <v>3466</v>
      </c>
      <c r="E39" s="17">
        <v>0</v>
      </c>
      <c r="G39" s="17">
        <v>3119</v>
      </c>
      <c r="I39" s="17">
        <v>0</v>
      </c>
      <c r="K39" s="18">
        <v>60</v>
      </c>
      <c r="M39" s="18">
        <v>1.61</v>
      </c>
      <c r="O39" s="17">
        <v>187178</v>
      </c>
      <c r="Q39" s="17">
        <v>2416</v>
      </c>
      <c r="S39" s="17">
        <v>16162</v>
      </c>
      <c r="U39" s="17">
        <v>81900</v>
      </c>
      <c r="W39" s="17">
        <v>18000</v>
      </c>
      <c r="Y39" s="17">
        <v>0</v>
      </c>
      <c r="AA39" s="17">
        <v>0</v>
      </c>
      <c r="AC39" s="17">
        <v>73532</v>
      </c>
      <c r="AE39" s="17">
        <v>11608</v>
      </c>
      <c r="AG39" s="13">
        <f t="shared" si="0"/>
        <v>8.6345617540522931E-2</v>
      </c>
      <c r="AH39" s="13">
        <f t="shared" si="1"/>
        <v>0</v>
      </c>
      <c r="AI39" s="13">
        <f t="shared" si="2"/>
        <v>1.2907499813012212E-2</v>
      </c>
    </row>
    <row r="40" spans="1:35" x14ac:dyDescent="0.3">
      <c r="A40" s="16">
        <v>2043</v>
      </c>
      <c r="C40" s="17">
        <v>2970</v>
      </c>
      <c r="E40" s="17">
        <v>0</v>
      </c>
      <c r="G40" s="17">
        <v>2672</v>
      </c>
      <c r="I40" s="17">
        <v>0</v>
      </c>
      <c r="K40" s="18">
        <v>60</v>
      </c>
      <c r="M40" s="18">
        <v>1.62</v>
      </c>
      <c r="O40" s="17">
        <v>160311</v>
      </c>
      <c r="Q40" s="17">
        <v>2125</v>
      </c>
      <c r="S40" s="17">
        <v>13842</v>
      </c>
      <c r="U40" s="17">
        <v>81900</v>
      </c>
      <c r="W40" s="17">
        <v>18000</v>
      </c>
      <c r="Y40" s="17">
        <v>0</v>
      </c>
      <c r="AA40" s="17">
        <v>0</v>
      </c>
      <c r="AC40" s="17">
        <v>48695</v>
      </c>
      <c r="AE40" s="17">
        <v>6958</v>
      </c>
      <c r="AG40" s="13">
        <f t="shared" si="0"/>
        <v>8.6344667552444937E-2</v>
      </c>
      <c r="AH40" s="13">
        <f t="shared" si="1"/>
        <v>0</v>
      </c>
      <c r="AI40" s="13">
        <f t="shared" si="2"/>
        <v>1.3255484651708243E-2</v>
      </c>
    </row>
    <row r="41" spans="1:35" ht="21.9" customHeight="1" x14ac:dyDescent="0.3">
      <c r="A41" s="16">
        <v>2044</v>
      </c>
      <c r="C41" s="17">
        <v>2542</v>
      </c>
      <c r="E41" s="17">
        <v>0</v>
      </c>
      <c r="G41" s="17">
        <v>2288</v>
      </c>
      <c r="I41" s="17">
        <v>0</v>
      </c>
      <c r="K41" s="18">
        <v>60</v>
      </c>
      <c r="M41" s="18">
        <v>1.62</v>
      </c>
      <c r="O41" s="17">
        <v>137300</v>
      </c>
      <c r="Q41" s="17">
        <v>1858</v>
      </c>
      <c r="S41" s="17">
        <v>11855</v>
      </c>
      <c r="U41" s="17">
        <v>81900</v>
      </c>
      <c r="W41" s="17">
        <v>0</v>
      </c>
      <c r="Y41" s="17">
        <v>0</v>
      </c>
      <c r="AA41" s="17">
        <v>0</v>
      </c>
      <c r="AC41" s="17">
        <v>45401</v>
      </c>
      <c r="AE41" s="17">
        <v>5873</v>
      </c>
      <c r="AG41" s="13">
        <f t="shared" si="0"/>
        <v>8.6343772760378731E-2</v>
      </c>
      <c r="AH41" s="13">
        <f t="shared" si="1"/>
        <v>0</v>
      </c>
      <c r="AI41" s="13">
        <f t="shared" si="2"/>
        <v>1.3532410779315367E-2</v>
      </c>
    </row>
    <row r="42" spans="1:35" x14ac:dyDescent="0.3">
      <c r="A42" s="16">
        <v>2045</v>
      </c>
      <c r="C42" s="17">
        <v>2121</v>
      </c>
      <c r="E42" s="17">
        <v>0</v>
      </c>
      <c r="G42" s="17">
        <v>1910</v>
      </c>
      <c r="I42" s="17">
        <v>0</v>
      </c>
      <c r="K42" s="18">
        <v>60</v>
      </c>
      <c r="M42" s="18">
        <v>1.62</v>
      </c>
      <c r="O42" s="17">
        <v>114591</v>
      </c>
      <c r="Q42" s="17">
        <v>1636</v>
      </c>
      <c r="S42" s="17">
        <v>9898</v>
      </c>
      <c r="U42" s="17">
        <v>81900</v>
      </c>
      <c r="W42" s="17">
        <v>0</v>
      </c>
      <c r="Y42" s="17">
        <v>0</v>
      </c>
      <c r="AA42" s="17">
        <v>0</v>
      </c>
      <c r="AC42" s="17">
        <v>24430</v>
      </c>
      <c r="AE42" s="17">
        <v>2860</v>
      </c>
      <c r="AG42" s="13">
        <f t="shared" si="0"/>
        <v>8.6376766063652466E-2</v>
      </c>
      <c r="AH42" s="13">
        <f t="shared" si="1"/>
        <v>0</v>
      </c>
      <c r="AI42" s="13">
        <f t="shared" si="2"/>
        <v>1.4276862929898508E-2</v>
      </c>
    </row>
    <row r="43" spans="1:35" x14ac:dyDescent="0.3">
      <c r="A43" s="16">
        <v>2046</v>
      </c>
      <c r="C43" s="17">
        <v>1763</v>
      </c>
      <c r="E43" s="17">
        <v>0</v>
      </c>
      <c r="G43" s="17">
        <v>1586</v>
      </c>
      <c r="I43" s="17">
        <v>0</v>
      </c>
      <c r="K43" s="18">
        <v>60</v>
      </c>
      <c r="M43" s="18">
        <v>1.62</v>
      </c>
      <c r="O43" s="17">
        <v>95136</v>
      </c>
      <c r="Q43" s="17">
        <v>1421</v>
      </c>
      <c r="S43" s="17">
        <v>8218</v>
      </c>
      <c r="U43" s="17">
        <v>81900</v>
      </c>
      <c r="W43" s="17">
        <v>0</v>
      </c>
      <c r="Y43" s="17">
        <v>0</v>
      </c>
      <c r="AA43" s="17">
        <v>0</v>
      </c>
      <c r="AC43" s="17">
        <v>6440</v>
      </c>
      <c r="AE43" s="17">
        <v>683</v>
      </c>
      <c r="AG43" s="13">
        <f t="shared" si="0"/>
        <v>8.6381601076353856E-2</v>
      </c>
      <c r="AH43" s="13">
        <f t="shared" si="1"/>
        <v>0</v>
      </c>
      <c r="AI43" s="13">
        <f t="shared" si="2"/>
        <v>1.4936511940800538E-2</v>
      </c>
    </row>
    <row r="44" spans="1:35" x14ac:dyDescent="0.3">
      <c r="A44" s="16">
        <v>2047</v>
      </c>
      <c r="C44" s="17">
        <v>0</v>
      </c>
      <c r="E44" s="17">
        <v>0</v>
      </c>
      <c r="G44" s="17">
        <v>0</v>
      </c>
      <c r="I44" s="17">
        <v>0</v>
      </c>
      <c r="K44" s="18">
        <v>0</v>
      </c>
      <c r="M44" s="18">
        <v>0</v>
      </c>
      <c r="O44" s="17">
        <v>0</v>
      </c>
      <c r="Q44" s="17">
        <v>0</v>
      </c>
      <c r="S44" s="17">
        <v>0</v>
      </c>
      <c r="U44" s="17">
        <v>0</v>
      </c>
      <c r="W44" s="17">
        <v>0</v>
      </c>
      <c r="Y44" s="17">
        <v>691155</v>
      </c>
      <c r="AA44" s="17">
        <v>0</v>
      </c>
      <c r="AC44" s="17">
        <v>-691155</v>
      </c>
      <c r="AE44" s="17">
        <v>-66312</v>
      </c>
      <c r="AG44" s="13">
        <f t="shared" si="0"/>
        <v>0</v>
      </c>
      <c r="AH44" s="13">
        <f t="shared" si="1"/>
        <v>0</v>
      </c>
      <c r="AI44" s="13">
        <f t="shared" si="2"/>
        <v>0</v>
      </c>
    </row>
    <row r="45" spans="1:35" x14ac:dyDescent="0.3">
      <c r="A45" s="16">
        <v>2048</v>
      </c>
      <c r="C45" s="17">
        <v>0</v>
      </c>
      <c r="E45" s="17">
        <v>0</v>
      </c>
      <c r="G45" s="17">
        <v>0</v>
      </c>
      <c r="I45" s="17">
        <v>0</v>
      </c>
      <c r="K45" s="18">
        <v>0</v>
      </c>
      <c r="M45" s="18">
        <v>0</v>
      </c>
      <c r="O45" s="17">
        <v>0</v>
      </c>
      <c r="Q45" s="17">
        <v>0</v>
      </c>
      <c r="S45" s="17">
        <v>0</v>
      </c>
      <c r="U45" s="17">
        <v>0</v>
      </c>
      <c r="W45" s="17">
        <v>0</v>
      </c>
      <c r="Y45" s="17">
        <v>0</v>
      </c>
      <c r="AA45" s="17">
        <v>0</v>
      </c>
      <c r="AC45" s="17">
        <v>0</v>
      </c>
      <c r="AE45" s="17">
        <v>0</v>
      </c>
      <c r="AG45" s="13">
        <f t="shared" si="0"/>
        <v>0</v>
      </c>
      <c r="AH45" s="13">
        <f t="shared" si="1"/>
        <v>0</v>
      </c>
      <c r="AI45" s="13">
        <f t="shared" si="2"/>
        <v>0</v>
      </c>
    </row>
    <row r="46" spans="1:35" ht="21.9" customHeight="1" x14ac:dyDescent="0.3">
      <c r="A46" s="16">
        <v>2049</v>
      </c>
      <c r="C46" s="17">
        <v>0</v>
      </c>
      <c r="E46" s="17">
        <v>0</v>
      </c>
      <c r="G46" s="17">
        <v>0</v>
      </c>
      <c r="I46" s="17">
        <v>0</v>
      </c>
      <c r="K46" s="18">
        <v>0</v>
      </c>
      <c r="M46" s="18">
        <v>0</v>
      </c>
      <c r="O46" s="17">
        <v>0</v>
      </c>
      <c r="Q46" s="17">
        <v>0</v>
      </c>
      <c r="S46" s="17">
        <v>0</v>
      </c>
      <c r="U46" s="17">
        <v>0</v>
      </c>
      <c r="W46" s="17">
        <v>0</v>
      </c>
      <c r="Y46" s="17">
        <v>0</v>
      </c>
      <c r="AA46" s="17">
        <v>0</v>
      </c>
      <c r="AC46" s="17">
        <v>0</v>
      </c>
      <c r="AE46" s="17">
        <v>0</v>
      </c>
      <c r="AG46" s="13">
        <f t="shared" si="0"/>
        <v>0</v>
      </c>
      <c r="AH46" s="13">
        <f t="shared" si="1"/>
        <v>0</v>
      </c>
      <c r="AI46" s="13">
        <f t="shared" si="2"/>
        <v>0</v>
      </c>
    </row>
    <row r="47" spans="1:35" x14ac:dyDescent="0.3">
      <c r="A47" s="16">
        <v>2050</v>
      </c>
      <c r="C47" s="17">
        <v>0</v>
      </c>
      <c r="E47" s="17">
        <v>0</v>
      </c>
      <c r="G47" s="17">
        <v>0</v>
      </c>
      <c r="I47" s="17">
        <v>0</v>
      </c>
      <c r="K47" s="18">
        <v>0</v>
      </c>
      <c r="M47" s="18">
        <v>0</v>
      </c>
      <c r="O47" s="17">
        <v>0</v>
      </c>
      <c r="Q47" s="17">
        <v>0</v>
      </c>
      <c r="S47" s="17">
        <v>0</v>
      </c>
      <c r="U47" s="17">
        <v>0</v>
      </c>
      <c r="W47" s="17">
        <v>0</v>
      </c>
      <c r="Y47" s="17">
        <v>0</v>
      </c>
      <c r="AA47" s="17">
        <v>0</v>
      </c>
      <c r="AC47" s="17">
        <v>0</v>
      </c>
      <c r="AE47" s="17">
        <v>0</v>
      </c>
      <c r="AG47" s="13">
        <f t="shared" si="0"/>
        <v>0</v>
      </c>
      <c r="AH47" s="13">
        <f t="shared" si="1"/>
        <v>0</v>
      </c>
      <c r="AI47" s="13">
        <f t="shared" si="2"/>
        <v>0</v>
      </c>
    </row>
    <row r="48" spans="1:35" x14ac:dyDescent="0.3">
      <c r="A48" s="16">
        <v>2051</v>
      </c>
      <c r="C48" s="17">
        <v>0</v>
      </c>
      <c r="E48" s="17">
        <v>0</v>
      </c>
      <c r="G48" s="17">
        <v>0</v>
      </c>
      <c r="I48" s="17">
        <v>0</v>
      </c>
      <c r="K48" s="18">
        <v>0</v>
      </c>
      <c r="M48" s="18">
        <v>0</v>
      </c>
      <c r="O48" s="17">
        <v>0</v>
      </c>
      <c r="Q48" s="17">
        <v>0</v>
      </c>
      <c r="S48" s="17">
        <v>0</v>
      </c>
      <c r="U48" s="17">
        <v>0</v>
      </c>
      <c r="W48" s="17">
        <v>0</v>
      </c>
      <c r="Y48" s="17">
        <v>0</v>
      </c>
      <c r="AA48" s="17">
        <v>0</v>
      </c>
      <c r="AC48" s="17">
        <v>0</v>
      </c>
      <c r="AE48" s="17">
        <v>0</v>
      </c>
      <c r="AG48" s="13">
        <f t="shared" si="0"/>
        <v>0</v>
      </c>
      <c r="AH48" s="13">
        <f t="shared" si="1"/>
        <v>0</v>
      </c>
      <c r="AI48" s="13">
        <f t="shared" si="2"/>
        <v>0</v>
      </c>
    </row>
    <row r="49" spans="1:35" x14ac:dyDescent="0.3">
      <c r="A49" s="16">
        <v>2052</v>
      </c>
      <c r="C49" s="17">
        <v>0</v>
      </c>
      <c r="E49" s="17">
        <v>0</v>
      </c>
      <c r="G49" s="17">
        <v>0</v>
      </c>
      <c r="I49" s="17">
        <v>0</v>
      </c>
      <c r="K49" s="18">
        <v>0</v>
      </c>
      <c r="M49" s="18">
        <v>0</v>
      </c>
      <c r="O49" s="17">
        <v>0</v>
      </c>
      <c r="Q49" s="17">
        <v>0</v>
      </c>
      <c r="S49" s="17">
        <v>0</v>
      </c>
      <c r="U49" s="17">
        <v>0</v>
      </c>
      <c r="W49" s="17">
        <v>0</v>
      </c>
      <c r="Y49" s="17">
        <v>0</v>
      </c>
      <c r="AA49" s="17">
        <v>0</v>
      </c>
      <c r="AC49" s="17">
        <v>0</v>
      </c>
      <c r="AE49" s="17">
        <v>0</v>
      </c>
      <c r="AG49" s="13">
        <f t="shared" si="0"/>
        <v>0</v>
      </c>
      <c r="AH49" s="13">
        <f t="shared" si="1"/>
        <v>0</v>
      </c>
      <c r="AI49" s="13">
        <f t="shared" si="2"/>
        <v>0</v>
      </c>
    </row>
    <row r="50" spans="1:35" x14ac:dyDescent="0.3">
      <c r="A50" s="16">
        <v>2053</v>
      </c>
      <c r="C50" s="17">
        <v>0</v>
      </c>
      <c r="E50" s="17">
        <v>0</v>
      </c>
      <c r="G50" s="17">
        <v>0</v>
      </c>
      <c r="I50" s="17">
        <v>0</v>
      </c>
      <c r="K50" s="18">
        <v>0</v>
      </c>
      <c r="M50" s="18">
        <v>0</v>
      </c>
      <c r="O50" s="17">
        <v>0</v>
      </c>
      <c r="Q50" s="17">
        <v>0</v>
      </c>
      <c r="S50" s="17">
        <v>0</v>
      </c>
      <c r="U50" s="17">
        <v>0</v>
      </c>
      <c r="W50" s="17">
        <v>0</v>
      </c>
      <c r="Y50" s="17">
        <v>0</v>
      </c>
      <c r="AA50" s="17">
        <v>0</v>
      </c>
      <c r="AC50" s="17">
        <v>0</v>
      </c>
      <c r="AE50" s="17">
        <v>0</v>
      </c>
      <c r="AG50" s="13">
        <f t="shared" si="0"/>
        <v>0</v>
      </c>
      <c r="AH50" s="13">
        <f t="shared" si="1"/>
        <v>0</v>
      </c>
      <c r="AI50" s="13">
        <f t="shared" si="2"/>
        <v>0</v>
      </c>
    </row>
    <row r="51" spans="1:35" ht="21.9" customHeight="1" x14ac:dyDescent="0.3">
      <c r="A51" s="16">
        <v>2054</v>
      </c>
      <c r="C51" s="17">
        <v>0</v>
      </c>
      <c r="E51" s="17">
        <v>0</v>
      </c>
      <c r="G51" s="17">
        <v>0</v>
      </c>
      <c r="I51" s="17">
        <v>0</v>
      </c>
      <c r="K51" s="18">
        <v>0</v>
      </c>
      <c r="M51" s="18">
        <v>0</v>
      </c>
      <c r="O51" s="17">
        <v>0</v>
      </c>
      <c r="Q51" s="17">
        <v>0</v>
      </c>
      <c r="S51" s="17">
        <v>0</v>
      </c>
      <c r="U51" s="17">
        <v>0</v>
      </c>
      <c r="W51" s="17">
        <v>0</v>
      </c>
      <c r="Y51" s="17">
        <v>0</v>
      </c>
      <c r="AA51" s="17">
        <v>0</v>
      </c>
      <c r="AC51" s="17">
        <v>0</v>
      </c>
      <c r="AE51" s="17">
        <v>0</v>
      </c>
      <c r="AG51" s="13">
        <f t="shared" si="0"/>
        <v>0</v>
      </c>
      <c r="AH51" s="13">
        <f t="shared" si="1"/>
        <v>0</v>
      </c>
      <c r="AI51" s="13">
        <f t="shared" si="2"/>
        <v>0</v>
      </c>
    </row>
    <row r="52" spans="1:35" x14ac:dyDescent="0.3">
      <c r="A52" s="16">
        <v>2055</v>
      </c>
      <c r="C52" s="17">
        <v>0</v>
      </c>
      <c r="E52" s="17">
        <v>0</v>
      </c>
      <c r="G52" s="17">
        <v>0</v>
      </c>
      <c r="I52" s="17">
        <v>0</v>
      </c>
      <c r="K52" s="18">
        <v>0</v>
      </c>
      <c r="M52" s="18">
        <v>0</v>
      </c>
      <c r="O52" s="17">
        <v>0</v>
      </c>
      <c r="Q52" s="17">
        <v>0</v>
      </c>
      <c r="S52" s="17">
        <v>0</v>
      </c>
      <c r="U52" s="17">
        <v>0</v>
      </c>
      <c r="W52" s="17">
        <v>0</v>
      </c>
      <c r="Y52" s="17">
        <v>0</v>
      </c>
      <c r="AA52" s="17">
        <v>0</v>
      </c>
      <c r="AC52" s="17">
        <v>0</v>
      </c>
      <c r="AE52" s="17">
        <v>0</v>
      </c>
      <c r="AG52" s="13">
        <f t="shared" si="0"/>
        <v>0</v>
      </c>
      <c r="AH52" s="13">
        <f t="shared" si="1"/>
        <v>0</v>
      </c>
      <c r="AI52" s="13">
        <f t="shared" si="2"/>
        <v>0</v>
      </c>
    </row>
    <row r="53" spans="1:35" x14ac:dyDescent="0.3">
      <c r="A53" s="16">
        <v>2056</v>
      </c>
      <c r="C53" s="17">
        <v>0</v>
      </c>
      <c r="E53" s="17">
        <v>0</v>
      </c>
      <c r="G53" s="17">
        <v>0</v>
      </c>
      <c r="I53" s="17">
        <v>0</v>
      </c>
      <c r="K53" s="18">
        <v>0</v>
      </c>
      <c r="M53" s="18">
        <v>0</v>
      </c>
      <c r="O53" s="17">
        <v>0</v>
      </c>
      <c r="Q53" s="17">
        <v>0</v>
      </c>
      <c r="S53" s="17">
        <v>0</v>
      </c>
      <c r="U53" s="17">
        <v>0</v>
      </c>
      <c r="W53" s="17">
        <v>0</v>
      </c>
      <c r="Y53" s="17">
        <v>0</v>
      </c>
      <c r="AA53" s="17">
        <v>0</v>
      </c>
      <c r="AC53" s="17">
        <v>0</v>
      </c>
      <c r="AE53" s="17">
        <v>0</v>
      </c>
      <c r="AG53" s="13">
        <f t="shared" si="0"/>
        <v>0</v>
      </c>
      <c r="AH53" s="13">
        <f t="shared" si="1"/>
        <v>0</v>
      </c>
      <c r="AI53" s="13">
        <f t="shared" si="2"/>
        <v>0</v>
      </c>
    </row>
    <row r="54" spans="1:35" x14ac:dyDescent="0.3">
      <c r="A54" s="16">
        <v>2057</v>
      </c>
      <c r="C54" s="17">
        <v>0</v>
      </c>
      <c r="E54" s="17">
        <v>0</v>
      </c>
      <c r="G54" s="17">
        <v>0</v>
      </c>
      <c r="I54" s="17">
        <v>0</v>
      </c>
      <c r="K54" s="18">
        <v>0</v>
      </c>
      <c r="M54" s="18">
        <v>0</v>
      </c>
      <c r="O54" s="17">
        <v>0</v>
      </c>
      <c r="Q54" s="17">
        <v>0</v>
      </c>
      <c r="S54" s="17">
        <v>0</v>
      </c>
      <c r="U54" s="17">
        <v>0</v>
      </c>
      <c r="W54" s="17">
        <v>0</v>
      </c>
      <c r="Y54" s="17">
        <v>0</v>
      </c>
      <c r="AA54" s="17">
        <v>0</v>
      </c>
      <c r="AC54" s="17">
        <v>0</v>
      </c>
      <c r="AE54" s="17">
        <v>0</v>
      </c>
      <c r="AG54" s="13">
        <f t="shared" si="0"/>
        <v>0</v>
      </c>
      <c r="AH54" s="13">
        <f t="shared" si="1"/>
        <v>0</v>
      </c>
      <c r="AI54" s="13">
        <f t="shared" si="2"/>
        <v>0</v>
      </c>
    </row>
    <row r="55" spans="1:35" x14ac:dyDescent="0.3">
      <c r="A55" s="16">
        <v>2058</v>
      </c>
      <c r="C55" s="17">
        <v>0</v>
      </c>
      <c r="E55" s="17">
        <v>0</v>
      </c>
      <c r="G55" s="17">
        <v>0</v>
      </c>
      <c r="I55" s="17">
        <v>0</v>
      </c>
      <c r="K55" s="18">
        <v>0</v>
      </c>
      <c r="M55" s="18">
        <v>0</v>
      </c>
      <c r="O55" s="17">
        <v>0</v>
      </c>
      <c r="Q55" s="17">
        <v>0</v>
      </c>
      <c r="S55" s="17">
        <v>0</v>
      </c>
      <c r="U55" s="17">
        <v>0</v>
      </c>
      <c r="W55" s="17">
        <v>0</v>
      </c>
      <c r="Y55" s="17">
        <v>0</v>
      </c>
      <c r="AA55" s="17">
        <v>0</v>
      </c>
      <c r="AC55" s="17">
        <v>0</v>
      </c>
      <c r="AE55" s="17">
        <v>0</v>
      </c>
      <c r="AG55" s="13">
        <f t="shared" si="0"/>
        <v>0</v>
      </c>
      <c r="AH55" s="13">
        <f t="shared" si="1"/>
        <v>0</v>
      </c>
      <c r="AI55" s="13">
        <f t="shared" si="2"/>
        <v>0</v>
      </c>
    </row>
    <row r="56" spans="1:35" ht="21.9" customHeight="1" x14ac:dyDescent="0.3">
      <c r="A56" s="16">
        <v>2059</v>
      </c>
      <c r="C56" s="17">
        <v>0</v>
      </c>
      <c r="E56" s="17">
        <v>0</v>
      </c>
      <c r="G56" s="17">
        <v>0</v>
      </c>
      <c r="I56" s="17">
        <v>0</v>
      </c>
      <c r="K56" s="18">
        <v>0</v>
      </c>
      <c r="M56" s="18">
        <v>0</v>
      </c>
      <c r="O56" s="17">
        <v>0</v>
      </c>
      <c r="Q56" s="17">
        <v>0</v>
      </c>
      <c r="S56" s="17">
        <v>0</v>
      </c>
      <c r="U56" s="17">
        <v>0</v>
      </c>
      <c r="W56" s="17">
        <v>0</v>
      </c>
      <c r="Y56" s="17">
        <v>0</v>
      </c>
      <c r="AA56" s="17">
        <v>0</v>
      </c>
      <c r="AC56" s="17">
        <v>0</v>
      </c>
      <c r="AE56" s="17">
        <v>0</v>
      </c>
      <c r="AG56" s="13">
        <f t="shared" si="0"/>
        <v>0</v>
      </c>
      <c r="AH56" s="13">
        <f t="shared" si="1"/>
        <v>0</v>
      </c>
      <c r="AI56" s="13">
        <f t="shared" si="2"/>
        <v>0</v>
      </c>
    </row>
    <row r="57" spans="1:35" x14ac:dyDescent="0.3">
      <c r="A57" s="16">
        <v>2060</v>
      </c>
      <c r="C57" s="19">
        <v>0</v>
      </c>
      <c r="E57" s="19">
        <v>0</v>
      </c>
      <c r="G57" s="19">
        <v>0</v>
      </c>
      <c r="I57" s="19">
        <v>0</v>
      </c>
      <c r="K57" s="18">
        <v>0</v>
      </c>
      <c r="M57" s="18">
        <v>0</v>
      </c>
      <c r="O57" s="19">
        <v>0</v>
      </c>
      <c r="Q57" s="19">
        <v>0</v>
      </c>
      <c r="S57" s="19">
        <v>0</v>
      </c>
      <c r="U57" s="19">
        <v>0</v>
      </c>
      <c r="W57" s="19">
        <v>0</v>
      </c>
      <c r="Y57" s="19">
        <v>0</v>
      </c>
      <c r="AA57" s="19">
        <v>0</v>
      </c>
      <c r="AC57" s="19">
        <v>0</v>
      </c>
      <c r="AE57" s="19">
        <v>0</v>
      </c>
      <c r="AG57" s="13">
        <f t="shared" si="0"/>
        <v>0</v>
      </c>
      <c r="AH57" s="13">
        <f t="shared" si="1"/>
        <v>0</v>
      </c>
      <c r="AI57" s="13">
        <f t="shared" si="2"/>
        <v>0</v>
      </c>
    </row>
    <row r="58" spans="1:35" x14ac:dyDescent="0.3">
      <c r="AG58" s="13"/>
      <c r="AH58" s="13"/>
      <c r="AI58" s="13"/>
    </row>
    <row r="59" spans="1:35" x14ac:dyDescent="0.3">
      <c r="A59" s="228" t="s">
        <v>2</v>
      </c>
      <c r="C59" s="229">
        <v>321559</v>
      </c>
      <c r="E59" s="229">
        <v>85835</v>
      </c>
      <c r="G59" s="229">
        <v>292510</v>
      </c>
      <c r="I59" s="229">
        <v>78297</v>
      </c>
      <c r="O59" s="229">
        <v>17677409</v>
      </c>
      <c r="Q59" s="229">
        <v>276155</v>
      </c>
      <c r="S59" s="229">
        <v>1192759</v>
      </c>
      <c r="U59" s="229">
        <v>1895909</v>
      </c>
      <c r="W59" s="229">
        <v>1545868</v>
      </c>
      <c r="Y59" s="229">
        <v>761355</v>
      </c>
      <c r="AA59" s="229">
        <v>467998</v>
      </c>
      <c r="AC59" s="229">
        <v>12089675</v>
      </c>
      <c r="AE59" s="229">
        <v>6596492</v>
      </c>
      <c r="AG59" s="13"/>
      <c r="AH59" s="13"/>
      <c r="AI59" s="13"/>
    </row>
    <row r="60" spans="1:35" x14ac:dyDescent="0.3">
      <c r="AG60" s="13"/>
      <c r="AH60" s="13"/>
      <c r="AI60" s="13"/>
    </row>
    <row r="61" spans="1:35" ht="21.9" customHeight="1" x14ac:dyDescent="0.3">
      <c r="A61" t="s">
        <v>45</v>
      </c>
      <c r="AC61" s="225" t="s">
        <v>721</v>
      </c>
      <c r="AD61" s="15"/>
      <c r="AE61" s="15"/>
      <c r="AG61" s="13"/>
      <c r="AH61" s="13"/>
      <c r="AI61" s="13"/>
    </row>
    <row r="62" spans="1:35" x14ac:dyDescent="0.3">
      <c r="A62" t="s">
        <v>77</v>
      </c>
      <c r="AC62" s="20" t="s">
        <v>46</v>
      </c>
      <c r="AE62" s="17">
        <v>8837702</v>
      </c>
      <c r="AG62" s="13"/>
      <c r="AH62" s="13"/>
      <c r="AI62" s="13"/>
    </row>
    <row r="63" spans="1:35" x14ac:dyDescent="0.3">
      <c r="A63" t="s">
        <v>78</v>
      </c>
      <c r="AC63" s="20" t="s">
        <v>47</v>
      </c>
      <c r="AE63" s="17">
        <v>5049476</v>
      </c>
      <c r="AG63" s="13"/>
      <c r="AH63" s="13"/>
      <c r="AI63" s="13"/>
    </row>
    <row r="64" spans="1:35" x14ac:dyDescent="0.3">
      <c r="A64" t="s">
        <v>79</v>
      </c>
      <c r="AC64" s="20" t="s">
        <v>48</v>
      </c>
      <c r="AE64" s="17">
        <v>3963533</v>
      </c>
      <c r="AG64" s="13"/>
      <c r="AH64" s="13"/>
      <c r="AI64" s="13"/>
    </row>
    <row r="65" spans="1:1" x14ac:dyDescent="0.3">
      <c r="A65" t="s">
        <v>713</v>
      </c>
    </row>
    <row r="66" spans="1:1" x14ac:dyDescent="0.3">
      <c r="A66" s="230" t="s">
        <v>718</v>
      </c>
    </row>
    <row r="67" spans="1:1" x14ac:dyDescent="0.3">
      <c r="A67" t="s">
        <v>714</v>
      </c>
    </row>
    <row r="68" spans="1:1" x14ac:dyDescent="0.3">
      <c r="A68" s="230" t="s">
        <v>719</v>
      </c>
    </row>
  </sheetData>
  <printOptions horizontalCentered="1"/>
  <pageMargins left="0.5" right="0.5" top="0.75" bottom="1" header="0.3" footer="0.3"/>
  <pageSetup scale="4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8FBF1-CDD5-45F9-9AB8-EFD36CA21D49}">
  <sheetPr>
    <tabColor rgb="FF7030A0"/>
    <pageSetUpPr fitToPage="1"/>
  </sheetPr>
  <dimension ref="A1:AI69"/>
  <sheetViews>
    <sheetView showGridLines="0" zoomScaleNormal="100" zoomScaleSheetLayoutView="100" workbookViewId="0">
      <selection activeCell="AA40" sqref="AA40"/>
    </sheetView>
  </sheetViews>
  <sheetFormatPr defaultRowHeight="14.4" x14ac:dyDescent="0.3"/>
  <cols>
    <col min="1" max="1" width="6" bestFit="1" customWidth="1"/>
    <col min="2" max="2" width="1.6640625" customWidth="1"/>
    <col min="3" max="3" width="9.5546875" customWidth="1"/>
    <col min="4" max="4" width="1.6640625" customWidth="1"/>
    <col min="5" max="5" width="9.5546875" customWidth="1"/>
    <col min="6" max="6" width="1.6640625" customWidth="1"/>
    <col min="7" max="7" width="9.5546875" customWidth="1"/>
    <col min="8" max="8" width="1.6640625" customWidth="1"/>
    <col min="9" max="9" width="9.5546875" customWidth="1"/>
    <col min="10" max="10" width="1.6640625" customWidth="1"/>
    <col min="11" max="11" width="13.33203125" customWidth="1"/>
    <col min="12" max="12" width="1.6640625" customWidth="1"/>
    <col min="13" max="13" width="13.33203125" bestFit="1" customWidth="1"/>
    <col min="14" max="14" width="1.6640625" customWidth="1"/>
    <col min="15" max="15" width="14.5546875" customWidth="1"/>
    <col min="16" max="16" width="1.6640625" customWidth="1"/>
    <col min="17" max="17" width="14.5546875" customWidth="1"/>
    <col min="18" max="18" width="1.6640625" customWidth="1"/>
    <col min="19" max="19" width="14.5546875" customWidth="1"/>
    <col min="20" max="20" width="1.6640625" customWidth="1"/>
    <col min="21" max="21" width="14.5546875" customWidth="1"/>
    <col min="22" max="22" width="1.6640625" customWidth="1"/>
    <col min="23" max="23" width="14.5546875" customWidth="1"/>
    <col min="24" max="24" width="1.6640625" customWidth="1"/>
    <col min="25" max="25" width="14.5546875" bestFit="1" customWidth="1"/>
    <col min="26" max="26" width="1.6640625" customWidth="1"/>
    <col min="27" max="27" width="14.5546875" customWidth="1"/>
    <col min="28" max="28" width="1.6640625" customWidth="1"/>
    <col min="29" max="29" width="14.5546875" customWidth="1"/>
    <col min="30" max="30" width="1.6640625" customWidth="1"/>
    <col min="31" max="31" width="14.5546875" customWidth="1"/>
    <col min="32" max="32" width="2.21875" customWidth="1"/>
  </cols>
  <sheetData>
    <row r="1" spans="1:34" x14ac:dyDescent="0.3">
      <c r="A1" s="223" t="s">
        <v>51</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row>
    <row r="2" spans="1:34" x14ac:dyDescent="0.3">
      <c r="A2" s="223" t="s">
        <v>62</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row>
    <row r="3" spans="1:34" x14ac:dyDescent="0.3">
      <c r="A3" s="223" t="s">
        <v>22</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row>
    <row r="4" spans="1:34" x14ac:dyDescent="0.3">
      <c r="A4" s="223" t="s">
        <v>710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row>
    <row r="5" spans="1:34" x14ac:dyDescent="0.3">
      <c r="A5" s="223" t="s">
        <v>60</v>
      </c>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row>
    <row r="6" spans="1:34" x14ac:dyDescent="0.3">
      <c r="A6" s="223" t="s">
        <v>59</v>
      </c>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row>
    <row r="7" spans="1:34" x14ac:dyDescent="0.3">
      <c r="A7" s="223" t="s">
        <v>23</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row>
    <row r="8" spans="1:34" x14ac:dyDescent="0.3">
      <c r="A8" s="223" t="s">
        <v>24</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row>
    <row r="9" spans="1:34" x14ac:dyDescent="0.3">
      <c r="A9" s="223" t="s">
        <v>25</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row>
    <row r="10" spans="1:34" x14ac:dyDescent="0.3">
      <c r="A10" s="223" t="s">
        <v>711</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row>
    <row r="11" spans="1:34" x14ac:dyDescent="0.3">
      <c r="A11" s="223" t="s">
        <v>5</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row>
    <row r="12" spans="1:34" x14ac:dyDescent="0.3">
      <c r="A12" s="223" t="s">
        <v>5</v>
      </c>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row>
    <row r="13" spans="1:34" x14ac:dyDescent="0.3">
      <c r="A13" s="223" t="s">
        <v>5</v>
      </c>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row>
    <row r="14" spans="1:34" x14ac:dyDescent="0.3">
      <c r="K14" s="224"/>
      <c r="L14" s="14"/>
      <c r="M14" s="14"/>
    </row>
    <row r="15" spans="1:34" x14ac:dyDescent="0.3">
      <c r="C15" s="224" t="s">
        <v>29</v>
      </c>
      <c r="D15" s="14"/>
      <c r="E15" s="14"/>
      <c r="G15" s="224" t="s">
        <v>35</v>
      </c>
      <c r="H15" s="14"/>
      <c r="I15" s="14"/>
      <c r="K15" s="224" t="s">
        <v>74</v>
      </c>
      <c r="L15" s="14"/>
      <c r="M15" s="14"/>
    </row>
    <row r="16" spans="1:34" x14ac:dyDescent="0.3">
      <c r="C16" s="225" t="s">
        <v>50</v>
      </c>
      <c r="D16" s="15"/>
      <c r="E16" s="15"/>
      <c r="G16" s="225" t="s">
        <v>50</v>
      </c>
      <c r="H16" s="15"/>
      <c r="I16" s="15"/>
      <c r="K16" s="225" t="s">
        <v>75</v>
      </c>
      <c r="L16" s="15"/>
      <c r="M16" s="15"/>
      <c r="O16" s="226" t="s">
        <v>26</v>
      </c>
      <c r="S16" s="226" t="s">
        <v>14</v>
      </c>
      <c r="AC16" s="226" t="s">
        <v>26</v>
      </c>
      <c r="AE16" s="226" t="s">
        <v>27</v>
      </c>
      <c r="AG16" s="9" t="s">
        <v>14</v>
      </c>
      <c r="AH16" s="9"/>
    </row>
    <row r="17" spans="1:35" x14ac:dyDescent="0.3">
      <c r="E17" s="226" t="s">
        <v>28</v>
      </c>
      <c r="I17" s="226" t="s">
        <v>28</v>
      </c>
      <c r="M17" s="226" t="s">
        <v>28</v>
      </c>
      <c r="O17" s="226" t="s">
        <v>29</v>
      </c>
      <c r="S17" s="226" t="s">
        <v>31</v>
      </c>
      <c r="U17" s="226" t="s">
        <v>32</v>
      </c>
      <c r="W17" s="226" t="s">
        <v>33</v>
      </c>
      <c r="Y17" s="226" t="s">
        <v>34</v>
      </c>
      <c r="AC17" s="226" t="s">
        <v>35</v>
      </c>
      <c r="AE17" s="226" t="s">
        <v>36</v>
      </c>
      <c r="AG17" s="9" t="s">
        <v>31</v>
      </c>
      <c r="AH17" s="9"/>
      <c r="AI17" s="226" t="s">
        <v>742</v>
      </c>
    </row>
    <row r="18" spans="1:35" x14ac:dyDescent="0.3">
      <c r="C18" s="226" t="s">
        <v>37</v>
      </c>
      <c r="E18" s="226" t="s">
        <v>38</v>
      </c>
      <c r="G18" s="226" t="s">
        <v>37</v>
      </c>
      <c r="I18" s="226" t="s">
        <v>38</v>
      </c>
      <c r="K18" s="226" t="s">
        <v>37</v>
      </c>
      <c r="M18" s="226" t="s">
        <v>38</v>
      </c>
      <c r="O18" s="226" t="s">
        <v>39</v>
      </c>
      <c r="Q18" s="226" t="s">
        <v>712</v>
      </c>
      <c r="S18" s="226" t="s">
        <v>30</v>
      </c>
      <c r="U18" s="226" t="s">
        <v>40</v>
      </c>
      <c r="W18" s="226" t="s">
        <v>41</v>
      </c>
      <c r="Y18" s="226" t="s">
        <v>76</v>
      </c>
      <c r="AA18" s="226" t="s">
        <v>42</v>
      </c>
      <c r="AC18" s="226" t="s">
        <v>39</v>
      </c>
      <c r="AE18" s="226" t="s">
        <v>43</v>
      </c>
      <c r="AG18" s="9" t="s">
        <v>30</v>
      </c>
      <c r="AH18" s="9" t="s">
        <v>42</v>
      </c>
      <c r="AI18" s="9" t="s">
        <v>743</v>
      </c>
    </row>
    <row r="19" spans="1:35" ht="16.8" x14ac:dyDescent="0.3">
      <c r="A19" s="227" t="s">
        <v>1</v>
      </c>
      <c r="C19" s="227" t="s">
        <v>715</v>
      </c>
      <c r="E19" s="227" t="s">
        <v>716</v>
      </c>
      <c r="G19" s="227" t="s">
        <v>715</v>
      </c>
      <c r="I19" s="227" t="s">
        <v>716</v>
      </c>
      <c r="K19" s="227" t="s">
        <v>44</v>
      </c>
      <c r="M19" s="227" t="s">
        <v>717</v>
      </c>
      <c r="O19" s="227" t="s">
        <v>720</v>
      </c>
      <c r="Q19" s="227" t="s">
        <v>720</v>
      </c>
      <c r="S19" s="227" t="s">
        <v>720</v>
      </c>
      <c r="U19" s="227" t="s">
        <v>720</v>
      </c>
      <c r="W19" s="227" t="s">
        <v>720</v>
      </c>
      <c r="Y19" s="227" t="s">
        <v>720</v>
      </c>
      <c r="AA19" s="227" t="s">
        <v>720</v>
      </c>
      <c r="AC19" s="227" t="s">
        <v>720</v>
      </c>
      <c r="AE19" s="227" t="s">
        <v>720</v>
      </c>
      <c r="AG19" s="10" t="s">
        <v>69</v>
      </c>
      <c r="AH19" s="10" t="s">
        <v>69</v>
      </c>
      <c r="AI19" s="10" t="s">
        <v>69</v>
      </c>
    </row>
    <row r="20" spans="1:35" x14ac:dyDescent="0.3">
      <c r="AG20" s="8"/>
      <c r="AH20" s="8"/>
      <c r="AI20" s="8"/>
    </row>
    <row r="21" spans="1:35" x14ac:dyDescent="0.3">
      <c r="A21" s="16">
        <v>2024</v>
      </c>
      <c r="C21" s="17">
        <v>13503</v>
      </c>
      <c r="E21" s="17">
        <v>3217</v>
      </c>
      <c r="G21" s="17">
        <v>12152</v>
      </c>
      <c r="I21" s="17">
        <v>2895</v>
      </c>
      <c r="K21" s="18">
        <v>60</v>
      </c>
      <c r="M21" s="18">
        <v>1.62</v>
      </c>
      <c r="O21" s="17">
        <v>733828</v>
      </c>
      <c r="Q21" s="17">
        <v>10102</v>
      </c>
      <c r="S21" s="17">
        <v>58440</v>
      </c>
      <c r="U21" s="17">
        <v>81900</v>
      </c>
      <c r="W21" s="17">
        <v>97555</v>
      </c>
      <c r="Y21" s="17">
        <v>11700</v>
      </c>
      <c r="AA21" s="17">
        <v>6701</v>
      </c>
      <c r="AC21" s="17">
        <v>487635</v>
      </c>
      <c r="AE21" s="17">
        <v>462217</v>
      </c>
      <c r="AG21" s="13">
        <f t="shared" ref="AG21:AG57" si="0">IFERROR(S21/O21,0)</f>
        <v>7.9637190186256174E-2</v>
      </c>
      <c r="AH21" s="13">
        <f t="shared" ref="AH21:AH57" si="1">IFERROR(AA21/O21,0)</f>
        <v>9.1315676152994973E-3</v>
      </c>
      <c r="AI21" s="13">
        <f>IFERROR(Q21/O21,0)</f>
        <v>1.376616863897262E-2</v>
      </c>
    </row>
    <row r="22" spans="1:35" x14ac:dyDescent="0.3">
      <c r="A22" s="16">
        <v>2025</v>
      </c>
      <c r="C22" s="17">
        <v>20894</v>
      </c>
      <c r="E22" s="17">
        <v>7411</v>
      </c>
      <c r="G22" s="17">
        <v>19285</v>
      </c>
      <c r="I22" s="17">
        <v>6829</v>
      </c>
      <c r="K22" s="18">
        <v>60</v>
      </c>
      <c r="M22" s="18">
        <v>1.62</v>
      </c>
      <c r="O22" s="17">
        <v>1168158</v>
      </c>
      <c r="Q22" s="17">
        <v>21647</v>
      </c>
      <c r="S22" s="17">
        <v>76026</v>
      </c>
      <c r="U22" s="17">
        <v>83995</v>
      </c>
      <c r="W22" s="17">
        <v>264956</v>
      </c>
      <c r="Y22" s="17">
        <v>11700</v>
      </c>
      <c r="AA22" s="17">
        <v>33412</v>
      </c>
      <c r="AC22" s="17">
        <v>719714</v>
      </c>
      <c r="AE22" s="17">
        <v>617536</v>
      </c>
      <c r="AG22" s="13">
        <f t="shared" si="0"/>
        <v>6.5081949530799765E-2</v>
      </c>
      <c r="AH22" s="13">
        <f t="shared" si="1"/>
        <v>2.8602295237459316E-2</v>
      </c>
      <c r="AI22" s="13">
        <f t="shared" ref="AI22:AI57" si="2">IFERROR(Q22/O22,0)</f>
        <v>1.853088366470974E-2</v>
      </c>
    </row>
    <row r="23" spans="1:35" x14ac:dyDescent="0.3">
      <c r="A23" s="16">
        <v>2026</v>
      </c>
      <c r="C23" s="17">
        <v>27497</v>
      </c>
      <c r="E23" s="17">
        <v>10836</v>
      </c>
      <c r="G23" s="17">
        <v>25622</v>
      </c>
      <c r="I23" s="17">
        <v>10082</v>
      </c>
      <c r="K23" s="18">
        <v>60</v>
      </c>
      <c r="M23" s="18">
        <v>1.62</v>
      </c>
      <c r="O23" s="17">
        <v>1553634</v>
      </c>
      <c r="Q23" s="17">
        <v>29796</v>
      </c>
      <c r="S23" s="17">
        <v>90672</v>
      </c>
      <c r="U23" s="17">
        <v>84785</v>
      </c>
      <c r="W23" s="17">
        <v>224312</v>
      </c>
      <c r="Y23" s="17">
        <v>23400</v>
      </c>
      <c r="AA23" s="17">
        <v>77159</v>
      </c>
      <c r="AC23" s="17">
        <v>1083104</v>
      </c>
      <c r="AE23" s="17">
        <v>841245</v>
      </c>
      <c r="AG23" s="13">
        <f t="shared" si="0"/>
        <v>5.8361235657819026E-2</v>
      </c>
      <c r="AH23" s="13">
        <f t="shared" si="1"/>
        <v>4.966356297557855E-2</v>
      </c>
      <c r="AI23" s="13">
        <f t="shared" si="2"/>
        <v>1.9178262061721102E-2</v>
      </c>
    </row>
    <row r="24" spans="1:35" x14ac:dyDescent="0.3">
      <c r="A24" s="16">
        <v>2027</v>
      </c>
      <c r="C24" s="17">
        <v>33760</v>
      </c>
      <c r="E24" s="17">
        <v>13972</v>
      </c>
      <c r="G24" s="17">
        <v>31100</v>
      </c>
      <c r="I24" s="17">
        <v>12865</v>
      </c>
      <c r="K24" s="18">
        <v>60</v>
      </c>
      <c r="M24" s="18">
        <v>1.62</v>
      </c>
      <c r="O24" s="17">
        <v>1886865</v>
      </c>
      <c r="Q24" s="17">
        <v>36792</v>
      </c>
      <c r="S24" s="17">
        <v>103338</v>
      </c>
      <c r="U24" s="17">
        <v>83835</v>
      </c>
      <c r="W24" s="17">
        <v>274098</v>
      </c>
      <c r="Y24" s="17">
        <v>0</v>
      </c>
      <c r="AA24" s="17">
        <v>119273</v>
      </c>
      <c r="AC24" s="17">
        <v>1343111</v>
      </c>
      <c r="AE24" s="17">
        <v>944311</v>
      </c>
      <c r="AG24" s="13">
        <f t="shared" si="0"/>
        <v>5.4767034207534718E-2</v>
      </c>
      <c r="AH24" s="13">
        <f t="shared" si="1"/>
        <v>6.3212259488622663E-2</v>
      </c>
      <c r="AI24" s="13">
        <f t="shared" si="2"/>
        <v>1.9499010263055387E-2</v>
      </c>
    </row>
    <row r="25" spans="1:35" x14ac:dyDescent="0.3">
      <c r="A25" s="16">
        <v>2028</v>
      </c>
      <c r="C25" s="17">
        <v>35753</v>
      </c>
      <c r="E25" s="17">
        <v>14500</v>
      </c>
      <c r="G25" s="17">
        <v>32732</v>
      </c>
      <c r="I25" s="17">
        <v>13276</v>
      </c>
      <c r="K25" s="18">
        <v>60</v>
      </c>
      <c r="M25" s="18">
        <v>1.62</v>
      </c>
      <c r="O25" s="17">
        <v>1985379</v>
      </c>
      <c r="Q25" s="17">
        <v>35992</v>
      </c>
      <c r="S25" s="17">
        <v>106153</v>
      </c>
      <c r="U25" s="17">
        <v>83304</v>
      </c>
      <c r="W25" s="17">
        <v>215205</v>
      </c>
      <c r="Y25" s="17">
        <v>11700</v>
      </c>
      <c r="AA25" s="17">
        <v>134971</v>
      </c>
      <c r="AC25" s="17">
        <v>1470039</v>
      </c>
      <c r="AE25" s="17">
        <v>935583</v>
      </c>
      <c r="AG25" s="13">
        <f t="shared" si="0"/>
        <v>5.346737323201263E-2</v>
      </c>
      <c r="AH25" s="13">
        <f t="shared" si="1"/>
        <v>6.7982485963637165E-2</v>
      </c>
      <c r="AI25" s="13">
        <f t="shared" si="2"/>
        <v>1.8128528608391647E-2</v>
      </c>
    </row>
    <row r="26" spans="1:35" ht="21.9" customHeight="1" x14ac:dyDescent="0.3">
      <c r="A26" s="16">
        <v>2029</v>
      </c>
      <c r="C26" s="17">
        <v>40203</v>
      </c>
      <c r="E26" s="17">
        <v>15758</v>
      </c>
      <c r="G26" s="17">
        <v>36603</v>
      </c>
      <c r="I26" s="17">
        <v>14357</v>
      </c>
      <c r="K26" s="18">
        <v>60</v>
      </c>
      <c r="M26" s="18">
        <v>1.62</v>
      </c>
      <c r="O26" s="17">
        <v>2219429</v>
      </c>
      <c r="Q26" s="17">
        <v>33920</v>
      </c>
      <c r="S26" s="17">
        <v>114905</v>
      </c>
      <c r="U26" s="17">
        <v>82854</v>
      </c>
      <c r="W26" s="17">
        <v>217742</v>
      </c>
      <c r="Y26" s="17">
        <v>11700</v>
      </c>
      <c r="AA26" s="17">
        <v>173961</v>
      </c>
      <c r="AC26" s="17">
        <v>1652187</v>
      </c>
      <c r="AE26" s="17">
        <v>951837</v>
      </c>
      <c r="AG26" s="13">
        <f t="shared" si="0"/>
        <v>5.1772325224190549E-2</v>
      </c>
      <c r="AH26" s="13">
        <f t="shared" si="1"/>
        <v>7.8380970961449997E-2</v>
      </c>
      <c r="AI26" s="13">
        <f t="shared" si="2"/>
        <v>1.5283210231099981E-2</v>
      </c>
    </row>
    <row r="27" spans="1:35" x14ac:dyDescent="0.3">
      <c r="A27" s="16">
        <v>2030</v>
      </c>
      <c r="C27" s="17">
        <v>38350</v>
      </c>
      <c r="E27" s="17">
        <v>14576</v>
      </c>
      <c r="G27" s="17">
        <v>34837</v>
      </c>
      <c r="I27" s="17">
        <v>13251</v>
      </c>
      <c r="K27" s="18">
        <v>60</v>
      </c>
      <c r="M27" s="18">
        <v>1.62</v>
      </c>
      <c r="O27" s="17">
        <v>2111717</v>
      </c>
      <c r="Q27" s="17">
        <v>30488</v>
      </c>
      <c r="S27" s="17">
        <v>109131</v>
      </c>
      <c r="U27" s="17">
        <v>82667</v>
      </c>
      <c r="W27" s="17">
        <v>18000</v>
      </c>
      <c r="Y27" s="17">
        <v>0</v>
      </c>
      <c r="AA27" s="17">
        <v>153512</v>
      </c>
      <c r="AC27" s="17">
        <v>1778896</v>
      </c>
      <c r="AE27" s="17">
        <v>927695</v>
      </c>
      <c r="AG27" s="13">
        <f t="shared" si="0"/>
        <v>5.1678799763415266E-2</v>
      </c>
      <c r="AH27" s="13">
        <f t="shared" si="1"/>
        <v>7.2695346961737767E-2</v>
      </c>
      <c r="AI27" s="13">
        <f t="shared" si="2"/>
        <v>1.4437540636363679E-2</v>
      </c>
    </row>
    <row r="28" spans="1:35" x14ac:dyDescent="0.3">
      <c r="A28" s="16">
        <v>2031</v>
      </c>
      <c r="C28" s="17">
        <v>32569</v>
      </c>
      <c r="E28" s="17">
        <v>11732</v>
      </c>
      <c r="G28" s="17">
        <v>29559</v>
      </c>
      <c r="I28" s="17">
        <v>10654</v>
      </c>
      <c r="K28" s="18">
        <v>60</v>
      </c>
      <c r="M28" s="18">
        <v>1.62</v>
      </c>
      <c r="O28" s="17">
        <v>1790801</v>
      </c>
      <c r="Q28" s="17">
        <v>25664</v>
      </c>
      <c r="S28" s="17">
        <v>94442</v>
      </c>
      <c r="U28" s="17">
        <v>82591</v>
      </c>
      <c r="W28" s="17">
        <v>18000</v>
      </c>
      <c r="Y28" s="17">
        <v>0</v>
      </c>
      <c r="AA28" s="17">
        <v>100119</v>
      </c>
      <c r="AC28" s="17">
        <v>1521311</v>
      </c>
      <c r="AE28" s="17">
        <v>718163</v>
      </c>
      <c r="AG28" s="13">
        <f t="shared" si="0"/>
        <v>5.2737294651946251E-2</v>
      </c>
      <c r="AH28" s="13">
        <f t="shared" si="1"/>
        <v>5.5907384460920001E-2</v>
      </c>
      <c r="AI28" s="13">
        <f t="shared" si="2"/>
        <v>1.433101723753784E-2</v>
      </c>
    </row>
    <row r="29" spans="1:35" x14ac:dyDescent="0.3">
      <c r="A29" s="16">
        <v>2032</v>
      </c>
      <c r="C29" s="17">
        <v>27839</v>
      </c>
      <c r="E29" s="17">
        <v>9404</v>
      </c>
      <c r="G29" s="17">
        <v>25246</v>
      </c>
      <c r="I29" s="17">
        <v>8532</v>
      </c>
      <c r="K29" s="18">
        <v>60</v>
      </c>
      <c r="M29" s="18">
        <v>1.62</v>
      </c>
      <c r="O29" s="17">
        <v>1528565</v>
      </c>
      <c r="Q29" s="17">
        <v>21803</v>
      </c>
      <c r="S29" s="17">
        <v>82338</v>
      </c>
      <c r="U29" s="17">
        <v>82522</v>
      </c>
      <c r="W29" s="17">
        <v>18000</v>
      </c>
      <c r="Y29" s="17">
        <v>0</v>
      </c>
      <c r="AA29" s="17">
        <v>68224</v>
      </c>
      <c r="AC29" s="17">
        <v>1299285</v>
      </c>
      <c r="AE29" s="17">
        <v>555213</v>
      </c>
      <c r="AG29" s="13">
        <f t="shared" si="0"/>
        <v>5.3866207848537684E-2</v>
      </c>
      <c r="AH29" s="13">
        <f t="shared" si="1"/>
        <v>4.4632711072149368E-2</v>
      </c>
      <c r="AI29" s="13">
        <f t="shared" si="2"/>
        <v>1.4263704847356834E-2</v>
      </c>
    </row>
    <row r="30" spans="1:35" x14ac:dyDescent="0.3">
      <c r="A30" s="16">
        <v>2033</v>
      </c>
      <c r="C30" s="17">
        <v>23750</v>
      </c>
      <c r="E30" s="17">
        <v>7384</v>
      </c>
      <c r="G30" s="17">
        <v>21518</v>
      </c>
      <c r="I30" s="17">
        <v>6693</v>
      </c>
      <c r="K30" s="18">
        <v>60</v>
      </c>
      <c r="M30" s="18">
        <v>1.62</v>
      </c>
      <c r="O30" s="17">
        <v>1301938</v>
      </c>
      <c r="Q30" s="17">
        <v>18533</v>
      </c>
      <c r="S30" s="17">
        <v>111438</v>
      </c>
      <c r="U30" s="17">
        <v>82457</v>
      </c>
      <c r="W30" s="17">
        <v>18000</v>
      </c>
      <c r="Y30" s="17">
        <v>0</v>
      </c>
      <c r="AA30" s="17">
        <v>39078</v>
      </c>
      <c r="AC30" s="17">
        <v>1069497</v>
      </c>
      <c r="AE30" s="17">
        <v>413700</v>
      </c>
      <c r="AG30" s="13">
        <f t="shared" si="0"/>
        <v>8.5593937652945068E-2</v>
      </c>
      <c r="AH30" s="13">
        <f t="shared" si="1"/>
        <v>3.0015254182610845E-2</v>
      </c>
      <c r="AI30" s="13">
        <f t="shared" si="2"/>
        <v>1.4234932846264569E-2</v>
      </c>
    </row>
    <row r="31" spans="1:35" ht="21.9" customHeight="1" x14ac:dyDescent="0.3">
      <c r="A31" s="16">
        <v>2034</v>
      </c>
      <c r="C31" s="17">
        <v>20341</v>
      </c>
      <c r="E31" s="17">
        <v>5699</v>
      </c>
      <c r="G31" s="17">
        <v>18419</v>
      </c>
      <c r="I31" s="17">
        <v>5162</v>
      </c>
      <c r="K31" s="18">
        <v>60</v>
      </c>
      <c r="M31" s="18">
        <v>1.62</v>
      </c>
      <c r="O31" s="17">
        <v>1113459</v>
      </c>
      <c r="Q31" s="17">
        <v>15842</v>
      </c>
      <c r="S31" s="17">
        <v>95393</v>
      </c>
      <c r="U31" s="17">
        <v>82398</v>
      </c>
      <c r="W31" s="17">
        <v>18000</v>
      </c>
      <c r="Y31" s="17">
        <v>0</v>
      </c>
      <c r="AA31" s="17">
        <v>25689</v>
      </c>
      <c r="AC31" s="17">
        <v>907821</v>
      </c>
      <c r="AE31" s="17">
        <v>317876</v>
      </c>
      <c r="AG31" s="13">
        <f t="shared" si="0"/>
        <v>8.5672665091395372E-2</v>
      </c>
      <c r="AH31" s="13">
        <f t="shared" si="1"/>
        <v>2.3071347934679229E-2</v>
      </c>
      <c r="AI31" s="13">
        <f t="shared" si="2"/>
        <v>1.4227735372384614E-2</v>
      </c>
    </row>
    <row r="32" spans="1:35" x14ac:dyDescent="0.3">
      <c r="A32" s="16">
        <v>2035</v>
      </c>
      <c r="C32" s="17">
        <v>17276</v>
      </c>
      <c r="E32" s="17">
        <v>4164</v>
      </c>
      <c r="G32" s="17">
        <v>15635</v>
      </c>
      <c r="I32" s="17">
        <v>3769</v>
      </c>
      <c r="K32" s="18">
        <v>60</v>
      </c>
      <c r="M32" s="18">
        <v>1.62</v>
      </c>
      <c r="O32" s="17">
        <v>944201</v>
      </c>
      <c r="Q32" s="17">
        <v>13134</v>
      </c>
      <c r="S32" s="17">
        <v>80985</v>
      </c>
      <c r="U32" s="17">
        <v>82350</v>
      </c>
      <c r="W32" s="17">
        <v>18000</v>
      </c>
      <c r="Y32" s="17">
        <v>0</v>
      </c>
      <c r="AA32" s="17">
        <v>16382</v>
      </c>
      <c r="AC32" s="17">
        <v>759619</v>
      </c>
      <c r="AE32" s="17">
        <v>240770</v>
      </c>
      <c r="AG32" s="13">
        <f t="shared" si="0"/>
        <v>8.5770932248536061E-2</v>
      </c>
      <c r="AH32" s="13">
        <f t="shared" si="1"/>
        <v>1.7350119307223778E-2</v>
      </c>
      <c r="AI32" s="13">
        <f t="shared" si="2"/>
        <v>1.3910173787149134E-2</v>
      </c>
    </row>
    <row r="33" spans="1:35" x14ac:dyDescent="0.3">
      <c r="A33" s="16">
        <v>2036</v>
      </c>
      <c r="C33" s="17">
        <v>14838</v>
      </c>
      <c r="E33" s="17">
        <v>2941</v>
      </c>
      <c r="G33" s="17">
        <v>13398</v>
      </c>
      <c r="I33" s="17">
        <v>2656</v>
      </c>
      <c r="K33" s="18">
        <v>60</v>
      </c>
      <c r="M33" s="18">
        <v>1.62</v>
      </c>
      <c r="O33" s="17">
        <v>808203</v>
      </c>
      <c r="Q33" s="17">
        <v>11195</v>
      </c>
      <c r="S33" s="17">
        <v>69409</v>
      </c>
      <c r="U33" s="17">
        <v>82165</v>
      </c>
      <c r="W33" s="17">
        <v>18000</v>
      </c>
      <c r="Y33" s="17">
        <v>0</v>
      </c>
      <c r="AA33" s="17">
        <v>9199</v>
      </c>
      <c r="AC33" s="17">
        <v>640625</v>
      </c>
      <c r="AE33" s="17">
        <v>183807</v>
      </c>
      <c r="AG33" s="13">
        <f t="shared" si="0"/>
        <v>8.5880651272019534E-2</v>
      </c>
      <c r="AH33" s="13">
        <f t="shared" si="1"/>
        <v>1.1382041393065851E-2</v>
      </c>
      <c r="AI33" s="13">
        <f t="shared" si="2"/>
        <v>1.3851717947099924E-2</v>
      </c>
    </row>
    <row r="34" spans="1:35" x14ac:dyDescent="0.3">
      <c r="A34" s="16">
        <v>2037</v>
      </c>
      <c r="C34" s="17">
        <v>12706</v>
      </c>
      <c r="E34" s="17">
        <v>1861</v>
      </c>
      <c r="G34" s="17">
        <v>11439</v>
      </c>
      <c r="I34" s="17">
        <v>1676</v>
      </c>
      <c r="K34" s="18">
        <v>60</v>
      </c>
      <c r="M34" s="18">
        <v>1.62</v>
      </c>
      <c r="O34" s="17">
        <v>689055</v>
      </c>
      <c r="Q34" s="17">
        <v>9478</v>
      </c>
      <c r="S34" s="17">
        <v>59265</v>
      </c>
      <c r="U34" s="17">
        <v>81937</v>
      </c>
      <c r="W34" s="17">
        <v>18000</v>
      </c>
      <c r="Y34" s="17">
        <v>0</v>
      </c>
      <c r="AA34" s="17">
        <v>3237</v>
      </c>
      <c r="AC34" s="17">
        <v>536093</v>
      </c>
      <c r="AE34" s="17">
        <v>139234</v>
      </c>
      <c r="AG34" s="13">
        <f t="shared" si="0"/>
        <v>8.6009099418769178E-2</v>
      </c>
      <c r="AH34" s="13">
        <f t="shared" si="1"/>
        <v>4.6977382066743581E-3</v>
      </c>
      <c r="AI34" s="13">
        <f t="shared" si="2"/>
        <v>1.3755070349972063E-2</v>
      </c>
    </row>
    <row r="35" spans="1:35" x14ac:dyDescent="0.3">
      <c r="A35" s="16">
        <v>2038</v>
      </c>
      <c r="C35" s="17">
        <v>11126</v>
      </c>
      <c r="E35" s="17">
        <v>1075</v>
      </c>
      <c r="G35" s="17">
        <v>10012</v>
      </c>
      <c r="I35" s="17">
        <v>967</v>
      </c>
      <c r="K35" s="18">
        <v>60</v>
      </c>
      <c r="M35" s="18">
        <v>1.62</v>
      </c>
      <c r="O35" s="17">
        <v>602282</v>
      </c>
      <c r="Q35" s="17">
        <v>8386</v>
      </c>
      <c r="S35" s="17">
        <v>51879</v>
      </c>
      <c r="U35" s="17">
        <v>81900</v>
      </c>
      <c r="W35" s="17">
        <v>18000</v>
      </c>
      <c r="Y35" s="17">
        <v>0</v>
      </c>
      <c r="AA35" s="17">
        <v>0</v>
      </c>
      <c r="AC35" s="17">
        <v>458888</v>
      </c>
      <c r="AE35" s="17">
        <v>107886</v>
      </c>
      <c r="AG35" s="13">
        <f t="shared" si="0"/>
        <v>8.613739079036066E-2</v>
      </c>
      <c r="AH35" s="13">
        <f t="shared" si="1"/>
        <v>0</v>
      </c>
      <c r="AI35" s="13">
        <f t="shared" si="2"/>
        <v>1.3923710155707791E-2</v>
      </c>
    </row>
    <row r="36" spans="1:35" ht="21.9" customHeight="1" x14ac:dyDescent="0.3">
      <c r="A36" s="16">
        <v>2039</v>
      </c>
      <c r="C36" s="17">
        <v>9838</v>
      </c>
      <c r="E36" s="17">
        <v>437</v>
      </c>
      <c r="G36" s="17">
        <v>8857</v>
      </c>
      <c r="I36" s="17">
        <v>393</v>
      </c>
      <c r="K36" s="18">
        <v>60</v>
      </c>
      <c r="M36" s="18">
        <v>1.62</v>
      </c>
      <c r="O36" s="17">
        <v>532055</v>
      </c>
      <c r="Q36" s="17">
        <v>7531</v>
      </c>
      <c r="S36" s="17">
        <v>45902</v>
      </c>
      <c r="U36" s="17">
        <v>81900</v>
      </c>
      <c r="W36" s="17">
        <v>18000</v>
      </c>
      <c r="Y36" s="17">
        <v>0</v>
      </c>
      <c r="AA36" s="17">
        <v>0</v>
      </c>
      <c r="AC36" s="17">
        <v>393785</v>
      </c>
      <c r="AE36" s="17">
        <v>83805</v>
      </c>
      <c r="AG36" s="13">
        <f t="shared" si="0"/>
        <v>8.6273035682401258E-2</v>
      </c>
      <c r="AH36" s="13">
        <f t="shared" si="1"/>
        <v>0</v>
      </c>
      <c r="AI36" s="13">
        <f t="shared" si="2"/>
        <v>1.4154551691084568E-2</v>
      </c>
    </row>
    <row r="37" spans="1:35" x14ac:dyDescent="0.3">
      <c r="A37" s="16">
        <v>2040</v>
      </c>
      <c r="C37" s="17">
        <v>8645</v>
      </c>
      <c r="E37" s="17">
        <v>0</v>
      </c>
      <c r="G37" s="17">
        <v>7778</v>
      </c>
      <c r="I37" s="17">
        <v>0</v>
      </c>
      <c r="K37" s="18">
        <v>60</v>
      </c>
      <c r="M37" s="18">
        <v>1.62</v>
      </c>
      <c r="O37" s="17">
        <v>466719</v>
      </c>
      <c r="Q37" s="17">
        <v>6729</v>
      </c>
      <c r="S37" s="17">
        <v>40314</v>
      </c>
      <c r="U37" s="17">
        <v>81900</v>
      </c>
      <c r="W37" s="17">
        <v>18000</v>
      </c>
      <c r="Y37" s="17">
        <v>0</v>
      </c>
      <c r="AA37" s="17">
        <v>0</v>
      </c>
      <c r="AC37" s="17">
        <v>333234</v>
      </c>
      <c r="AE37" s="17">
        <v>64196</v>
      </c>
      <c r="AG37" s="13">
        <f t="shared" si="0"/>
        <v>8.63774562424071E-2</v>
      </c>
      <c r="AH37" s="13">
        <f t="shared" si="1"/>
        <v>0</v>
      </c>
      <c r="AI37" s="13">
        <f t="shared" si="2"/>
        <v>1.4417668875704653E-2</v>
      </c>
    </row>
    <row r="38" spans="1:35" x14ac:dyDescent="0.3">
      <c r="A38" s="16">
        <v>2041</v>
      </c>
      <c r="C38" s="17">
        <v>7430</v>
      </c>
      <c r="E38" s="17">
        <v>0</v>
      </c>
      <c r="G38" s="17">
        <v>6687</v>
      </c>
      <c r="I38" s="17">
        <v>0</v>
      </c>
      <c r="K38" s="18">
        <v>60</v>
      </c>
      <c r="M38" s="18">
        <v>1.62</v>
      </c>
      <c r="O38" s="17">
        <v>401176</v>
      </c>
      <c r="Q38" s="17">
        <v>5851</v>
      </c>
      <c r="S38" s="17">
        <v>34654</v>
      </c>
      <c r="U38" s="17">
        <v>81900</v>
      </c>
      <c r="W38" s="17">
        <v>18000</v>
      </c>
      <c r="Y38" s="17">
        <v>0</v>
      </c>
      <c r="AA38" s="17">
        <v>0</v>
      </c>
      <c r="AC38" s="17">
        <v>272473</v>
      </c>
      <c r="AE38" s="17">
        <v>47515</v>
      </c>
      <c r="AG38" s="13">
        <f t="shared" si="0"/>
        <v>8.6381039743155127E-2</v>
      </c>
      <c r="AH38" s="13">
        <f t="shared" si="1"/>
        <v>0</v>
      </c>
      <c r="AI38" s="13">
        <f t="shared" si="2"/>
        <v>1.4584621213631922E-2</v>
      </c>
    </row>
    <row r="39" spans="1:35" x14ac:dyDescent="0.3">
      <c r="A39" s="16">
        <v>2042</v>
      </c>
      <c r="C39" s="17">
        <v>6380</v>
      </c>
      <c r="E39" s="17">
        <v>0</v>
      </c>
      <c r="G39" s="17">
        <v>5743</v>
      </c>
      <c r="I39" s="17">
        <v>0</v>
      </c>
      <c r="K39" s="18">
        <v>60</v>
      </c>
      <c r="M39" s="18">
        <v>1.61</v>
      </c>
      <c r="O39" s="17">
        <v>344627</v>
      </c>
      <c r="Q39" s="17">
        <v>5055</v>
      </c>
      <c r="S39" s="17">
        <v>29774</v>
      </c>
      <c r="U39" s="17">
        <v>81900</v>
      </c>
      <c r="W39" s="17">
        <v>18000</v>
      </c>
      <c r="Y39" s="17">
        <v>0</v>
      </c>
      <c r="AA39" s="17">
        <v>0</v>
      </c>
      <c r="AC39" s="17">
        <v>220008</v>
      </c>
      <c r="AE39" s="17">
        <v>34730</v>
      </c>
      <c r="AG39" s="13">
        <f t="shared" si="0"/>
        <v>8.6394855887669861E-2</v>
      </c>
      <c r="AH39" s="13">
        <f t="shared" si="1"/>
        <v>0</v>
      </c>
      <c r="AI39" s="13">
        <f t="shared" si="2"/>
        <v>1.4668032394443848E-2</v>
      </c>
    </row>
    <row r="40" spans="1:35" x14ac:dyDescent="0.3">
      <c r="A40" s="16">
        <v>2043</v>
      </c>
      <c r="C40" s="17">
        <v>5409</v>
      </c>
      <c r="E40" s="17">
        <v>0</v>
      </c>
      <c r="G40" s="17">
        <v>4870</v>
      </c>
      <c r="I40" s="17">
        <v>0</v>
      </c>
      <c r="K40" s="18">
        <v>60</v>
      </c>
      <c r="M40" s="18">
        <v>1.62</v>
      </c>
      <c r="O40" s="17">
        <v>292196</v>
      </c>
      <c r="Q40" s="17">
        <v>4296</v>
      </c>
      <c r="S40" s="17">
        <v>25247</v>
      </c>
      <c r="U40" s="17">
        <v>81900</v>
      </c>
      <c r="W40" s="17">
        <v>18000</v>
      </c>
      <c r="Y40" s="17">
        <v>0</v>
      </c>
      <c r="AA40" s="17">
        <v>0</v>
      </c>
      <c r="AC40" s="17">
        <v>171345</v>
      </c>
      <c r="AE40" s="17">
        <v>24484</v>
      </c>
      <c r="AG40" s="13">
        <f t="shared" si="0"/>
        <v>8.6404331339238041E-2</v>
      </c>
      <c r="AH40" s="13">
        <f t="shared" si="1"/>
        <v>0</v>
      </c>
      <c r="AI40" s="13">
        <f t="shared" si="2"/>
        <v>1.4702459992607702E-2</v>
      </c>
    </row>
    <row r="41" spans="1:35" ht="21.9" customHeight="1" x14ac:dyDescent="0.3">
      <c r="A41" s="16">
        <v>2044</v>
      </c>
      <c r="C41" s="17">
        <v>4672</v>
      </c>
      <c r="E41" s="17">
        <v>0</v>
      </c>
      <c r="G41" s="17">
        <v>4204</v>
      </c>
      <c r="I41" s="17">
        <v>0</v>
      </c>
      <c r="K41" s="18">
        <v>60</v>
      </c>
      <c r="M41" s="18">
        <v>1.62</v>
      </c>
      <c r="O41" s="17">
        <v>252194</v>
      </c>
      <c r="Q41" s="17">
        <v>3727</v>
      </c>
      <c r="S41" s="17">
        <v>21796</v>
      </c>
      <c r="U41" s="17">
        <v>81900</v>
      </c>
      <c r="W41" s="17">
        <v>18000</v>
      </c>
      <c r="Y41" s="17">
        <v>0</v>
      </c>
      <c r="AA41" s="17">
        <v>0</v>
      </c>
      <c r="AC41" s="17">
        <v>134226</v>
      </c>
      <c r="AE41" s="17">
        <v>17362</v>
      </c>
      <c r="AG41" s="13">
        <f t="shared" si="0"/>
        <v>8.6425529552645985E-2</v>
      </c>
      <c r="AH41" s="13">
        <f t="shared" si="1"/>
        <v>0</v>
      </c>
      <c r="AI41" s="13">
        <f t="shared" si="2"/>
        <v>1.4778305590140923E-2</v>
      </c>
    </row>
    <row r="42" spans="1:35" x14ac:dyDescent="0.3">
      <c r="A42" s="16">
        <v>2045</v>
      </c>
      <c r="C42" s="17">
        <v>3906</v>
      </c>
      <c r="E42" s="17">
        <v>0</v>
      </c>
      <c r="G42" s="17">
        <v>3517</v>
      </c>
      <c r="I42" s="17">
        <v>0</v>
      </c>
      <c r="K42" s="18">
        <v>60</v>
      </c>
      <c r="M42" s="18">
        <v>1.62</v>
      </c>
      <c r="O42" s="17">
        <v>211033</v>
      </c>
      <c r="Q42" s="17">
        <v>3115</v>
      </c>
      <c r="S42" s="17">
        <v>18244</v>
      </c>
      <c r="U42" s="17">
        <v>81900</v>
      </c>
      <c r="W42" s="17">
        <v>18000</v>
      </c>
      <c r="Y42" s="17">
        <v>0</v>
      </c>
      <c r="AA42" s="17">
        <v>0</v>
      </c>
      <c r="AC42" s="17">
        <v>96003</v>
      </c>
      <c r="AE42" s="17">
        <v>11241</v>
      </c>
      <c r="AG42" s="13">
        <f t="shared" si="0"/>
        <v>8.6450934214080261E-2</v>
      </c>
      <c r="AH42" s="13">
        <f t="shared" si="1"/>
        <v>0</v>
      </c>
      <c r="AI42" s="13">
        <f t="shared" si="2"/>
        <v>1.4760724626006359E-2</v>
      </c>
    </row>
    <row r="43" spans="1:35" x14ac:dyDescent="0.3">
      <c r="A43" s="16">
        <v>2046</v>
      </c>
      <c r="C43" s="17">
        <v>3477</v>
      </c>
      <c r="E43" s="17">
        <v>0</v>
      </c>
      <c r="G43" s="17">
        <v>3127</v>
      </c>
      <c r="I43" s="17">
        <v>0</v>
      </c>
      <c r="K43" s="18">
        <v>60</v>
      </c>
      <c r="M43" s="18">
        <v>1.62</v>
      </c>
      <c r="O43" s="17">
        <v>187654</v>
      </c>
      <c r="Q43" s="17">
        <v>2835</v>
      </c>
      <c r="S43" s="17">
        <v>16228</v>
      </c>
      <c r="U43" s="17">
        <v>81900</v>
      </c>
      <c r="W43" s="17">
        <v>18000</v>
      </c>
      <c r="Y43" s="17">
        <v>0</v>
      </c>
      <c r="AA43" s="17">
        <v>0</v>
      </c>
      <c r="AC43" s="17">
        <v>74361</v>
      </c>
      <c r="AE43" s="17">
        <v>7881</v>
      </c>
      <c r="AG43" s="13">
        <f t="shared" si="0"/>
        <v>8.6478305818154688E-2</v>
      </c>
      <c r="AH43" s="13">
        <f t="shared" si="1"/>
        <v>0</v>
      </c>
      <c r="AI43" s="13">
        <f t="shared" si="2"/>
        <v>1.5107591631406738E-2</v>
      </c>
    </row>
    <row r="44" spans="1:35" x14ac:dyDescent="0.3">
      <c r="A44" s="16">
        <v>2047</v>
      </c>
      <c r="C44" s="17">
        <v>3139</v>
      </c>
      <c r="E44" s="17">
        <v>0</v>
      </c>
      <c r="G44" s="17">
        <v>2825</v>
      </c>
      <c r="I44" s="17">
        <v>0</v>
      </c>
      <c r="K44" s="18">
        <v>60</v>
      </c>
      <c r="M44" s="18">
        <v>1.62</v>
      </c>
      <c r="O44" s="17">
        <v>169467</v>
      </c>
      <c r="Q44" s="17">
        <v>2621</v>
      </c>
      <c r="S44" s="17">
        <v>14657</v>
      </c>
      <c r="U44" s="17">
        <v>81900</v>
      </c>
      <c r="W44" s="17">
        <v>18000</v>
      </c>
      <c r="Y44" s="17">
        <v>0</v>
      </c>
      <c r="AA44" s="17">
        <v>0</v>
      </c>
      <c r="AC44" s="17">
        <v>57531</v>
      </c>
      <c r="AE44" s="17">
        <v>5520</v>
      </c>
      <c r="AG44" s="13">
        <f t="shared" si="0"/>
        <v>8.6488814931520594E-2</v>
      </c>
      <c r="AH44" s="13">
        <f t="shared" si="1"/>
        <v>0</v>
      </c>
      <c r="AI44" s="13">
        <f t="shared" si="2"/>
        <v>1.5466137950161388E-2</v>
      </c>
    </row>
    <row r="45" spans="1:35" x14ac:dyDescent="0.3">
      <c r="A45" s="16">
        <v>2048</v>
      </c>
      <c r="C45" s="17">
        <v>2856</v>
      </c>
      <c r="E45" s="17">
        <v>0</v>
      </c>
      <c r="G45" s="17">
        <v>2569</v>
      </c>
      <c r="I45" s="17">
        <v>0</v>
      </c>
      <c r="K45" s="18">
        <v>60</v>
      </c>
      <c r="M45" s="18">
        <v>1.62</v>
      </c>
      <c r="O45" s="17">
        <v>154136</v>
      </c>
      <c r="Q45" s="17">
        <v>2497</v>
      </c>
      <c r="S45" s="17">
        <v>13337</v>
      </c>
      <c r="U45" s="17">
        <v>81900</v>
      </c>
      <c r="W45" s="17">
        <v>18000</v>
      </c>
      <c r="Y45" s="17">
        <v>0</v>
      </c>
      <c r="AA45" s="17">
        <v>0</v>
      </c>
      <c r="AC45" s="17">
        <v>43396</v>
      </c>
      <c r="AE45" s="17">
        <v>3769</v>
      </c>
      <c r="AG45" s="13">
        <f t="shared" si="0"/>
        <v>8.6527482223490937E-2</v>
      </c>
      <c r="AH45" s="13">
        <f t="shared" si="1"/>
        <v>0</v>
      </c>
      <c r="AI45" s="13">
        <f t="shared" si="2"/>
        <v>1.619997923911351E-2</v>
      </c>
    </row>
    <row r="46" spans="1:35" ht="21.9" customHeight="1" x14ac:dyDescent="0.3">
      <c r="A46" s="16">
        <v>2049</v>
      </c>
      <c r="C46" s="17">
        <v>2350</v>
      </c>
      <c r="E46" s="17">
        <v>0</v>
      </c>
      <c r="G46" s="17">
        <v>2117</v>
      </c>
      <c r="I46" s="17">
        <v>0</v>
      </c>
      <c r="K46" s="18">
        <v>60</v>
      </c>
      <c r="M46" s="18">
        <v>1.62</v>
      </c>
      <c r="O46" s="17">
        <v>127043</v>
      </c>
      <c r="Q46" s="17">
        <v>2184</v>
      </c>
      <c r="S46" s="17">
        <v>10997</v>
      </c>
      <c r="U46" s="17">
        <v>81900</v>
      </c>
      <c r="W46" s="17">
        <v>18000</v>
      </c>
      <c r="Y46" s="17">
        <v>0</v>
      </c>
      <c r="AA46" s="17">
        <v>0</v>
      </c>
      <c r="AC46" s="17">
        <v>18330</v>
      </c>
      <c r="AE46" s="17">
        <v>1441</v>
      </c>
      <c r="AG46" s="13">
        <f t="shared" si="0"/>
        <v>8.6561243043693864E-2</v>
      </c>
      <c r="AH46" s="13">
        <f t="shared" si="1"/>
        <v>0</v>
      </c>
      <c r="AI46" s="13">
        <f t="shared" si="2"/>
        <v>1.7191029808804891E-2</v>
      </c>
    </row>
    <row r="47" spans="1:35" x14ac:dyDescent="0.3">
      <c r="A47" s="16">
        <v>2050</v>
      </c>
      <c r="C47" s="17">
        <v>2079</v>
      </c>
      <c r="E47" s="17">
        <v>0</v>
      </c>
      <c r="G47" s="17">
        <v>1871</v>
      </c>
      <c r="I47" s="17">
        <v>0</v>
      </c>
      <c r="K47" s="18">
        <v>60</v>
      </c>
      <c r="M47" s="18">
        <v>1.62</v>
      </c>
      <c r="O47" s="17">
        <v>112230</v>
      </c>
      <c r="Q47" s="17">
        <v>1872</v>
      </c>
      <c r="S47" s="17">
        <v>9715</v>
      </c>
      <c r="U47" s="17">
        <v>81900</v>
      </c>
      <c r="W47" s="17">
        <v>0</v>
      </c>
      <c r="Y47" s="17">
        <v>0</v>
      </c>
      <c r="AA47" s="17">
        <v>0</v>
      </c>
      <c r="AC47" s="17">
        <v>22487</v>
      </c>
      <c r="AE47" s="17">
        <v>1600</v>
      </c>
      <c r="AG47" s="13">
        <f t="shared" si="0"/>
        <v>8.6563307493540048E-2</v>
      </c>
      <c r="AH47" s="13">
        <f t="shared" si="1"/>
        <v>0</v>
      </c>
      <c r="AI47" s="13">
        <f t="shared" si="2"/>
        <v>1.6680032076984763E-2</v>
      </c>
    </row>
    <row r="48" spans="1:35" x14ac:dyDescent="0.3">
      <c r="A48" s="16">
        <v>2051</v>
      </c>
      <c r="C48" s="17">
        <v>1914</v>
      </c>
      <c r="E48" s="17">
        <v>0</v>
      </c>
      <c r="G48" s="17">
        <v>1723</v>
      </c>
      <c r="I48" s="17">
        <v>0</v>
      </c>
      <c r="K48" s="18">
        <v>60</v>
      </c>
      <c r="M48" s="18">
        <v>1.62</v>
      </c>
      <c r="O48" s="17">
        <v>103383</v>
      </c>
      <c r="Q48" s="17">
        <v>1641</v>
      </c>
      <c r="S48" s="17">
        <v>8947</v>
      </c>
      <c r="U48" s="17">
        <v>81900</v>
      </c>
      <c r="W48" s="17">
        <v>0</v>
      </c>
      <c r="Y48" s="17">
        <v>0</v>
      </c>
      <c r="AA48" s="17">
        <v>0</v>
      </c>
      <c r="AC48" s="17">
        <v>14176</v>
      </c>
      <c r="AE48" s="17">
        <v>913</v>
      </c>
      <c r="AG48" s="13">
        <f t="shared" si="0"/>
        <v>8.6542274842092023E-2</v>
      </c>
      <c r="AH48" s="13">
        <f t="shared" si="1"/>
        <v>0</v>
      </c>
      <c r="AI48" s="13">
        <f t="shared" si="2"/>
        <v>1.5873015873015872E-2</v>
      </c>
    </row>
    <row r="49" spans="1:35" x14ac:dyDescent="0.3">
      <c r="A49" s="16">
        <v>2052</v>
      </c>
      <c r="C49" s="17">
        <v>1086</v>
      </c>
      <c r="E49" s="17">
        <v>0</v>
      </c>
      <c r="G49" s="17">
        <v>977</v>
      </c>
      <c r="I49" s="17">
        <v>0</v>
      </c>
      <c r="K49" s="18">
        <v>60</v>
      </c>
      <c r="M49" s="18">
        <v>1.62</v>
      </c>
      <c r="O49" s="17">
        <v>58630</v>
      </c>
      <c r="Q49" s="17">
        <v>929</v>
      </c>
      <c r="S49" s="17">
        <v>5074</v>
      </c>
      <c r="U49" s="17">
        <v>51188</v>
      </c>
      <c r="W49" s="17">
        <v>0</v>
      </c>
      <c r="Y49" s="17">
        <v>0</v>
      </c>
      <c r="AA49" s="17">
        <v>0</v>
      </c>
      <c r="AC49" s="17">
        <v>3298</v>
      </c>
      <c r="AE49" s="17">
        <v>193</v>
      </c>
      <c r="AG49" s="13">
        <f t="shared" si="0"/>
        <v>8.6542725567115814E-2</v>
      </c>
      <c r="AH49" s="13">
        <f t="shared" si="1"/>
        <v>0</v>
      </c>
      <c r="AI49" s="13">
        <f t="shared" si="2"/>
        <v>1.5845130479276822E-2</v>
      </c>
    </row>
    <row r="50" spans="1:35" x14ac:dyDescent="0.3">
      <c r="A50" s="16">
        <v>2053</v>
      </c>
      <c r="C50" s="17">
        <v>0</v>
      </c>
      <c r="E50" s="17">
        <v>0</v>
      </c>
      <c r="G50" s="17">
        <v>0</v>
      </c>
      <c r="I50" s="17">
        <v>0</v>
      </c>
      <c r="K50" s="18">
        <v>0</v>
      </c>
      <c r="M50" s="18">
        <v>0</v>
      </c>
      <c r="O50" s="17">
        <v>0</v>
      </c>
      <c r="Q50" s="17">
        <v>0</v>
      </c>
      <c r="S50" s="17">
        <v>0</v>
      </c>
      <c r="U50" s="17">
        <v>0</v>
      </c>
      <c r="W50" s="17">
        <v>0</v>
      </c>
      <c r="Y50" s="17">
        <v>691155</v>
      </c>
      <c r="AA50" s="17">
        <v>0</v>
      </c>
      <c r="AC50" s="17">
        <v>-691155</v>
      </c>
      <c r="AE50" s="17">
        <v>-36483</v>
      </c>
      <c r="AG50" s="13">
        <f t="shared" si="0"/>
        <v>0</v>
      </c>
      <c r="AH50" s="13">
        <f t="shared" si="1"/>
        <v>0</v>
      </c>
      <c r="AI50" s="13">
        <f t="shared" si="2"/>
        <v>0</v>
      </c>
    </row>
    <row r="51" spans="1:35" ht="21.9" customHeight="1" x14ac:dyDescent="0.3">
      <c r="A51" s="16">
        <v>2054</v>
      </c>
      <c r="C51" s="17">
        <v>0</v>
      </c>
      <c r="E51" s="17">
        <v>0</v>
      </c>
      <c r="G51" s="17">
        <v>0</v>
      </c>
      <c r="I51" s="17">
        <v>0</v>
      </c>
      <c r="K51" s="18">
        <v>0</v>
      </c>
      <c r="M51" s="18">
        <v>0</v>
      </c>
      <c r="O51" s="17">
        <v>0</v>
      </c>
      <c r="Q51" s="17">
        <v>0</v>
      </c>
      <c r="S51" s="17">
        <v>0</v>
      </c>
      <c r="U51" s="17">
        <v>0</v>
      </c>
      <c r="W51" s="17">
        <v>0</v>
      </c>
      <c r="Y51" s="17">
        <v>0</v>
      </c>
      <c r="AA51" s="17">
        <v>0</v>
      </c>
      <c r="AC51" s="17">
        <v>0</v>
      </c>
      <c r="AE51" s="17">
        <v>0</v>
      </c>
      <c r="AG51" s="13">
        <f t="shared" si="0"/>
        <v>0</v>
      </c>
      <c r="AH51" s="13">
        <f t="shared" si="1"/>
        <v>0</v>
      </c>
      <c r="AI51" s="13">
        <f t="shared" si="2"/>
        <v>0</v>
      </c>
    </row>
    <row r="52" spans="1:35" x14ac:dyDescent="0.3">
      <c r="A52" s="16">
        <v>2055</v>
      </c>
      <c r="C52" s="17">
        <v>0</v>
      </c>
      <c r="E52" s="17">
        <v>0</v>
      </c>
      <c r="G52" s="17">
        <v>0</v>
      </c>
      <c r="I52" s="17">
        <v>0</v>
      </c>
      <c r="K52" s="18">
        <v>0</v>
      </c>
      <c r="M52" s="18">
        <v>0</v>
      </c>
      <c r="O52" s="17">
        <v>0</v>
      </c>
      <c r="Q52" s="17">
        <v>0</v>
      </c>
      <c r="S52" s="17">
        <v>0</v>
      </c>
      <c r="U52" s="17">
        <v>0</v>
      </c>
      <c r="W52" s="17">
        <v>0</v>
      </c>
      <c r="Y52" s="17">
        <v>0</v>
      </c>
      <c r="AA52" s="17">
        <v>0</v>
      </c>
      <c r="AC52" s="17">
        <v>0</v>
      </c>
      <c r="AE52" s="17">
        <v>0</v>
      </c>
      <c r="AG52" s="13">
        <f t="shared" si="0"/>
        <v>0</v>
      </c>
      <c r="AH52" s="13">
        <f t="shared" si="1"/>
        <v>0</v>
      </c>
      <c r="AI52" s="13">
        <f t="shared" si="2"/>
        <v>0</v>
      </c>
    </row>
    <row r="53" spans="1:35" x14ac:dyDescent="0.3">
      <c r="A53" s="16">
        <v>2056</v>
      </c>
      <c r="C53" s="17">
        <v>0</v>
      </c>
      <c r="E53" s="17">
        <v>0</v>
      </c>
      <c r="G53" s="17">
        <v>0</v>
      </c>
      <c r="I53" s="17">
        <v>0</v>
      </c>
      <c r="K53" s="18">
        <v>0</v>
      </c>
      <c r="M53" s="18">
        <v>0</v>
      </c>
      <c r="O53" s="17">
        <v>0</v>
      </c>
      <c r="Q53" s="17">
        <v>0</v>
      </c>
      <c r="S53" s="17">
        <v>0</v>
      </c>
      <c r="U53" s="17">
        <v>0</v>
      </c>
      <c r="W53" s="17">
        <v>0</v>
      </c>
      <c r="Y53" s="17">
        <v>0</v>
      </c>
      <c r="AA53" s="17">
        <v>0</v>
      </c>
      <c r="AC53" s="17">
        <v>0</v>
      </c>
      <c r="AE53" s="17">
        <v>0</v>
      </c>
      <c r="AG53" s="13">
        <f t="shared" si="0"/>
        <v>0</v>
      </c>
      <c r="AH53" s="13">
        <f t="shared" si="1"/>
        <v>0</v>
      </c>
      <c r="AI53" s="13">
        <f t="shared" si="2"/>
        <v>0</v>
      </c>
    </row>
    <row r="54" spans="1:35" x14ac:dyDescent="0.3">
      <c r="A54" s="16">
        <v>2057</v>
      </c>
      <c r="C54" s="17">
        <v>0</v>
      </c>
      <c r="E54" s="17">
        <v>0</v>
      </c>
      <c r="G54" s="17">
        <v>0</v>
      </c>
      <c r="I54" s="17">
        <v>0</v>
      </c>
      <c r="K54" s="18">
        <v>0</v>
      </c>
      <c r="M54" s="18">
        <v>0</v>
      </c>
      <c r="O54" s="17">
        <v>0</v>
      </c>
      <c r="Q54" s="17">
        <v>0</v>
      </c>
      <c r="S54" s="17">
        <v>0</v>
      </c>
      <c r="U54" s="17">
        <v>0</v>
      </c>
      <c r="W54" s="17">
        <v>0</v>
      </c>
      <c r="Y54" s="17">
        <v>0</v>
      </c>
      <c r="AA54" s="17">
        <v>0</v>
      </c>
      <c r="AC54" s="17">
        <v>0</v>
      </c>
      <c r="AE54" s="17">
        <v>0</v>
      </c>
      <c r="AG54" s="13">
        <f t="shared" si="0"/>
        <v>0</v>
      </c>
      <c r="AH54" s="13">
        <f t="shared" si="1"/>
        <v>0</v>
      </c>
      <c r="AI54" s="13">
        <f t="shared" si="2"/>
        <v>0</v>
      </c>
    </row>
    <row r="55" spans="1:35" x14ac:dyDescent="0.3">
      <c r="A55" s="16">
        <v>2058</v>
      </c>
      <c r="C55" s="17">
        <v>0</v>
      </c>
      <c r="E55" s="17">
        <v>0</v>
      </c>
      <c r="G55" s="17">
        <v>0</v>
      </c>
      <c r="I55" s="17">
        <v>0</v>
      </c>
      <c r="K55" s="18">
        <v>0</v>
      </c>
      <c r="M55" s="18">
        <v>0</v>
      </c>
      <c r="O55" s="17">
        <v>0</v>
      </c>
      <c r="Q55" s="17">
        <v>0</v>
      </c>
      <c r="S55" s="17">
        <v>0</v>
      </c>
      <c r="U55" s="17">
        <v>0</v>
      </c>
      <c r="W55" s="17">
        <v>0</v>
      </c>
      <c r="Y55" s="17">
        <v>0</v>
      </c>
      <c r="AA55" s="17">
        <v>0</v>
      </c>
      <c r="AC55" s="17">
        <v>0</v>
      </c>
      <c r="AE55" s="17">
        <v>0</v>
      </c>
      <c r="AG55" s="13">
        <f t="shared" si="0"/>
        <v>0</v>
      </c>
      <c r="AH55" s="13">
        <f t="shared" si="1"/>
        <v>0</v>
      </c>
      <c r="AI55" s="13">
        <f t="shared" si="2"/>
        <v>0</v>
      </c>
    </row>
    <row r="56" spans="1:35" ht="21.9" customHeight="1" x14ac:dyDescent="0.3">
      <c r="A56" s="16">
        <v>2059</v>
      </c>
      <c r="C56" s="17">
        <v>0</v>
      </c>
      <c r="E56" s="17">
        <v>0</v>
      </c>
      <c r="G56" s="17">
        <v>0</v>
      </c>
      <c r="I56" s="17">
        <v>0</v>
      </c>
      <c r="K56" s="18">
        <v>0</v>
      </c>
      <c r="M56" s="18">
        <v>0</v>
      </c>
      <c r="O56" s="17">
        <v>0</v>
      </c>
      <c r="Q56" s="17">
        <v>0</v>
      </c>
      <c r="S56" s="17">
        <v>0</v>
      </c>
      <c r="U56" s="17">
        <v>0</v>
      </c>
      <c r="W56" s="17">
        <v>0</v>
      </c>
      <c r="Y56" s="17">
        <v>0</v>
      </c>
      <c r="AA56" s="17">
        <v>0</v>
      </c>
      <c r="AC56" s="17">
        <v>0</v>
      </c>
      <c r="AE56" s="17">
        <v>0</v>
      </c>
      <c r="AG56" s="13">
        <f t="shared" si="0"/>
        <v>0</v>
      </c>
      <c r="AH56" s="13">
        <f t="shared" si="1"/>
        <v>0</v>
      </c>
      <c r="AI56" s="13">
        <f t="shared" si="2"/>
        <v>0</v>
      </c>
    </row>
    <row r="57" spans="1:35" x14ac:dyDescent="0.3">
      <c r="A57" s="16">
        <v>2060</v>
      </c>
      <c r="C57" s="19">
        <v>0</v>
      </c>
      <c r="E57" s="19">
        <v>0</v>
      </c>
      <c r="G57" s="19">
        <v>0</v>
      </c>
      <c r="I57" s="19">
        <v>0</v>
      </c>
      <c r="K57" s="18">
        <v>0</v>
      </c>
      <c r="M57" s="18">
        <v>0</v>
      </c>
      <c r="O57" s="19">
        <v>0</v>
      </c>
      <c r="Q57" s="19">
        <v>0</v>
      </c>
      <c r="S57" s="19">
        <v>0</v>
      </c>
      <c r="U57" s="19">
        <v>0</v>
      </c>
      <c r="W57" s="19">
        <v>0</v>
      </c>
      <c r="Y57" s="19">
        <v>0</v>
      </c>
      <c r="AA57" s="19">
        <v>0</v>
      </c>
      <c r="AC57" s="19">
        <v>0</v>
      </c>
      <c r="AE57" s="19">
        <v>0</v>
      </c>
      <c r="AG57" s="13">
        <f t="shared" si="0"/>
        <v>0</v>
      </c>
      <c r="AH57" s="13">
        <f t="shared" si="1"/>
        <v>0</v>
      </c>
      <c r="AI57" s="13">
        <f t="shared" si="2"/>
        <v>0</v>
      </c>
    </row>
    <row r="58" spans="1:35" x14ac:dyDescent="0.3">
      <c r="AG58" s="13"/>
      <c r="AH58" s="13"/>
      <c r="AI58" s="13"/>
    </row>
    <row r="59" spans="1:35" x14ac:dyDescent="0.3">
      <c r="A59" s="228" t="s">
        <v>2</v>
      </c>
      <c r="C59" s="229">
        <v>433586</v>
      </c>
      <c r="E59" s="229">
        <v>124967</v>
      </c>
      <c r="G59" s="229">
        <v>394422</v>
      </c>
      <c r="I59" s="229">
        <v>114057</v>
      </c>
      <c r="O59" s="229">
        <v>23850057</v>
      </c>
      <c r="Q59" s="229">
        <v>373655</v>
      </c>
      <c r="S59" s="229">
        <v>1598700</v>
      </c>
      <c r="U59" s="229">
        <v>2357548</v>
      </c>
      <c r="W59" s="229">
        <v>1653868</v>
      </c>
      <c r="Y59" s="229">
        <v>761355</v>
      </c>
      <c r="AA59" s="229">
        <v>960917</v>
      </c>
      <c r="AC59" s="229">
        <v>16891323</v>
      </c>
      <c r="AE59" s="229">
        <v>8625240</v>
      </c>
      <c r="AG59" s="13"/>
      <c r="AH59" s="13"/>
      <c r="AI59" s="13"/>
    </row>
    <row r="60" spans="1:35" x14ac:dyDescent="0.3">
      <c r="AG60" s="13"/>
      <c r="AH60" s="13"/>
      <c r="AI60" s="13"/>
    </row>
    <row r="61" spans="1:35" ht="21.9" customHeight="1" x14ac:dyDescent="0.3">
      <c r="A61" t="s">
        <v>45</v>
      </c>
      <c r="AC61" s="225" t="s">
        <v>721</v>
      </c>
      <c r="AD61" s="15"/>
      <c r="AE61" s="15"/>
      <c r="AG61" s="13"/>
      <c r="AH61" s="13"/>
      <c r="AI61" s="13"/>
    </row>
    <row r="62" spans="1:35" x14ac:dyDescent="0.3">
      <c r="A62" t="s">
        <v>80</v>
      </c>
      <c r="AC62" s="20" t="s">
        <v>46</v>
      </c>
      <c r="AE62" s="17">
        <v>11874100</v>
      </c>
      <c r="AG62" s="13"/>
      <c r="AH62" s="13"/>
      <c r="AI62" s="13"/>
    </row>
    <row r="63" spans="1:35" x14ac:dyDescent="0.3">
      <c r="A63" t="s">
        <v>81</v>
      </c>
      <c r="AC63" s="20" t="s">
        <v>47</v>
      </c>
      <c r="AE63" s="17">
        <v>6483861</v>
      </c>
      <c r="AG63" s="13"/>
      <c r="AH63" s="13"/>
      <c r="AI63" s="13"/>
    </row>
    <row r="64" spans="1:35" x14ac:dyDescent="0.3">
      <c r="A64" t="s">
        <v>82</v>
      </c>
      <c r="AC64" s="20" t="s">
        <v>48</v>
      </c>
      <c r="AE64" s="17">
        <v>5026387</v>
      </c>
      <c r="AG64" s="13"/>
      <c r="AH64" s="13"/>
      <c r="AI64" s="13"/>
    </row>
    <row r="65" spans="1:1" x14ac:dyDescent="0.3">
      <c r="A65" t="s">
        <v>83</v>
      </c>
    </row>
    <row r="66" spans="1:1" x14ac:dyDescent="0.3">
      <c r="A66" t="s">
        <v>722</v>
      </c>
    </row>
    <row r="67" spans="1:1" x14ac:dyDescent="0.3">
      <c r="A67" s="230" t="s">
        <v>723</v>
      </c>
    </row>
    <row r="68" spans="1:1" x14ac:dyDescent="0.3">
      <c r="A68" t="s">
        <v>724</v>
      </c>
    </row>
    <row r="69" spans="1:1" x14ac:dyDescent="0.3">
      <c r="A69" s="230" t="s">
        <v>725</v>
      </c>
    </row>
  </sheetData>
  <printOptions horizontalCentered="1"/>
  <pageMargins left="0.5" right="0.5" top="0.75" bottom="1" header="0.3" footer="0.3"/>
  <pageSetup scale="41"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8376B-27F1-4542-8116-449C2A8E8B09}">
  <sheetPr>
    <tabColor rgb="FF7030A0"/>
    <pageSetUpPr fitToPage="1"/>
  </sheetPr>
  <dimension ref="A1:AK69"/>
  <sheetViews>
    <sheetView showGridLines="0" zoomScaleNormal="100" zoomScaleSheetLayoutView="90" workbookViewId="0">
      <selection activeCell="I6" sqref="I6"/>
    </sheetView>
  </sheetViews>
  <sheetFormatPr defaultRowHeight="14.4" x14ac:dyDescent="0.3"/>
  <cols>
    <col min="1" max="1" width="6" bestFit="1" customWidth="1"/>
    <col min="2" max="2" width="1.6640625" customWidth="1"/>
    <col min="3" max="3" width="9.5546875" customWidth="1"/>
    <col min="4" max="4" width="1.6640625" customWidth="1"/>
    <col min="5" max="5" width="9.5546875" customWidth="1"/>
    <col min="6" max="6" width="1.6640625" customWidth="1"/>
    <col min="7" max="7" width="9.5546875" customWidth="1"/>
    <col min="8" max="8" width="1.6640625" customWidth="1"/>
    <col min="9" max="9" width="9.5546875" customWidth="1"/>
    <col min="10" max="10" width="1.6640625" customWidth="1"/>
    <col min="11" max="11" width="13.33203125" customWidth="1"/>
    <col min="12" max="12" width="1.6640625" customWidth="1"/>
    <col min="13" max="13" width="13.33203125" bestFit="1" customWidth="1"/>
    <col min="14" max="14" width="1.6640625" customWidth="1"/>
    <col min="15" max="15" width="14.5546875" customWidth="1"/>
    <col min="16" max="16" width="1.6640625" customWidth="1"/>
    <col min="17" max="17" width="14.5546875" customWidth="1"/>
    <col min="18" max="18" width="1.6640625" customWidth="1"/>
    <col min="19" max="19" width="14.5546875" customWidth="1"/>
    <col min="20" max="20" width="1.6640625" customWidth="1"/>
    <col min="21" max="21" width="14.5546875" customWidth="1"/>
    <col min="22" max="22" width="1.6640625" customWidth="1"/>
    <col min="23" max="23" width="14.5546875" customWidth="1"/>
    <col min="24" max="24" width="1.6640625" customWidth="1"/>
    <col min="25" max="25" width="14.5546875" bestFit="1" customWidth="1"/>
    <col min="26" max="26" width="1.6640625" customWidth="1"/>
    <col min="27" max="27" width="14.5546875" customWidth="1"/>
    <col min="28" max="28" width="1.6640625" customWidth="1"/>
    <col min="29" max="29" width="14.5546875" customWidth="1"/>
    <col min="30" max="30" width="1.6640625" customWidth="1"/>
    <col min="31" max="31" width="14.5546875" customWidth="1"/>
    <col min="32" max="32" width="2.109375" customWidth="1"/>
    <col min="37" max="37" width="12.88671875" bestFit="1" customWidth="1"/>
  </cols>
  <sheetData>
    <row r="1" spans="1:34" x14ac:dyDescent="0.3">
      <c r="A1" s="223" t="s">
        <v>52</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row>
    <row r="2" spans="1:34" x14ac:dyDescent="0.3">
      <c r="A2" s="223" t="s">
        <v>63</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row>
    <row r="3" spans="1:34" x14ac:dyDescent="0.3">
      <c r="A3" s="223" t="s">
        <v>22</v>
      </c>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row>
    <row r="4" spans="1:34" x14ac:dyDescent="0.3">
      <c r="A4" s="223" t="s">
        <v>710</v>
      </c>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row>
    <row r="5" spans="1:34" x14ac:dyDescent="0.3">
      <c r="A5" s="223" t="s">
        <v>60</v>
      </c>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row>
    <row r="6" spans="1:34" x14ac:dyDescent="0.3">
      <c r="A6" s="223" t="s">
        <v>59</v>
      </c>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row>
    <row r="7" spans="1:34" x14ac:dyDescent="0.3">
      <c r="A7" s="223" t="s">
        <v>23</v>
      </c>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row>
    <row r="8" spans="1:34" x14ac:dyDescent="0.3">
      <c r="A8" s="223" t="s">
        <v>24</v>
      </c>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row>
    <row r="9" spans="1:34" x14ac:dyDescent="0.3">
      <c r="A9" s="223" t="s">
        <v>25</v>
      </c>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row>
    <row r="10" spans="1:34" x14ac:dyDescent="0.3">
      <c r="A10" s="223" t="s">
        <v>711</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row>
    <row r="11" spans="1:34" x14ac:dyDescent="0.3">
      <c r="A11" s="223" t="s">
        <v>5</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row>
    <row r="12" spans="1:34" x14ac:dyDescent="0.3">
      <c r="A12" s="223" t="s">
        <v>5</v>
      </c>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row>
    <row r="13" spans="1:34" x14ac:dyDescent="0.3">
      <c r="A13" s="223" t="s">
        <v>5</v>
      </c>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row>
    <row r="14" spans="1:34" x14ac:dyDescent="0.3">
      <c r="K14" s="224"/>
      <c r="L14" s="14"/>
      <c r="M14" s="14"/>
    </row>
    <row r="15" spans="1:34" x14ac:dyDescent="0.3">
      <c r="C15" s="224" t="s">
        <v>29</v>
      </c>
      <c r="D15" s="14"/>
      <c r="E15" s="14"/>
      <c r="G15" s="224" t="s">
        <v>35</v>
      </c>
      <c r="H15" s="14"/>
      <c r="I15" s="14"/>
      <c r="K15" s="224" t="s">
        <v>74</v>
      </c>
      <c r="L15" s="14"/>
      <c r="M15" s="14"/>
    </row>
    <row r="16" spans="1:34" x14ac:dyDescent="0.3">
      <c r="C16" s="225" t="s">
        <v>50</v>
      </c>
      <c r="D16" s="15"/>
      <c r="E16" s="15"/>
      <c r="G16" s="225" t="s">
        <v>50</v>
      </c>
      <c r="H16" s="15"/>
      <c r="I16" s="15"/>
      <c r="K16" s="225" t="s">
        <v>75</v>
      </c>
      <c r="L16" s="15"/>
      <c r="M16" s="15"/>
      <c r="O16" s="226" t="s">
        <v>26</v>
      </c>
      <c r="S16" s="226" t="s">
        <v>14</v>
      </c>
      <c r="AC16" s="226" t="s">
        <v>26</v>
      </c>
      <c r="AE16" s="226" t="s">
        <v>27</v>
      </c>
      <c r="AG16" s="9" t="s">
        <v>14</v>
      </c>
      <c r="AH16" s="9"/>
    </row>
    <row r="17" spans="1:37" x14ac:dyDescent="0.3">
      <c r="E17" s="226" t="s">
        <v>28</v>
      </c>
      <c r="I17" s="226" t="s">
        <v>28</v>
      </c>
      <c r="M17" s="226" t="s">
        <v>28</v>
      </c>
      <c r="O17" s="226" t="s">
        <v>29</v>
      </c>
      <c r="S17" s="226" t="s">
        <v>31</v>
      </c>
      <c r="U17" s="226" t="s">
        <v>32</v>
      </c>
      <c r="W17" s="226" t="s">
        <v>33</v>
      </c>
      <c r="Y17" s="226" t="s">
        <v>34</v>
      </c>
      <c r="AC17" s="226" t="s">
        <v>35</v>
      </c>
      <c r="AE17" s="226" t="s">
        <v>36</v>
      </c>
      <c r="AG17" s="9" t="s">
        <v>31</v>
      </c>
      <c r="AH17" s="9"/>
      <c r="AI17" s="226" t="s">
        <v>742</v>
      </c>
    </row>
    <row r="18" spans="1:37" x14ac:dyDescent="0.3">
      <c r="C18" s="226" t="s">
        <v>37</v>
      </c>
      <c r="E18" s="226" t="s">
        <v>38</v>
      </c>
      <c r="G18" s="226" t="s">
        <v>37</v>
      </c>
      <c r="I18" s="226" t="s">
        <v>38</v>
      </c>
      <c r="K18" s="226" t="s">
        <v>37</v>
      </c>
      <c r="M18" s="226" t="s">
        <v>38</v>
      </c>
      <c r="O18" s="226" t="s">
        <v>39</v>
      </c>
      <c r="Q18" s="226" t="s">
        <v>712</v>
      </c>
      <c r="S18" s="226" t="s">
        <v>30</v>
      </c>
      <c r="U18" s="226" t="s">
        <v>40</v>
      </c>
      <c r="W18" s="226" t="s">
        <v>41</v>
      </c>
      <c r="Y18" s="226" t="s">
        <v>76</v>
      </c>
      <c r="AA18" s="226" t="s">
        <v>42</v>
      </c>
      <c r="AC18" s="226" t="s">
        <v>39</v>
      </c>
      <c r="AE18" s="226" t="s">
        <v>43</v>
      </c>
      <c r="AG18" s="9" t="s">
        <v>30</v>
      </c>
      <c r="AH18" s="9" t="s">
        <v>42</v>
      </c>
      <c r="AI18" s="9" t="s">
        <v>743</v>
      </c>
    </row>
    <row r="19" spans="1:37" ht="16.8" x14ac:dyDescent="0.3">
      <c r="A19" s="227" t="s">
        <v>1</v>
      </c>
      <c r="C19" s="227" t="s">
        <v>715</v>
      </c>
      <c r="E19" s="227" t="s">
        <v>716</v>
      </c>
      <c r="G19" s="227" t="s">
        <v>715</v>
      </c>
      <c r="I19" s="227" t="s">
        <v>716</v>
      </c>
      <c r="K19" s="227" t="s">
        <v>44</v>
      </c>
      <c r="M19" s="227" t="s">
        <v>717</v>
      </c>
      <c r="O19" s="227" t="s">
        <v>720</v>
      </c>
      <c r="Q19" s="227" t="s">
        <v>720</v>
      </c>
      <c r="S19" s="227" t="s">
        <v>720</v>
      </c>
      <c r="U19" s="227" t="s">
        <v>720</v>
      </c>
      <c r="W19" s="227" t="s">
        <v>720</v>
      </c>
      <c r="Y19" s="227" t="s">
        <v>720</v>
      </c>
      <c r="AA19" s="227" t="s">
        <v>720</v>
      </c>
      <c r="AC19" s="227" t="s">
        <v>720</v>
      </c>
      <c r="AE19" s="227" t="s">
        <v>720</v>
      </c>
      <c r="AG19" s="10" t="s">
        <v>69</v>
      </c>
      <c r="AH19" s="10" t="s">
        <v>69</v>
      </c>
      <c r="AI19" s="10" t="s">
        <v>69</v>
      </c>
    </row>
    <row r="20" spans="1:37" x14ac:dyDescent="0.3">
      <c r="AG20" s="8"/>
      <c r="AH20" s="8"/>
      <c r="AI20" s="8"/>
    </row>
    <row r="21" spans="1:37" x14ac:dyDescent="0.3">
      <c r="A21" s="16">
        <v>2024</v>
      </c>
      <c r="C21" s="17">
        <v>13960</v>
      </c>
      <c r="E21" s="17">
        <v>3496</v>
      </c>
      <c r="G21" s="17">
        <v>12564</v>
      </c>
      <c r="I21" s="17">
        <v>3146</v>
      </c>
      <c r="K21" s="18">
        <v>60</v>
      </c>
      <c r="M21" s="18">
        <v>1.62</v>
      </c>
      <c r="O21" s="17">
        <v>758922</v>
      </c>
      <c r="Q21" s="17">
        <v>10399</v>
      </c>
      <c r="S21" s="17">
        <v>60043</v>
      </c>
      <c r="U21" s="17">
        <v>81900</v>
      </c>
      <c r="W21" s="17">
        <v>97555</v>
      </c>
      <c r="Y21" s="17">
        <v>11700</v>
      </c>
      <c r="AA21" s="17">
        <v>8454</v>
      </c>
      <c r="AC21" s="17">
        <v>509670</v>
      </c>
      <c r="AE21" s="17">
        <v>483103</v>
      </c>
      <c r="AG21" s="13">
        <f>IFERROR(S21/O21,0)</f>
        <v>7.9116167405873072E-2</v>
      </c>
      <c r="AH21" s="13">
        <f>IFERROR(AA21/O21,0)</f>
        <v>1.1139484690126258E-2</v>
      </c>
      <c r="AI21" s="13">
        <f>IFERROR(Q21/O21,0)</f>
        <v>1.3702330410766852E-2</v>
      </c>
      <c r="AK21" s="244"/>
    </row>
    <row r="22" spans="1:37" x14ac:dyDescent="0.3">
      <c r="A22" s="16">
        <v>2025</v>
      </c>
      <c r="C22" s="17">
        <v>22292</v>
      </c>
      <c r="E22" s="17">
        <v>8207</v>
      </c>
      <c r="G22" s="17">
        <v>20590</v>
      </c>
      <c r="I22" s="17">
        <v>7567</v>
      </c>
      <c r="K22" s="18">
        <v>60</v>
      </c>
      <c r="M22" s="18">
        <v>1.62</v>
      </c>
      <c r="O22" s="17">
        <v>1247657</v>
      </c>
      <c r="Q22" s="17">
        <v>23015</v>
      </c>
      <c r="S22" s="17">
        <v>79410</v>
      </c>
      <c r="U22" s="17">
        <v>84044</v>
      </c>
      <c r="W22" s="17">
        <v>264956</v>
      </c>
      <c r="Y22" s="17">
        <v>11700</v>
      </c>
      <c r="AA22" s="17">
        <v>40533</v>
      </c>
      <c r="AC22" s="17">
        <v>790029</v>
      </c>
      <c r="AE22" s="17">
        <v>677868</v>
      </c>
      <c r="AG22" s="13">
        <f t="shared" ref="AG22:AG57" si="0">IFERROR(S22/O22,0)</f>
        <v>6.3647300500057305E-2</v>
      </c>
      <c r="AH22" s="13">
        <f t="shared" ref="AH22:AH57" si="1">IFERROR(AA22/O22,0)</f>
        <v>3.2487294184218897E-2</v>
      </c>
      <c r="AI22" s="13">
        <f t="shared" ref="AI22:AI57" si="2">IFERROR(Q22/O22,0)</f>
        <v>1.8446576262546518E-2</v>
      </c>
      <c r="AJ22" s="244"/>
      <c r="AK22" s="244"/>
    </row>
    <row r="23" spans="1:37" x14ac:dyDescent="0.3">
      <c r="A23" s="16">
        <v>2026</v>
      </c>
      <c r="C23" s="17">
        <v>30249</v>
      </c>
      <c r="E23" s="17">
        <v>12333</v>
      </c>
      <c r="G23" s="17">
        <v>28194</v>
      </c>
      <c r="I23" s="17">
        <v>11482</v>
      </c>
      <c r="K23" s="18">
        <v>60</v>
      </c>
      <c r="M23" s="18">
        <v>1.62</v>
      </c>
      <c r="O23" s="17">
        <v>1710235</v>
      </c>
      <c r="Q23" s="17">
        <v>32577</v>
      </c>
      <c r="S23" s="17">
        <v>97336</v>
      </c>
      <c r="U23" s="17">
        <v>84825</v>
      </c>
      <c r="W23" s="17">
        <v>224312</v>
      </c>
      <c r="Y23" s="17">
        <v>23400</v>
      </c>
      <c r="AA23" s="17">
        <v>101221</v>
      </c>
      <c r="AC23" s="17">
        <v>1211717</v>
      </c>
      <c r="AE23" s="17">
        <v>941139</v>
      </c>
      <c r="AG23" s="13">
        <f t="shared" si="0"/>
        <v>5.6913815937575829E-2</v>
      </c>
      <c r="AH23" s="13">
        <f t="shared" si="1"/>
        <v>5.9185433580765216E-2</v>
      </c>
      <c r="AI23" s="13">
        <f t="shared" si="2"/>
        <v>1.9048259449724745E-2</v>
      </c>
      <c r="AK23" s="244"/>
    </row>
    <row r="24" spans="1:37" x14ac:dyDescent="0.3">
      <c r="A24" s="16">
        <v>2027</v>
      </c>
      <c r="C24" s="17">
        <v>38664</v>
      </c>
      <c r="E24" s="17">
        <v>16662</v>
      </c>
      <c r="G24" s="17">
        <v>35613</v>
      </c>
      <c r="I24" s="17">
        <v>15339</v>
      </c>
      <c r="K24" s="18">
        <v>60</v>
      </c>
      <c r="M24" s="18">
        <v>1.62</v>
      </c>
      <c r="O24" s="17">
        <v>2161633</v>
      </c>
      <c r="Q24" s="17">
        <v>43406</v>
      </c>
      <c r="S24" s="17">
        <v>115034</v>
      </c>
      <c r="U24" s="17">
        <v>83813</v>
      </c>
      <c r="W24" s="17">
        <v>274098</v>
      </c>
      <c r="Y24" s="17">
        <v>0</v>
      </c>
      <c r="AA24" s="17">
        <v>179653</v>
      </c>
      <c r="AC24" s="17">
        <v>1552441</v>
      </c>
      <c r="AE24" s="17">
        <v>1091485</v>
      </c>
      <c r="AG24" s="13">
        <f t="shared" si="0"/>
        <v>5.321624901174251E-2</v>
      </c>
      <c r="AH24" s="13">
        <f t="shared" si="1"/>
        <v>8.3109852597550091E-2</v>
      </c>
      <c r="AI24" s="13">
        <f t="shared" si="2"/>
        <v>2.0080189375347248E-2</v>
      </c>
      <c r="AK24" s="244"/>
    </row>
    <row r="25" spans="1:37" x14ac:dyDescent="0.3">
      <c r="A25" s="16">
        <v>2028</v>
      </c>
      <c r="C25" s="17">
        <v>41602</v>
      </c>
      <c r="E25" s="17">
        <v>17621</v>
      </c>
      <c r="G25" s="17">
        <v>38071</v>
      </c>
      <c r="I25" s="17">
        <v>16129</v>
      </c>
      <c r="K25" s="18">
        <v>60</v>
      </c>
      <c r="M25" s="18">
        <v>1.62</v>
      </c>
      <c r="O25" s="17">
        <v>2310400</v>
      </c>
      <c r="Q25" s="17">
        <v>43241</v>
      </c>
      <c r="S25" s="17">
        <v>119988</v>
      </c>
      <c r="U25" s="17">
        <v>83285</v>
      </c>
      <c r="W25" s="17">
        <v>215205</v>
      </c>
      <c r="Y25" s="17">
        <v>11700</v>
      </c>
      <c r="AA25" s="17">
        <v>206052</v>
      </c>
      <c r="AC25" s="17">
        <v>1717411</v>
      </c>
      <c r="AE25" s="17">
        <v>1093019</v>
      </c>
      <c r="AG25" s="13">
        <f t="shared" si="0"/>
        <v>5.1933864265927977E-2</v>
      </c>
      <c r="AH25" s="13">
        <f t="shared" si="1"/>
        <v>8.9184556786703603E-2</v>
      </c>
      <c r="AI25" s="13">
        <f t="shared" si="2"/>
        <v>1.87158067867036E-2</v>
      </c>
      <c r="AK25" s="244"/>
    </row>
    <row r="26" spans="1:37" ht="21.9" customHeight="1" x14ac:dyDescent="0.3">
      <c r="A26" s="16">
        <v>2029</v>
      </c>
      <c r="C26" s="17">
        <v>47042</v>
      </c>
      <c r="E26" s="17">
        <v>19211</v>
      </c>
      <c r="G26" s="17">
        <v>42829</v>
      </c>
      <c r="I26" s="17">
        <v>17503</v>
      </c>
      <c r="K26" s="18">
        <v>60</v>
      </c>
      <c r="M26" s="18">
        <v>1.62</v>
      </c>
      <c r="O26" s="17">
        <v>2598059</v>
      </c>
      <c r="Q26" s="17">
        <v>40519</v>
      </c>
      <c r="S26" s="17">
        <v>131020</v>
      </c>
      <c r="U26" s="17">
        <v>82848</v>
      </c>
      <c r="W26" s="17">
        <v>217742</v>
      </c>
      <c r="Y26" s="17">
        <v>11700</v>
      </c>
      <c r="AA26" s="17">
        <v>260350</v>
      </c>
      <c r="AC26" s="17">
        <v>1934917</v>
      </c>
      <c r="AE26" s="17">
        <v>1114722</v>
      </c>
      <c r="AG26" s="13">
        <f t="shared" si="0"/>
        <v>5.042995559377212E-2</v>
      </c>
      <c r="AH26" s="13">
        <f t="shared" si="1"/>
        <v>0.1002094255750158</v>
      </c>
      <c r="AI26" s="13">
        <f t="shared" si="2"/>
        <v>1.559587368878074E-2</v>
      </c>
      <c r="AK26" s="244"/>
    </row>
    <row r="27" spans="1:37" x14ac:dyDescent="0.3">
      <c r="A27" s="16">
        <v>2030</v>
      </c>
      <c r="C27" s="17">
        <v>44879</v>
      </c>
      <c r="E27" s="17">
        <v>17855</v>
      </c>
      <c r="G27" s="17">
        <v>40773</v>
      </c>
      <c r="I27" s="17">
        <v>16232</v>
      </c>
      <c r="K27" s="18">
        <v>60</v>
      </c>
      <c r="M27" s="18">
        <v>1.62</v>
      </c>
      <c r="O27" s="17">
        <v>2472689</v>
      </c>
      <c r="Q27" s="17">
        <v>36271</v>
      </c>
      <c r="S27" s="17">
        <v>124495</v>
      </c>
      <c r="U27" s="17">
        <v>82671</v>
      </c>
      <c r="W27" s="17">
        <v>18000</v>
      </c>
      <c r="Y27" s="17">
        <v>0</v>
      </c>
      <c r="AA27" s="17">
        <v>232205</v>
      </c>
      <c r="AC27" s="17">
        <v>2051590</v>
      </c>
      <c r="AE27" s="17">
        <v>1069904</v>
      </c>
      <c r="AG27" s="13">
        <f t="shared" si="0"/>
        <v>5.0348021930780619E-2</v>
      </c>
      <c r="AH27" s="13">
        <f t="shared" si="1"/>
        <v>9.3907887324285427E-2</v>
      </c>
      <c r="AI27" s="13">
        <f t="shared" si="2"/>
        <v>1.4668646158089433E-2</v>
      </c>
      <c r="AK27" s="244"/>
    </row>
    <row r="28" spans="1:37" x14ac:dyDescent="0.3">
      <c r="A28" s="16">
        <v>2031</v>
      </c>
      <c r="C28" s="17">
        <v>38143</v>
      </c>
      <c r="E28" s="17">
        <v>14574</v>
      </c>
      <c r="G28" s="17">
        <v>34623</v>
      </c>
      <c r="I28" s="17">
        <v>13236</v>
      </c>
      <c r="K28" s="18">
        <v>60</v>
      </c>
      <c r="M28" s="18">
        <v>1.62</v>
      </c>
      <c r="O28" s="17">
        <v>2098852</v>
      </c>
      <c r="Q28" s="17">
        <v>30544</v>
      </c>
      <c r="S28" s="17">
        <v>107554</v>
      </c>
      <c r="U28" s="17">
        <v>82605</v>
      </c>
      <c r="W28" s="17">
        <v>18000</v>
      </c>
      <c r="Y28" s="17">
        <v>0</v>
      </c>
      <c r="AA28" s="17">
        <v>159244</v>
      </c>
      <c r="AC28" s="17">
        <v>1761992</v>
      </c>
      <c r="AE28" s="17">
        <v>831781</v>
      </c>
      <c r="AG28" s="13">
        <f t="shared" si="0"/>
        <v>5.1244203974363127E-2</v>
      </c>
      <c r="AH28" s="13">
        <f t="shared" si="1"/>
        <v>7.5871952858038591E-2</v>
      </c>
      <c r="AI28" s="13">
        <f t="shared" si="2"/>
        <v>1.4552717390268585E-2</v>
      </c>
      <c r="AK28" s="244"/>
    </row>
    <row r="29" spans="1:37" x14ac:dyDescent="0.3">
      <c r="A29" s="16">
        <v>2032</v>
      </c>
      <c r="C29" s="17">
        <v>32670</v>
      </c>
      <c r="E29" s="17">
        <v>11909</v>
      </c>
      <c r="G29" s="17">
        <v>29636</v>
      </c>
      <c r="I29" s="17">
        <v>10807</v>
      </c>
      <c r="K29" s="18">
        <v>60</v>
      </c>
      <c r="M29" s="18">
        <v>1.62</v>
      </c>
      <c r="O29" s="17">
        <v>1795613</v>
      </c>
      <c r="Q29" s="17">
        <v>26008</v>
      </c>
      <c r="S29" s="17">
        <v>93706</v>
      </c>
      <c r="U29" s="17">
        <v>82541</v>
      </c>
      <c r="W29" s="17">
        <v>18000</v>
      </c>
      <c r="Y29" s="17">
        <v>0</v>
      </c>
      <c r="AA29" s="17">
        <v>106201</v>
      </c>
      <c r="AC29" s="17">
        <v>1521174</v>
      </c>
      <c r="AE29" s="17">
        <v>650031</v>
      </c>
      <c r="AG29" s="13">
        <f t="shared" si="0"/>
        <v>5.2186077957778208E-2</v>
      </c>
      <c r="AH29" s="13">
        <f t="shared" si="1"/>
        <v>5.9144704343307826E-2</v>
      </c>
      <c r="AI29" s="13">
        <f t="shared" si="2"/>
        <v>1.4484190078819879E-2</v>
      </c>
      <c r="AK29" s="244"/>
    </row>
    <row r="30" spans="1:37" x14ac:dyDescent="0.3">
      <c r="A30" s="16">
        <v>2033</v>
      </c>
      <c r="C30" s="17">
        <v>27974</v>
      </c>
      <c r="E30" s="17">
        <v>9609</v>
      </c>
      <c r="G30" s="17">
        <v>25350</v>
      </c>
      <c r="I30" s="17">
        <v>8712</v>
      </c>
      <c r="K30" s="18">
        <v>60</v>
      </c>
      <c r="M30" s="18">
        <v>1.62</v>
      </c>
      <c r="O30" s="17">
        <v>1535121</v>
      </c>
      <c r="Q30" s="17">
        <v>22195</v>
      </c>
      <c r="S30" s="17">
        <v>131289</v>
      </c>
      <c r="U30" s="17">
        <v>82480</v>
      </c>
      <c r="W30" s="17">
        <v>18000</v>
      </c>
      <c r="Y30" s="17">
        <v>0</v>
      </c>
      <c r="AA30" s="17">
        <v>69043</v>
      </c>
      <c r="AC30" s="17">
        <v>1256505</v>
      </c>
      <c r="AE30" s="17">
        <v>486038</v>
      </c>
      <c r="AG30" s="13">
        <f t="shared" si="0"/>
        <v>8.5523551563687808E-2</v>
      </c>
      <c r="AH30" s="13">
        <f t="shared" si="1"/>
        <v>4.4975607785966057E-2</v>
      </c>
      <c r="AI30" s="13">
        <f t="shared" si="2"/>
        <v>1.4458143690301937E-2</v>
      </c>
      <c r="AK30" s="244"/>
    </row>
    <row r="31" spans="1:37" ht="21.9" customHeight="1" x14ac:dyDescent="0.3">
      <c r="A31" s="16">
        <v>2034</v>
      </c>
      <c r="C31" s="17">
        <v>24135</v>
      </c>
      <c r="E31" s="17">
        <v>7732</v>
      </c>
      <c r="G31" s="17">
        <v>21862</v>
      </c>
      <c r="I31" s="17">
        <v>7005</v>
      </c>
      <c r="K31" s="18">
        <v>60</v>
      </c>
      <c r="M31" s="18">
        <v>1.62</v>
      </c>
      <c r="O31" s="17">
        <v>1323075</v>
      </c>
      <c r="Q31" s="17">
        <v>19145</v>
      </c>
      <c r="S31" s="17">
        <v>113239</v>
      </c>
      <c r="U31" s="17">
        <v>82422</v>
      </c>
      <c r="W31" s="17">
        <v>18000</v>
      </c>
      <c r="Y31" s="17">
        <v>0</v>
      </c>
      <c r="AA31" s="17">
        <v>43924</v>
      </c>
      <c r="AC31" s="17">
        <v>1084634</v>
      </c>
      <c r="AE31" s="17">
        <v>379787</v>
      </c>
      <c r="AG31" s="13">
        <f t="shared" si="0"/>
        <v>8.5587740679855639E-2</v>
      </c>
      <c r="AH31" s="13">
        <f t="shared" si="1"/>
        <v>3.3198420346541205E-2</v>
      </c>
      <c r="AI31" s="13">
        <f t="shared" si="2"/>
        <v>1.4470079171626703E-2</v>
      </c>
    </row>
    <row r="32" spans="1:37" x14ac:dyDescent="0.3">
      <c r="A32" s="16">
        <v>2035</v>
      </c>
      <c r="C32" s="17">
        <v>20983</v>
      </c>
      <c r="E32" s="17">
        <v>6184</v>
      </c>
      <c r="G32" s="17">
        <v>18992</v>
      </c>
      <c r="I32" s="17">
        <v>5598</v>
      </c>
      <c r="K32" s="18">
        <v>60</v>
      </c>
      <c r="M32" s="18">
        <v>1.62</v>
      </c>
      <c r="O32" s="17">
        <v>1148611</v>
      </c>
      <c r="Q32" s="17">
        <v>16678</v>
      </c>
      <c r="S32" s="17">
        <v>98388</v>
      </c>
      <c r="U32" s="17">
        <v>82366</v>
      </c>
      <c r="W32" s="17">
        <v>18000</v>
      </c>
      <c r="Y32" s="17">
        <v>0</v>
      </c>
      <c r="AA32" s="17">
        <v>29331</v>
      </c>
      <c r="AC32" s="17">
        <v>937204</v>
      </c>
      <c r="AE32" s="17">
        <v>297058</v>
      </c>
      <c r="AG32" s="13">
        <f t="shared" si="0"/>
        <v>8.5658242868995677E-2</v>
      </c>
      <c r="AH32" s="13">
        <f t="shared" si="1"/>
        <v>2.5536060511348053E-2</v>
      </c>
      <c r="AI32" s="13">
        <f t="shared" si="2"/>
        <v>1.452014650739023E-2</v>
      </c>
    </row>
    <row r="33" spans="1:35" x14ac:dyDescent="0.3">
      <c r="A33" s="16">
        <v>2036</v>
      </c>
      <c r="C33" s="17">
        <v>18211</v>
      </c>
      <c r="E33" s="17">
        <v>4803</v>
      </c>
      <c r="G33" s="17">
        <v>16467</v>
      </c>
      <c r="I33" s="17">
        <v>4343</v>
      </c>
      <c r="K33" s="18">
        <v>60</v>
      </c>
      <c r="M33" s="18">
        <v>1.62</v>
      </c>
      <c r="O33" s="17">
        <v>995011</v>
      </c>
      <c r="Q33" s="17">
        <v>14268</v>
      </c>
      <c r="S33" s="17">
        <v>85312</v>
      </c>
      <c r="U33" s="17">
        <v>82270</v>
      </c>
      <c r="W33" s="17">
        <v>18000</v>
      </c>
      <c r="Y33" s="17">
        <v>0</v>
      </c>
      <c r="AA33" s="17">
        <v>20345</v>
      </c>
      <c r="AC33" s="17">
        <v>803351</v>
      </c>
      <c r="AE33" s="17">
        <v>230496</v>
      </c>
      <c r="AG33" s="13">
        <f t="shared" si="0"/>
        <v>8.5739755640892409E-2</v>
      </c>
      <c r="AH33" s="13">
        <f t="shared" si="1"/>
        <v>2.0447010133556313E-2</v>
      </c>
      <c r="AI33" s="13">
        <f t="shared" si="2"/>
        <v>1.4339539964884811E-2</v>
      </c>
    </row>
    <row r="34" spans="1:35" x14ac:dyDescent="0.3">
      <c r="A34" s="16">
        <v>2037</v>
      </c>
      <c r="C34" s="17">
        <v>15863</v>
      </c>
      <c r="E34" s="17">
        <v>3627</v>
      </c>
      <c r="G34" s="17">
        <v>14318</v>
      </c>
      <c r="I34" s="17">
        <v>3275</v>
      </c>
      <c r="K34" s="18">
        <v>60</v>
      </c>
      <c r="M34" s="18">
        <v>1.62</v>
      </c>
      <c r="O34" s="17">
        <v>864405</v>
      </c>
      <c r="Q34" s="17">
        <v>12331</v>
      </c>
      <c r="S34" s="17">
        <v>74195</v>
      </c>
      <c r="U34" s="17">
        <v>82153</v>
      </c>
      <c r="W34" s="17">
        <v>18000</v>
      </c>
      <c r="Y34" s="17">
        <v>0</v>
      </c>
      <c r="AA34" s="17">
        <v>12931</v>
      </c>
      <c r="AC34" s="17">
        <v>689457</v>
      </c>
      <c r="AE34" s="17">
        <v>179067</v>
      </c>
      <c r="AG34" s="13">
        <f t="shared" si="0"/>
        <v>8.5833608088800972E-2</v>
      </c>
      <c r="AH34" s="13">
        <f t="shared" si="1"/>
        <v>1.4959422955674713E-2</v>
      </c>
      <c r="AI34" s="13">
        <f t="shared" si="2"/>
        <v>1.4265303879547202E-2</v>
      </c>
    </row>
    <row r="35" spans="1:35" x14ac:dyDescent="0.3">
      <c r="A35" s="16">
        <v>2038</v>
      </c>
      <c r="C35" s="17">
        <v>13790</v>
      </c>
      <c r="E35" s="17">
        <v>2585</v>
      </c>
      <c r="G35" s="17">
        <v>12424</v>
      </c>
      <c r="I35" s="17">
        <v>2329</v>
      </c>
      <c r="K35" s="18">
        <v>60</v>
      </c>
      <c r="M35" s="18">
        <v>1.62</v>
      </c>
      <c r="O35" s="17">
        <v>749198</v>
      </c>
      <c r="Q35" s="17">
        <v>10691</v>
      </c>
      <c r="S35" s="17">
        <v>64388</v>
      </c>
      <c r="U35" s="17">
        <v>81997</v>
      </c>
      <c r="W35" s="17">
        <v>18000</v>
      </c>
      <c r="Y35" s="17">
        <v>0</v>
      </c>
      <c r="AA35" s="17">
        <v>6652</v>
      </c>
      <c r="AC35" s="17">
        <v>588852</v>
      </c>
      <c r="AE35" s="17">
        <v>138441</v>
      </c>
      <c r="AG35" s="13">
        <f t="shared" si="0"/>
        <v>8.5942567919295026E-2</v>
      </c>
      <c r="AH35" s="13">
        <f t="shared" si="1"/>
        <v>8.8788277598178325E-3</v>
      </c>
      <c r="AI35" s="13">
        <f t="shared" si="2"/>
        <v>1.4269925974175051E-2</v>
      </c>
    </row>
    <row r="36" spans="1:35" ht="21.9" customHeight="1" x14ac:dyDescent="0.3">
      <c r="A36" s="16">
        <v>2039</v>
      </c>
      <c r="C36" s="17">
        <v>12112</v>
      </c>
      <c r="E36" s="17">
        <v>1745</v>
      </c>
      <c r="G36" s="17">
        <v>10902</v>
      </c>
      <c r="I36" s="17">
        <v>1571</v>
      </c>
      <c r="K36" s="18">
        <v>60</v>
      </c>
      <c r="M36" s="18">
        <v>1.62</v>
      </c>
      <c r="O36" s="17">
        <v>656671</v>
      </c>
      <c r="Q36" s="17">
        <v>9427</v>
      </c>
      <c r="S36" s="17">
        <v>56512</v>
      </c>
      <c r="U36" s="17">
        <v>81900</v>
      </c>
      <c r="W36" s="17">
        <v>18000</v>
      </c>
      <c r="Y36" s="17">
        <v>0</v>
      </c>
      <c r="AA36" s="17">
        <v>1869</v>
      </c>
      <c r="AC36" s="17">
        <v>507817</v>
      </c>
      <c r="AE36" s="17">
        <v>108072</v>
      </c>
      <c r="AG36" s="13">
        <f t="shared" si="0"/>
        <v>8.6058315351218495E-2</v>
      </c>
      <c r="AH36" s="13">
        <f t="shared" si="1"/>
        <v>2.8461741115413958E-3</v>
      </c>
      <c r="AI36" s="13">
        <f t="shared" si="2"/>
        <v>1.4355742830123456E-2</v>
      </c>
    </row>
    <row r="37" spans="1:35" x14ac:dyDescent="0.3">
      <c r="A37" s="16">
        <v>2040</v>
      </c>
      <c r="C37" s="17">
        <v>10880</v>
      </c>
      <c r="E37" s="17">
        <v>1128</v>
      </c>
      <c r="G37" s="17">
        <v>9788</v>
      </c>
      <c r="I37" s="17">
        <v>1015</v>
      </c>
      <c r="K37" s="18">
        <v>60</v>
      </c>
      <c r="M37" s="18">
        <v>1.62</v>
      </c>
      <c r="O37" s="17">
        <v>588926</v>
      </c>
      <c r="Q37" s="17">
        <v>8587</v>
      </c>
      <c r="S37" s="17">
        <v>50744</v>
      </c>
      <c r="U37" s="17">
        <v>81900</v>
      </c>
      <c r="W37" s="17">
        <v>18000</v>
      </c>
      <c r="Y37" s="17">
        <v>0</v>
      </c>
      <c r="AA37" s="17">
        <v>0</v>
      </c>
      <c r="AC37" s="17">
        <v>446869</v>
      </c>
      <c r="AE37" s="17">
        <v>86088</v>
      </c>
      <c r="AG37" s="13">
        <f t="shared" si="0"/>
        <v>8.6163626669564591E-2</v>
      </c>
      <c r="AH37" s="13">
        <f t="shared" si="1"/>
        <v>0</v>
      </c>
      <c r="AI37" s="13">
        <f t="shared" si="2"/>
        <v>1.4580779249005818E-2</v>
      </c>
    </row>
    <row r="38" spans="1:35" x14ac:dyDescent="0.3">
      <c r="A38" s="16">
        <v>2041</v>
      </c>
      <c r="C38" s="17">
        <v>9827</v>
      </c>
      <c r="E38" s="17">
        <v>606</v>
      </c>
      <c r="G38" s="17">
        <v>8850</v>
      </c>
      <c r="I38" s="17">
        <v>546</v>
      </c>
      <c r="K38" s="18">
        <v>60</v>
      </c>
      <c r="M38" s="18">
        <v>1.62</v>
      </c>
      <c r="O38" s="17">
        <v>531910</v>
      </c>
      <c r="Q38" s="17">
        <v>7886</v>
      </c>
      <c r="S38" s="17">
        <v>45892</v>
      </c>
      <c r="U38" s="17">
        <v>81900</v>
      </c>
      <c r="W38" s="17">
        <v>18000</v>
      </c>
      <c r="Y38" s="17">
        <v>0</v>
      </c>
      <c r="AA38" s="17">
        <v>0</v>
      </c>
      <c r="AC38" s="17">
        <v>394005</v>
      </c>
      <c r="AE38" s="17">
        <v>68708</v>
      </c>
      <c r="AG38" s="13">
        <f t="shared" si="0"/>
        <v>8.6277753755334544E-2</v>
      </c>
      <c r="AH38" s="13">
        <f t="shared" si="1"/>
        <v>0</v>
      </c>
      <c r="AI38" s="13">
        <f t="shared" si="2"/>
        <v>1.4825816397510858E-2</v>
      </c>
    </row>
    <row r="39" spans="1:35" x14ac:dyDescent="0.3">
      <c r="A39" s="16">
        <v>2042</v>
      </c>
      <c r="C39" s="17">
        <v>8867</v>
      </c>
      <c r="E39" s="17">
        <v>114</v>
      </c>
      <c r="G39" s="17">
        <v>7980</v>
      </c>
      <c r="I39" s="17">
        <v>102</v>
      </c>
      <c r="K39" s="18">
        <v>60</v>
      </c>
      <c r="M39" s="18">
        <v>1.61</v>
      </c>
      <c r="O39" s="17">
        <v>478927</v>
      </c>
      <c r="Q39" s="17">
        <v>7197</v>
      </c>
      <c r="S39" s="17">
        <v>41380</v>
      </c>
      <c r="U39" s="17">
        <v>81900</v>
      </c>
      <c r="W39" s="17">
        <v>18000</v>
      </c>
      <c r="Y39" s="17">
        <v>0</v>
      </c>
      <c r="AA39" s="17">
        <v>0</v>
      </c>
      <c r="AC39" s="17">
        <v>344843</v>
      </c>
      <c r="AE39" s="17">
        <v>54436</v>
      </c>
      <c r="AG39" s="13">
        <f t="shared" si="0"/>
        <v>8.6401476634226093E-2</v>
      </c>
      <c r="AH39" s="13">
        <f t="shared" si="1"/>
        <v>0</v>
      </c>
      <c r="AI39" s="13">
        <f t="shared" si="2"/>
        <v>1.5027342371593165E-2</v>
      </c>
    </row>
    <row r="40" spans="1:35" x14ac:dyDescent="0.3">
      <c r="A40" s="16">
        <v>2043</v>
      </c>
      <c r="C40" s="17">
        <v>7806</v>
      </c>
      <c r="E40" s="17">
        <v>0</v>
      </c>
      <c r="G40" s="17">
        <v>7025</v>
      </c>
      <c r="I40" s="17">
        <v>0</v>
      </c>
      <c r="K40" s="18">
        <v>60</v>
      </c>
      <c r="M40" s="18">
        <v>1.62</v>
      </c>
      <c r="O40" s="17">
        <v>421538</v>
      </c>
      <c r="Q40" s="17">
        <v>6374</v>
      </c>
      <c r="S40" s="17">
        <v>36441</v>
      </c>
      <c r="U40" s="17">
        <v>81900</v>
      </c>
      <c r="W40" s="17">
        <v>18000</v>
      </c>
      <c r="Y40" s="17">
        <v>0</v>
      </c>
      <c r="AA40" s="17">
        <v>0</v>
      </c>
      <c r="AC40" s="17">
        <v>291571</v>
      </c>
      <c r="AE40" s="17">
        <v>41663</v>
      </c>
      <c r="AG40" s="13">
        <f t="shared" si="0"/>
        <v>8.6447722388017206E-2</v>
      </c>
      <c r="AH40" s="13">
        <f t="shared" si="1"/>
        <v>0</v>
      </c>
      <c r="AI40" s="13">
        <f t="shared" si="2"/>
        <v>1.512081947534979E-2</v>
      </c>
    </row>
    <row r="41" spans="1:35" ht="21.9" customHeight="1" x14ac:dyDescent="0.3">
      <c r="A41" s="16">
        <v>2044</v>
      </c>
      <c r="C41" s="17">
        <v>6824</v>
      </c>
      <c r="E41" s="17">
        <v>0</v>
      </c>
      <c r="G41" s="17">
        <v>6141</v>
      </c>
      <c r="I41" s="17">
        <v>0</v>
      </c>
      <c r="K41" s="18">
        <v>60</v>
      </c>
      <c r="M41" s="18">
        <v>1.62</v>
      </c>
      <c r="O41" s="17">
        <v>368443</v>
      </c>
      <c r="Q41" s="17">
        <v>5584</v>
      </c>
      <c r="S41" s="17">
        <v>31856</v>
      </c>
      <c r="U41" s="17">
        <v>81900</v>
      </c>
      <c r="W41" s="17">
        <v>18000</v>
      </c>
      <c r="Y41" s="17">
        <v>0</v>
      </c>
      <c r="AA41" s="17">
        <v>0</v>
      </c>
      <c r="AC41" s="17">
        <v>242272</v>
      </c>
      <c r="AE41" s="17">
        <v>31338</v>
      </c>
      <c r="AG41" s="13">
        <f t="shared" si="0"/>
        <v>8.6461135100951839E-2</v>
      </c>
      <c r="AH41" s="13">
        <f t="shared" si="1"/>
        <v>0</v>
      </c>
      <c r="AI41" s="13">
        <f t="shared" si="2"/>
        <v>1.515566858374294E-2</v>
      </c>
    </row>
    <row r="42" spans="1:35" x14ac:dyDescent="0.3">
      <c r="A42" s="16">
        <v>2045</v>
      </c>
      <c r="C42" s="17">
        <v>6261</v>
      </c>
      <c r="E42" s="17">
        <v>0</v>
      </c>
      <c r="G42" s="17">
        <v>5632</v>
      </c>
      <c r="I42" s="17">
        <v>0</v>
      </c>
      <c r="K42" s="18">
        <v>60</v>
      </c>
      <c r="M42" s="18">
        <v>1.62</v>
      </c>
      <c r="O42" s="17">
        <v>337914</v>
      </c>
      <c r="Q42" s="17">
        <v>5180</v>
      </c>
      <c r="S42" s="17">
        <v>29221</v>
      </c>
      <c r="U42" s="17">
        <v>81900</v>
      </c>
      <c r="W42" s="17">
        <v>18000</v>
      </c>
      <c r="Y42" s="17">
        <v>0</v>
      </c>
      <c r="AA42" s="17">
        <v>0</v>
      </c>
      <c r="AC42" s="17">
        <v>213973</v>
      </c>
      <c r="AE42" s="17">
        <v>25054</v>
      </c>
      <c r="AG42" s="13">
        <f t="shared" si="0"/>
        <v>8.6474665151488245E-2</v>
      </c>
      <c r="AH42" s="13">
        <f t="shared" si="1"/>
        <v>0</v>
      </c>
      <c r="AI42" s="13">
        <f t="shared" si="2"/>
        <v>1.5329344152654226E-2</v>
      </c>
    </row>
    <row r="43" spans="1:35" x14ac:dyDescent="0.3">
      <c r="A43" s="16">
        <v>2046</v>
      </c>
      <c r="C43" s="17">
        <v>5567</v>
      </c>
      <c r="E43" s="17">
        <v>0</v>
      </c>
      <c r="G43" s="17">
        <v>5010</v>
      </c>
      <c r="I43" s="17">
        <v>0</v>
      </c>
      <c r="K43" s="18">
        <v>60</v>
      </c>
      <c r="M43" s="18">
        <v>1.62</v>
      </c>
      <c r="O43" s="17">
        <v>300595</v>
      </c>
      <c r="Q43" s="17">
        <v>4674</v>
      </c>
      <c r="S43" s="17">
        <v>26000</v>
      </c>
      <c r="U43" s="17">
        <v>81900</v>
      </c>
      <c r="W43" s="17">
        <v>18000</v>
      </c>
      <c r="Y43" s="17">
        <v>0</v>
      </c>
      <c r="AA43" s="17">
        <v>0</v>
      </c>
      <c r="AC43" s="17">
        <v>179369</v>
      </c>
      <c r="AE43" s="17">
        <v>19011</v>
      </c>
      <c r="AG43" s="13">
        <f t="shared" si="0"/>
        <v>8.6495118015935069E-2</v>
      </c>
      <c r="AH43" s="13">
        <f t="shared" si="1"/>
        <v>0</v>
      </c>
      <c r="AI43" s="13">
        <f t="shared" si="2"/>
        <v>1.5549160831018481E-2</v>
      </c>
    </row>
    <row r="44" spans="1:35" x14ac:dyDescent="0.3">
      <c r="A44" s="16">
        <v>2047</v>
      </c>
      <c r="C44" s="17">
        <v>5177</v>
      </c>
      <c r="E44" s="17">
        <v>0</v>
      </c>
      <c r="G44" s="17">
        <v>4661</v>
      </c>
      <c r="I44" s="17">
        <v>0</v>
      </c>
      <c r="K44" s="18">
        <v>60</v>
      </c>
      <c r="M44" s="18">
        <v>1.62</v>
      </c>
      <c r="O44" s="17">
        <v>279644</v>
      </c>
      <c r="Q44" s="17">
        <v>4405</v>
      </c>
      <c r="S44" s="17">
        <v>24191</v>
      </c>
      <c r="U44" s="17">
        <v>81900</v>
      </c>
      <c r="W44" s="17">
        <v>18000</v>
      </c>
      <c r="Y44" s="17">
        <v>0</v>
      </c>
      <c r="AA44" s="17">
        <v>0</v>
      </c>
      <c r="AC44" s="17">
        <v>159958</v>
      </c>
      <c r="AE44" s="17">
        <v>15347</v>
      </c>
      <c r="AG44" s="13">
        <f t="shared" si="0"/>
        <v>8.6506415299452161E-2</v>
      </c>
      <c r="AH44" s="13">
        <f t="shared" si="1"/>
        <v>0</v>
      </c>
      <c r="AI44" s="13">
        <f t="shared" si="2"/>
        <v>1.5752170616927234E-2</v>
      </c>
    </row>
    <row r="45" spans="1:35" x14ac:dyDescent="0.3">
      <c r="A45" s="16">
        <v>2048</v>
      </c>
      <c r="C45" s="17">
        <v>4778</v>
      </c>
      <c r="E45" s="17">
        <v>0</v>
      </c>
      <c r="G45" s="17">
        <v>4301</v>
      </c>
      <c r="I45" s="17">
        <v>0</v>
      </c>
      <c r="K45" s="18">
        <v>60</v>
      </c>
      <c r="M45" s="18">
        <v>1.62</v>
      </c>
      <c r="O45" s="17">
        <v>258080</v>
      </c>
      <c r="Q45" s="17">
        <v>4209</v>
      </c>
      <c r="S45" s="17">
        <v>22332</v>
      </c>
      <c r="U45" s="17">
        <v>81900</v>
      </c>
      <c r="W45" s="17">
        <v>18000</v>
      </c>
      <c r="Y45" s="17">
        <v>0</v>
      </c>
      <c r="AA45" s="17">
        <v>0</v>
      </c>
      <c r="AC45" s="17">
        <v>140056</v>
      </c>
      <c r="AE45" s="17">
        <v>12163</v>
      </c>
      <c r="AG45" s="13">
        <f t="shared" si="0"/>
        <v>8.6531308121512704E-2</v>
      </c>
      <c r="AH45" s="13">
        <f t="shared" si="1"/>
        <v>0</v>
      </c>
      <c r="AI45" s="13">
        <f t="shared" si="2"/>
        <v>1.6308896466212027E-2</v>
      </c>
    </row>
    <row r="46" spans="1:35" ht="21.9" customHeight="1" x14ac:dyDescent="0.3">
      <c r="A46" s="16">
        <v>2049</v>
      </c>
      <c r="C46" s="17">
        <v>4353</v>
      </c>
      <c r="E46" s="17">
        <v>0</v>
      </c>
      <c r="G46" s="17">
        <v>3917</v>
      </c>
      <c r="I46" s="17">
        <v>0</v>
      </c>
      <c r="K46" s="18">
        <v>60</v>
      </c>
      <c r="M46" s="18">
        <v>1.62</v>
      </c>
      <c r="O46" s="17">
        <v>235037</v>
      </c>
      <c r="Q46" s="17">
        <v>3940</v>
      </c>
      <c r="S46" s="17">
        <v>20345</v>
      </c>
      <c r="U46" s="17">
        <v>81900</v>
      </c>
      <c r="W46" s="17">
        <v>18000</v>
      </c>
      <c r="Y46" s="17">
        <v>0</v>
      </c>
      <c r="AA46" s="17">
        <v>0</v>
      </c>
      <c r="AC46" s="17">
        <v>118732</v>
      </c>
      <c r="AE46" s="17">
        <v>9335</v>
      </c>
      <c r="AG46" s="13">
        <f t="shared" si="0"/>
        <v>8.6560839357207583E-2</v>
      </c>
      <c r="AH46" s="13">
        <f t="shared" si="1"/>
        <v>0</v>
      </c>
      <c r="AI46" s="13">
        <f t="shared" si="2"/>
        <v>1.6763318115871118E-2</v>
      </c>
    </row>
    <row r="47" spans="1:35" x14ac:dyDescent="0.3">
      <c r="A47" s="16">
        <v>2050</v>
      </c>
      <c r="C47" s="17">
        <v>4102</v>
      </c>
      <c r="E47" s="17">
        <v>0</v>
      </c>
      <c r="G47" s="17">
        <v>3693</v>
      </c>
      <c r="I47" s="17">
        <v>0</v>
      </c>
      <c r="K47" s="18">
        <v>60</v>
      </c>
      <c r="M47" s="18">
        <v>1.62</v>
      </c>
      <c r="O47" s="17">
        <v>221561</v>
      </c>
      <c r="Q47" s="17">
        <v>3723</v>
      </c>
      <c r="S47" s="17">
        <v>19180</v>
      </c>
      <c r="U47" s="17">
        <v>81900</v>
      </c>
      <c r="W47" s="17">
        <v>0</v>
      </c>
      <c r="Y47" s="17">
        <v>0</v>
      </c>
      <c r="AA47" s="17">
        <v>0</v>
      </c>
      <c r="AC47" s="17">
        <v>124204</v>
      </c>
      <c r="AE47" s="17">
        <v>8839</v>
      </c>
      <c r="AG47" s="13">
        <f t="shared" si="0"/>
        <v>8.6567581839764221E-2</v>
      </c>
      <c r="AH47" s="13">
        <f t="shared" si="1"/>
        <v>0</v>
      </c>
      <c r="AI47" s="13">
        <f t="shared" si="2"/>
        <v>1.6803498810711272E-2</v>
      </c>
    </row>
    <row r="48" spans="1:35" x14ac:dyDescent="0.3">
      <c r="A48" s="16">
        <v>2051</v>
      </c>
      <c r="C48" s="17">
        <v>3838</v>
      </c>
      <c r="E48" s="17">
        <v>0</v>
      </c>
      <c r="G48" s="17">
        <v>3454</v>
      </c>
      <c r="I48" s="17">
        <v>0</v>
      </c>
      <c r="K48" s="18">
        <v>60</v>
      </c>
      <c r="M48" s="18">
        <v>1.62</v>
      </c>
      <c r="O48" s="17">
        <v>207237</v>
      </c>
      <c r="Q48" s="17">
        <v>3471</v>
      </c>
      <c r="S48" s="17">
        <v>17941</v>
      </c>
      <c r="U48" s="17">
        <v>81900</v>
      </c>
      <c r="W48" s="17">
        <v>0</v>
      </c>
      <c r="Y48" s="17">
        <v>0</v>
      </c>
      <c r="AA48" s="17">
        <v>0</v>
      </c>
      <c r="AC48" s="17">
        <v>110868</v>
      </c>
      <c r="AE48" s="17">
        <v>7142</v>
      </c>
      <c r="AG48" s="13">
        <f t="shared" si="0"/>
        <v>8.6572378484537027E-2</v>
      </c>
      <c r="AH48" s="13">
        <f t="shared" si="1"/>
        <v>0</v>
      </c>
      <c r="AI48" s="13">
        <f t="shared" si="2"/>
        <v>1.6748939619855529E-2</v>
      </c>
    </row>
    <row r="49" spans="1:35" x14ac:dyDescent="0.3">
      <c r="A49" s="16">
        <v>2052</v>
      </c>
      <c r="C49" s="17">
        <v>2184</v>
      </c>
      <c r="E49" s="17">
        <v>0</v>
      </c>
      <c r="G49" s="17">
        <v>1967</v>
      </c>
      <c r="I49" s="17">
        <v>0</v>
      </c>
      <c r="K49" s="18">
        <v>60</v>
      </c>
      <c r="M49" s="18">
        <v>1.62</v>
      </c>
      <c r="O49" s="17">
        <v>118063</v>
      </c>
      <c r="Q49" s="17">
        <v>1973</v>
      </c>
      <c r="S49" s="17">
        <v>10223</v>
      </c>
      <c r="U49" s="17">
        <v>51188</v>
      </c>
      <c r="W49" s="17">
        <v>0</v>
      </c>
      <c r="Y49" s="17">
        <v>0</v>
      </c>
      <c r="AA49" s="17">
        <v>0</v>
      </c>
      <c r="AC49" s="17">
        <v>58624</v>
      </c>
      <c r="AE49" s="17">
        <v>3418</v>
      </c>
      <c r="AG49" s="13">
        <f t="shared" si="0"/>
        <v>8.6589363306031522E-2</v>
      </c>
      <c r="AH49" s="13">
        <f t="shared" si="1"/>
        <v>0</v>
      </c>
      <c r="AI49" s="13">
        <f t="shared" si="2"/>
        <v>1.6711416785953261E-2</v>
      </c>
    </row>
    <row r="50" spans="1:35" x14ac:dyDescent="0.3">
      <c r="A50" s="16">
        <v>2053</v>
      </c>
      <c r="C50" s="17">
        <v>0</v>
      </c>
      <c r="E50" s="17">
        <v>0</v>
      </c>
      <c r="G50" s="17">
        <v>0</v>
      </c>
      <c r="I50" s="17">
        <v>0</v>
      </c>
      <c r="K50" s="18">
        <v>0</v>
      </c>
      <c r="M50" s="18">
        <v>0</v>
      </c>
      <c r="O50" s="17">
        <v>0</v>
      </c>
      <c r="Q50" s="17">
        <v>0</v>
      </c>
      <c r="S50" s="17">
        <v>0</v>
      </c>
      <c r="U50" s="17">
        <v>0</v>
      </c>
      <c r="W50" s="17">
        <v>0</v>
      </c>
      <c r="Y50" s="17">
        <v>691155</v>
      </c>
      <c r="AA50" s="17">
        <v>0</v>
      </c>
      <c r="AC50" s="17">
        <v>-691155</v>
      </c>
      <c r="AE50" s="17">
        <v>-36483</v>
      </c>
      <c r="AG50" s="13">
        <f t="shared" si="0"/>
        <v>0</v>
      </c>
      <c r="AH50" s="13">
        <f t="shared" si="1"/>
        <v>0</v>
      </c>
      <c r="AI50" s="13">
        <f t="shared" si="2"/>
        <v>0</v>
      </c>
    </row>
    <row r="51" spans="1:35" ht="21.9" customHeight="1" x14ac:dyDescent="0.3">
      <c r="A51" s="16">
        <v>2054</v>
      </c>
      <c r="C51" s="17">
        <v>0</v>
      </c>
      <c r="E51" s="17">
        <v>0</v>
      </c>
      <c r="G51" s="17">
        <v>0</v>
      </c>
      <c r="I51" s="17">
        <v>0</v>
      </c>
      <c r="K51" s="18">
        <v>0</v>
      </c>
      <c r="M51" s="18">
        <v>0</v>
      </c>
      <c r="O51" s="17">
        <v>0</v>
      </c>
      <c r="Q51" s="17">
        <v>0</v>
      </c>
      <c r="S51" s="17">
        <v>0</v>
      </c>
      <c r="U51" s="17">
        <v>0</v>
      </c>
      <c r="W51" s="17">
        <v>0</v>
      </c>
      <c r="Y51" s="17">
        <v>0</v>
      </c>
      <c r="AA51" s="17">
        <v>0</v>
      </c>
      <c r="AC51" s="17">
        <v>0</v>
      </c>
      <c r="AE51" s="17">
        <v>0</v>
      </c>
      <c r="AG51" s="13">
        <f t="shared" si="0"/>
        <v>0</v>
      </c>
      <c r="AH51" s="13">
        <f t="shared" si="1"/>
        <v>0</v>
      </c>
      <c r="AI51" s="13">
        <f t="shared" si="2"/>
        <v>0</v>
      </c>
    </row>
    <row r="52" spans="1:35" x14ac:dyDescent="0.3">
      <c r="A52" s="16">
        <v>2055</v>
      </c>
      <c r="C52" s="17">
        <v>0</v>
      </c>
      <c r="E52" s="17">
        <v>0</v>
      </c>
      <c r="G52" s="17">
        <v>0</v>
      </c>
      <c r="I52" s="17">
        <v>0</v>
      </c>
      <c r="K52" s="18">
        <v>0</v>
      </c>
      <c r="M52" s="18">
        <v>0</v>
      </c>
      <c r="O52" s="17">
        <v>0</v>
      </c>
      <c r="Q52" s="17">
        <v>0</v>
      </c>
      <c r="S52" s="17">
        <v>0</v>
      </c>
      <c r="U52" s="17">
        <v>0</v>
      </c>
      <c r="W52" s="17">
        <v>0</v>
      </c>
      <c r="Y52" s="17">
        <v>0</v>
      </c>
      <c r="AA52" s="17">
        <v>0</v>
      </c>
      <c r="AC52" s="17">
        <v>0</v>
      </c>
      <c r="AE52" s="17">
        <v>0</v>
      </c>
      <c r="AG52" s="13">
        <f t="shared" si="0"/>
        <v>0</v>
      </c>
      <c r="AH52" s="13">
        <f t="shared" si="1"/>
        <v>0</v>
      </c>
      <c r="AI52" s="13">
        <f t="shared" si="2"/>
        <v>0</v>
      </c>
    </row>
    <row r="53" spans="1:35" x14ac:dyDescent="0.3">
      <c r="A53" s="16">
        <v>2056</v>
      </c>
      <c r="C53" s="17">
        <v>0</v>
      </c>
      <c r="E53" s="17">
        <v>0</v>
      </c>
      <c r="G53" s="17">
        <v>0</v>
      </c>
      <c r="I53" s="17">
        <v>0</v>
      </c>
      <c r="K53" s="18">
        <v>0</v>
      </c>
      <c r="M53" s="18">
        <v>0</v>
      </c>
      <c r="O53" s="17">
        <v>0</v>
      </c>
      <c r="Q53" s="17">
        <v>0</v>
      </c>
      <c r="S53" s="17">
        <v>0</v>
      </c>
      <c r="U53" s="17">
        <v>0</v>
      </c>
      <c r="W53" s="17">
        <v>0</v>
      </c>
      <c r="Y53" s="17">
        <v>0</v>
      </c>
      <c r="AA53" s="17">
        <v>0</v>
      </c>
      <c r="AC53" s="17">
        <v>0</v>
      </c>
      <c r="AE53" s="17">
        <v>0</v>
      </c>
      <c r="AG53" s="13">
        <f t="shared" si="0"/>
        <v>0</v>
      </c>
      <c r="AH53" s="13">
        <f t="shared" si="1"/>
        <v>0</v>
      </c>
      <c r="AI53" s="13">
        <f t="shared" si="2"/>
        <v>0</v>
      </c>
    </row>
    <row r="54" spans="1:35" x14ac:dyDescent="0.3">
      <c r="A54" s="16">
        <v>2057</v>
      </c>
      <c r="C54" s="17">
        <v>0</v>
      </c>
      <c r="E54" s="17">
        <v>0</v>
      </c>
      <c r="G54" s="17">
        <v>0</v>
      </c>
      <c r="I54" s="17">
        <v>0</v>
      </c>
      <c r="K54" s="18">
        <v>0</v>
      </c>
      <c r="M54" s="18">
        <v>0</v>
      </c>
      <c r="O54" s="17">
        <v>0</v>
      </c>
      <c r="Q54" s="17">
        <v>0</v>
      </c>
      <c r="S54" s="17">
        <v>0</v>
      </c>
      <c r="U54" s="17">
        <v>0</v>
      </c>
      <c r="W54" s="17">
        <v>0</v>
      </c>
      <c r="Y54" s="17">
        <v>0</v>
      </c>
      <c r="AA54" s="17">
        <v>0</v>
      </c>
      <c r="AC54" s="17">
        <v>0</v>
      </c>
      <c r="AE54" s="17">
        <v>0</v>
      </c>
      <c r="AG54" s="13">
        <f t="shared" si="0"/>
        <v>0</v>
      </c>
      <c r="AH54" s="13">
        <f t="shared" si="1"/>
        <v>0</v>
      </c>
      <c r="AI54" s="13">
        <f t="shared" si="2"/>
        <v>0</v>
      </c>
    </row>
    <row r="55" spans="1:35" x14ac:dyDescent="0.3">
      <c r="A55" s="16">
        <v>2058</v>
      </c>
      <c r="C55" s="17">
        <v>0</v>
      </c>
      <c r="E55" s="17">
        <v>0</v>
      </c>
      <c r="G55" s="17">
        <v>0</v>
      </c>
      <c r="I55" s="17">
        <v>0</v>
      </c>
      <c r="K55" s="18">
        <v>0</v>
      </c>
      <c r="M55" s="18">
        <v>0</v>
      </c>
      <c r="O55" s="17">
        <v>0</v>
      </c>
      <c r="Q55" s="17">
        <v>0</v>
      </c>
      <c r="S55" s="17">
        <v>0</v>
      </c>
      <c r="U55" s="17">
        <v>0</v>
      </c>
      <c r="W55" s="17">
        <v>0</v>
      </c>
      <c r="Y55" s="17">
        <v>0</v>
      </c>
      <c r="AA55" s="17">
        <v>0</v>
      </c>
      <c r="AC55" s="17">
        <v>0</v>
      </c>
      <c r="AE55" s="17">
        <v>0</v>
      </c>
      <c r="AG55" s="13">
        <f t="shared" si="0"/>
        <v>0</v>
      </c>
      <c r="AH55" s="13">
        <f t="shared" si="1"/>
        <v>0</v>
      </c>
      <c r="AI55" s="13">
        <f t="shared" si="2"/>
        <v>0</v>
      </c>
    </row>
    <row r="56" spans="1:35" ht="21.9" customHeight="1" x14ac:dyDescent="0.3">
      <c r="A56" s="16">
        <v>2059</v>
      </c>
      <c r="C56" s="17">
        <v>0</v>
      </c>
      <c r="E56" s="17">
        <v>0</v>
      </c>
      <c r="G56" s="17">
        <v>0</v>
      </c>
      <c r="I56" s="17">
        <v>0</v>
      </c>
      <c r="K56" s="18">
        <v>0</v>
      </c>
      <c r="M56" s="18">
        <v>0</v>
      </c>
      <c r="O56" s="17">
        <v>0</v>
      </c>
      <c r="Q56" s="17">
        <v>0</v>
      </c>
      <c r="S56" s="17">
        <v>0</v>
      </c>
      <c r="U56" s="17">
        <v>0</v>
      </c>
      <c r="W56" s="17">
        <v>0</v>
      </c>
      <c r="Y56" s="17">
        <v>0</v>
      </c>
      <c r="AA56" s="17">
        <v>0</v>
      </c>
      <c r="AC56" s="17">
        <v>0</v>
      </c>
      <c r="AE56" s="17">
        <v>0</v>
      </c>
      <c r="AG56" s="13">
        <f t="shared" si="0"/>
        <v>0</v>
      </c>
      <c r="AH56" s="13">
        <f t="shared" si="1"/>
        <v>0</v>
      </c>
      <c r="AI56" s="13">
        <f t="shared" si="2"/>
        <v>0</v>
      </c>
    </row>
    <row r="57" spans="1:35" x14ac:dyDescent="0.3">
      <c r="A57" s="16">
        <v>2060</v>
      </c>
      <c r="C57" s="19">
        <v>0</v>
      </c>
      <c r="E57" s="19">
        <v>0</v>
      </c>
      <c r="G57" s="19">
        <v>0</v>
      </c>
      <c r="I57" s="19">
        <v>0</v>
      </c>
      <c r="K57" s="18">
        <v>0</v>
      </c>
      <c r="M57" s="18">
        <v>0</v>
      </c>
      <c r="O57" s="19">
        <v>0</v>
      </c>
      <c r="Q57" s="19">
        <v>0</v>
      </c>
      <c r="S57" s="19">
        <v>0</v>
      </c>
      <c r="U57" s="19">
        <v>0</v>
      </c>
      <c r="W57" s="19">
        <v>0</v>
      </c>
      <c r="Y57" s="19">
        <v>0</v>
      </c>
      <c r="AA57" s="19">
        <v>0</v>
      </c>
      <c r="AC57" s="19">
        <v>0</v>
      </c>
      <c r="AE57" s="19">
        <v>0</v>
      </c>
      <c r="AG57" s="13">
        <f t="shared" si="0"/>
        <v>0</v>
      </c>
      <c r="AH57" s="13">
        <f t="shared" si="1"/>
        <v>0</v>
      </c>
      <c r="AI57" s="13">
        <f t="shared" si="2"/>
        <v>0</v>
      </c>
    </row>
    <row r="58" spans="1:35" x14ac:dyDescent="0.3">
      <c r="AG58" s="13"/>
      <c r="AH58" s="13"/>
      <c r="AI58" s="13"/>
    </row>
    <row r="59" spans="1:35" x14ac:dyDescent="0.3">
      <c r="A59" s="228" t="s">
        <v>2</v>
      </c>
      <c r="C59" s="229">
        <v>523033</v>
      </c>
      <c r="E59" s="229">
        <v>160001</v>
      </c>
      <c r="G59" s="229">
        <v>475627</v>
      </c>
      <c r="I59" s="229">
        <v>145937</v>
      </c>
      <c r="O59" s="229">
        <v>28774027</v>
      </c>
      <c r="Q59" s="229">
        <v>457918</v>
      </c>
      <c r="S59" s="229">
        <v>1927655</v>
      </c>
      <c r="U59" s="229">
        <v>2358108</v>
      </c>
      <c r="W59" s="229">
        <v>1653868</v>
      </c>
      <c r="Y59" s="229">
        <v>761355</v>
      </c>
      <c r="AA59" s="229">
        <v>1478008</v>
      </c>
      <c r="AC59" s="229">
        <v>21052950</v>
      </c>
      <c r="AE59" s="229">
        <v>10118070</v>
      </c>
      <c r="AG59" s="13"/>
      <c r="AH59" s="13"/>
      <c r="AI59" s="13"/>
    </row>
    <row r="60" spans="1:35" x14ac:dyDescent="0.3">
      <c r="AG60" s="13"/>
      <c r="AH60" s="13"/>
      <c r="AI60" s="13"/>
    </row>
    <row r="61" spans="1:35" ht="21.9" customHeight="1" x14ac:dyDescent="0.3">
      <c r="A61" t="s">
        <v>45</v>
      </c>
      <c r="AC61" s="225" t="s">
        <v>721</v>
      </c>
      <c r="AD61" s="15"/>
      <c r="AE61" s="15"/>
      <c r="AG61" s="13"/>
      <c r="AH61" s="13"/>
      <c r="AI61" s="13"/>
    </row>
    <row r="62" spans="1:35" x14ac:dyDescent="0.3">
      <c r="A62" t="s">
        <v>84</v>
      </c>
      <c r="AC62" s="20" t="s">
        <v>46</v>
      </c>
      <c r="AE62" s="17">
        <v>14230459</v>
      </c>
      <c r="AG62" s="13"/>
      <c r="AH62" s="13"/>
      <c r="AI62" s="13"/>
    </row>
    <row r="63" spans="1:35" x14ac:dyDescent="0.3">
      <c r="A63" t="s">
        <v>81</v>
      </c>
      <c r="AC63" s="20" t="s">
        <v>47</v>
      </c>
      <c r="AE63" s="17">
        <v>7508826</v>
      </c>
      <c r="AG63" s="13"/>
      <c r="AH63" s="13"/>
      <c r="AI63" s="13"/>
    </row>
    <row r="64" spans="1:35" x14ac:dyDescent="0.3">
      <c r="A64" t="s">
        <v>82</v>
      </c>
      <c r="AC64" s="20" t="s">
        <v>48</v>
      </c>
      <c r="AE64" s="17">
        <v>5770725</v>
      </c>
      <c r="AG64" s="13"/>
      <c r="AH64" s="13"/>
      <c r="AI64" s="13"/>
    </row>
    <row r="65" spans="1:1" x14ac:dyDescent="0.3">
      <c r="A65" t="s">
        <v>83</v>
      </c>
    </row>
    <row r="66" spans="1:1" x14ac:dyDescent="0.3">
      <c r="A66" t="s">
        <v>722</v>
      </c>
    </row>
    <row r="67" spans="1:1" x14ac:dyDescent="0.3">
      <c r="A67" s="230" t="s">
        <v>723</v>
      </c>
    </row>
    <row r="68" spans="1:1" x14ac:dyDescent="0.3">
      <c r="A68" t="s">
        <v>724</v>
      </c>
    </row>
    <row r="69" spans="1:1" x14ac:dyDescent="0.3">
      <c r="A69" s="230" t="s">
        <v>725</v>
      </c>
    </row>
  </sheetData>
  <printOptions horizontalCentered="1"/>
  <pageMargins left="0.5" right="0.5" top="0.75" bottom="1" header="0.3" footer="0.3"/>
  <pageSetup scale="41" orientation="landscape" r:id="rId1"/>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2D531-B026-4890-9CF9-21440A593822}">
  <sheetPr>
    <tabColor theme="8" tint="0.79998168889431442"/>
  </sheetPr>
  <dimension ref="A1:BW83"/>
  <sheetViews>
    <sheetView showGridLines="0" workbookViewId="0">
      <pane xSplit="2" ySplit="1" topLeftCell="U2" activePane="bottomRight" state="frozen"/>
      <selection pane="topRight" activeCell="C1" sqref="C1"/>
      <selection pane="bottomLeft" activeCell="A2" sqref="A2"/>
      <selection pane="bottomRight" activeCell="AG17" sqref="AG17"/>
    </sheetView>
  </sheetViews>
  <sheetFormatPr defaultRowHeight="14.4" x14ac:dyDescent="0.3"/>
  <cols>
    <col min="1" max="1" width="38.6640625" bestFit="1" customWidth="1"/>
    <col min="2" max="30" width="8.77734375" customWidth="1"/>
    <col min="31" max="31" width="10.44140625" customWidth="1"/>
    <col min="51" max="51" width="9.6640625" customWidth="1"/>
  </cols>
  <sheetData>
    <row r="1" spans="1:75" x14ac:dyDescent="0.3">
      <c r="B1" s="3"/>
      <c r="C1" s="3" t="str">
        <f>'Fluxo de Caixa dos Acionistas'!C1</f>
        <v>1T18</v>
      </c>
      <c r="D1" s="3" t="str">
        <f>'Fluxo de Caixa dos Acionistas'!D1</f>
        <v>2T18</v>
      </c>
      <c r="E1" s="3" t="str">
        <f>'Fluxo de Caixa dos Acionistas'!E1</f>
        <v>3T18</v>
      </c>
      <c r="F1" s="3" t="str">
        <f>'Fluxo de Caixa dos Acionistas'!F1</f>
        <v>4T18</v>
      </c>
      <c r="G1" s="3">
        <f>'Fluxo de Caixa dos Acionistas'!G1</f>
        <v>2018</v>
      </c>
      <c r="H1" s="3" t="str">
        <f>'Fluxo de Caixa dos Acionistas'!H1</f>
        <v>1T19</v>
      </c>
      <c r="I1" s="3" t="str">
        <f>'Fluxo de Caixa dos Acionistas'!I1</f>
        <v>2T19</v>
      </c>
      <c r="J1" s="3" t="str">
        <f>'Fluxo de Caixa dos Acionistas'!J1</f>
        <v>3T19</v>
      </c>
      <c r="K1" s="3" t="str">
        <f>'Fluxo de Caixa dos Acionistas'!K1</f>
        <v>4T19</v>
      </c>
      <c r="L1" s="3">
        <f>'Fluxo de Caixa dos Acionistas'!L1</f>
        <v>2019</v>
      </c>
      <c r="M1" s="3" t="str">
        <f>'Fluxo de Caixa dos Acionistas'!M1</f>
        <v>1T20</v>
      </c>
      <c r="N1" s="3" t="str">
        <f>'Fluxo de Caixa dos Acionistas'!N1</f>
        <v>2T20</v>
      </c>
      <c r="O1" s="3" t="str">
        <f>'Fluxo de Caixa dos Acionistas'!O1</f>
        <v>3T20</v>
      </c>
      <c r="P1" s="3" t="str">
        <f>'Fluxo de Caixa dos Acionistas'!P1</f>
        <v>4T20</v>
      </c>
      <c r="Q1" s="3">
        <f>'Fluxo de Caixa dos Acionistas'!Q1</f>
        <v>2020</v>
      </c>
      <c r="R1" s="3" t="str">
        <f>'Fluxo de Caixa dos Acionistas'!R1</f>
        <v>1T21</v>
      </c>
      <c r="S1" s="3" t="str">
        <f>'Fluxo de Caixa dos Acionistas'!S1</f>
        <v>2T21</v>
      </c>
      <c r="T1" s="3" t="str">
        <f>'Fluxo de Caixa dos Acionistas'!T1</f>
        <v>3T21</v>
      </c>
      <c r="U1" s="3" t="str">
        <f>'Fluxo de Caixa dos Acionistas'!U1</f>
        <v>4T21</v>
      </c>
      <c r="V1" s="3">
        <f>'Fluxo de Caixa dos Acionistas'!V1</f>
        <v>2021</v>
      </c>
      <c r="W1" s="3" t="str">
        <f>'Fluxo de Caixa dos Acionistas'!W1</f>
        <v>1T22</v>
      </c>
      <c r="X1" s="3" t="str">
        <f>'Fluxo de Caixa dos Acionistas'!X1</f>
        <v>2T22</v>
      </c>
      <c r="Y1" s="3" t="str">
        <f>'Fluxo de Caixa dos Acionistas'!Y1</f>
        <v>3T22</v>
      </c>
      <c r="Z1" s="3" t="str">
        <f>'Fluxo de Caixa dos Acionistas'!Z1</f>
        <v>4T22</v>
      </c>
      <c r="AA1" s="3">
        <f>'Fluxo de Caixa dos Acionistas'!AA1</f>
        <v>2022</v>
      </c>
      <c r="AB1" s="3" t="str">
        <f>'Fluxo de Caixa dos Acionistas'!AB1</f>
        <v>1T23</v>
      </c>
      <c r="AC1" s="3" t="str">
        <f>'Fluxo de Caixa dos Acionistas'!AC1</f>
        <v>2T23</v>
      </c>
      <c r="AD1" s="3" t="str">
        <f>'Fluxo de Caixa dos Acionistas'!AD1</f>
        <v>3T23</v>
      </c>
      <c r="AE1" s="3" t="str">
        <f>'Fluxo de Caixa dos Acionistas'!AE1</f>
        <v>4T23</v>
      </c>
      <c r="AF1" s="3">
        <v>2023</v>
      </c>
      <c r="AG1" s="3">
        <f>AF1+1</f>
        <v>2024</v>
      </c>
      <c r="AH1" s="3">
        <f t="shared" ref="AH1:BJ1" si="0">AG1+1</f>
        <v>2025</v>
      </c>
      <c r="AI1" s="3">
        <f t="shared" si="0"/>
        <v>2026</v>
      </c>
      <c r="AJ1" s="3">
        <f t="shared" si="0"/>
        <v>2027</v>
      </c>
      <c r="AK1" s="3">
        <f t="shared" si="0"/>
        <v>2028</v>
      </c>
      <c r="AL1" s="3">
        <f t="shared" si="0"/>
        <v>2029</v>
      </c>
      <c r="AM1" s="3">
        <f t="shared" si="0"/>
        <v>2030</v>
      </c>
      <c r="AN1" s="3">
        <f t="shared" si="0"/>
        <v>2031</v>
      </c>
      <c r="AO1" s="3">
        <f t="shared" si="0"/>
        <v>2032</v>
      </c>
      <c r="AP1" s="3">
        <f t="shared" si="0"/>
        <v>2033</v>
      </c>
      <c r="AQ1" s="3">
        <f t="shared" si="0"/>
        <v>2034</v>
      </c>
      <c r="AR1" s="3">
        <f t="shared" si="0"/>
        <v>2035</v>
      </c>
      <c r="AS1" s="3">
        <f t="shared" si="0"/>
        <v>2036</v>
      </c>
      <c r="AT1" s="3">
        <f t="shared" si="0"/>
        <v>2037</v>
      </c>
      <c r="AU1" s="3">
        <f t="shared" si="0"/>
        <v>2038</v>
      </c>
      <c r="AV1" s="3">
        <f t="shared" si="0"/>
        <v>2039</v>
      </c>
      <c r="AW1" s="3">
        <f t="shared" si="0"/>
        <v>2040</v>
      </c>
      <c r="AX1" s="3">
        <f t="shared" si="0"/>
        <v>2041</v>
      </c>
      <c r="AY1" s="3">
        <f t="shared" si="0"/>
        <v>2042</v>
      </c>
      <c r="AZ1" s="3">
        <f t="shared" si="0"/>
        <v>2043</v>
      </c>
      <c r="BA1" s="3">
        <f t="shared" si="0"/>
        <v>2044</v>
      </c>
      <c r="BB1" s="3">
        <f t="shared" si="0"/>
        <v>2045</v>
      </c>
      <c r="BC1" s="3">
        <f t="shared" si="0"/>
        <v>2046</v>
      </c>
      <c r="BD1" s="3">
        <f t="shared" si="0"/>
        <v>2047</v>
      </c>
      <c r="BE1" s="3">
        <f t="shared" si="0"/>
        <v>2048</v>
      </c>
      <c r="BF1" s="3">
        <f t="shared" si="0"/>
        <v>2049</v>
      </c>
      <c r="BG1" s="3">
        <f t="shared" si="0"/>
        <v>2050</v>
      </c>
      <c r="BH1" s="3">
        <f t="shared" si="0"/>
        <v>2051</v>
      </c>
      <c r="BI1" s="3">
        <f t="shared" si="0"/>
        <v>2052</v>
      </c>
      <c r="BJ1" s="3">
        <f t="shared" si="0"/>
        <v>2053</v>
      </c>
      <c r="BK1" s="3">
        <f t="shared" ref="BK1:BW1" si="1">BJ1+1</f>
        <v>2054</v>
      </c>
      <c r="BL1" s="3">
        <f t="shared" si="1"/>
        <v>2055</v>
      </c>
      <c r="BM1" s="3">
        <f t="shared" si="1"/>
        <v>2056</v>
      </c>
      <c r="BN1" s="3">
        <f t="shared" si="1"/>
        <v>2057</v>
      </c>
      <c r="BO1" s="3">
        <f t="shared" si="1"/>
        <v>2058</v>
      </c>
      <c r="BP1" s="3">
        <f t="shared" si="1"/>
        <v>2059</v>
      </c>
      <c r="BQ1" s="3">
        <f t="shared" si="1"/>
        <v>2060</v>
      </c>
      <c r="BR1" s="3">
        <f t="shared" si="1"/>
        <v>2061</v>
      </c>
      <c r="BS1" s="3">
        <f t="shared" si="1"/>
        <v>2062</v>
      </c>
      <c r="BT1" s="3">
        <f t="shared" si="1"/>
        <v>2063</v>
      </c>
      <c r="BU1" s="3">
        <f t="shared" si="1"/>
        <v>2064</v>
      </c>
      <c r="BV1" s="3">
        <f t="shared" si="1"/>
        <v>2065</v>
      </c>
      <c r="BW1" s="3">
        <f t="shared" si="1"/>
        <v>2066</v>
      </c>
    </row>
    <row r="2" spans="1:75" x14ac:dyDescent="0.3">
      <c r="B2" s="34"/>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row>
    <row r="3" spans="1:75" x14ac:dyDescent="0.3">
      <c r="A3" t="s">
        <v>678</v>
      </c>
      <c r="B3" s="12" t="str">
        <f>'Avaliação e Simulações'!$B$34</f>
        <v>2P</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row>
    <row r="4" spans="1:75" x14ac:dyDescent="0.3">
      <c r="B4" s="34"/>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row>
    <row r="5" spans="1:75" s="201" customFormat="1" x14ac:dyDescent="0.3">
      <c r="A5" s="201" t="s">
        <v>1184</v>
      </c>
    </row>
    <row r="7" spans="1:75" x14ac:dyDescent="0.3">
      <c r="A7" s="4" t="s">
        <v>686</v>
      </c>
      <c r="B7" s="4"/>
      <c r="C7" s="48">
        <f t="shared" ref="C7:AB7" si="2">SUM(C8:C11)</f>
        <v>1632.7583999999999</v>
      </c>
      <c r="D7" s="48">
        <f t="shared" si="2"/>
        <v>1822.1112000000001</v>
      </c>
      <c r="E7" s="48">
        <f t="shared" si="2"/>
        <v>2020.3016</v>
      </c>
      <c r="F7" s="48">
        <f t="shared" si="2"/>
        <v>2164.9918400000001</v>
      </c>
      <c r="G7" s="51">
        <f t="shared" si="2"/>
        <v>7633.7268000000004</v>
      </c>
      <c r="H7" s="48">
        <f t="shared" si="2"/>
        <v>1934.2764000000002</v>
      </c>
      <c r="I7" s="48">
        <f t="shared" si="2"/>
        <v>1831.1930000000002</v>
      </c>
      <c r="J7" s="48">
        <f t="shared" si="2"/>
        <v>1872.0160000000001</v>
      </c>
      <c r="K7" s="48">
        <f t="shared" si="2"/>
        <v>2205.7919999999999</v>
      </c>
      <c r="L7" s="48">
        <f t="shared" si="2"/>
        <v>7841.9300999999996</v>
      </c>
      <c r="M7" s="48">
        <f t="shared" si="2"/>
        <v>2132.7669999999998</v>
      </c>
      <c r="N7" s="48">
        <f t="shared" si="2"/>
        <v>2141.5029999999997</v>
      </c>
      <c r="O7" s="48">
        <f t="shared" si="2"/>
        <v>2698.3599999999997</v>
      </c>
      <c r="P7" s="48">
        <f t="shared" si="2"/>
        <v>2759.08</v>
      </c>
      <c r="Q7" s="48">
        <f t="shared" si="2"/>
        <v>9725.5349999999999</v>
      </c>
      <c r="R7" s="48">
        <f t="shared" si="2"/>
        <v>2818.5299999999997</v>
      </c>
      <c r="S7" s="48">
        <f t="shared" si="2"/>
        <v>2841.4750000000004</v>
      </c>
      <c r="T7" s="48">
        <f t="shared" si="2"/>
        <v>2908.3040000000001</v>
      </c>
      <c r="U7" s="48">
        <f t="shared" si="2"/>
        <v>2971.5079999999998</v>
      </c>
      <c r="V7" s="48">
        <f t="shared" si="2"/>
        <v>11538.83625</v>
      </c>
      <c r="W7" s="48">
        <f t="shared" si="2"/>
        <v>3167.01</v>
      </c>
      <c r="X7" s="48">
        <f t="shared" si="2"/>
        <v>3030.6639999999998</v>
      </c>
      <c r="Y7" s="48">
        <f t="shared" si="2"/>
        <v>4210.4719999999998</v>
      </c>
      <c r="Z7" s="48">
        <f t="shared" si="2"/>
        <v>4381.1319999999996</v>
      </c>
      <c r="AA7" s="48">
        <f t="shared" si="2"/>
        <v>14771.55</v>
      </c>
      <c r="AB7" s="48">
        <f t="shared" si="2"/>
        <v>5493.5099999999993</v>
      </c>
      <c r="AC7" s="48">
        <f>SUM(AC8:AC11)</f>
        <v>8289.4629999999997</v>
      </c>
      <c r="AD7" s="48">
        <f>SUM(AD8:AD11)</f>
        <v>9191.7199999999993</v>
      </c>
      <c r="AE7" s="48">
        <f>SUM(AE8:AE11)</f>
        <v>9228.4279999999999</v>
      </c>
      <c r="AF7" s="48">
        <f>SUM(AF8:AF11)</f>
        <v>32152.028749999998</v>
      </c>
      <c r="AG7" s="48">
        <f t="shared" ref="AG7:BJ7" ca="1" si="3">SUM(AG8:AG11)</f>
        <v>41329</v>
      </c>
      <c r="AH7" s="48">
        <f t="shared" ca="1" si="3"/>
        <v>54228</v>
      </c>
      <c r="AI7" s="48">
        <f t="shared" ca="1" si="3"/>
        <v>57788</v>
      </c>
      <c r="AJ7" s="48">
        <f t="shared" ca="1" si="3"/>
        <v>60808</v>
      </c>
      <c r="AK7" s="48">
        <f t="shared" ca="1" si="3"/>
        <v>59713</v>
      </c>
      <c r="AL7" s="48">
        <f t="shared" ca="1" si="3"/>
        <v>60129</v>
      </c>
      <c r="AM7" s="48">
        <f t="shared" ca="1" si="3"/>
        <v>54435</v>
      </c>
      <c r="AN7" s="48">
        <f t="shared" ca="1" si="3"/>
        <v>46226</v>
      </c>
      <c r="AO7" s="48">
        <f t="shared" ca="1" si="3"/>
        <v>40054</v>
      </c>
      <c r="AP7" s="48">
        <f t="shared" ca="1" si="3"/>
        <v>35040</v>
      </c>
      <c r="AQ7" s="48">
        <f t="shared" ca="1" si="3"/>
        <v>30882</v>
      </c>
      <c r="AR7" s="48">
        <f t="shared" ca="1" si="3"/>
        <v>26878</v>
      </c>
      <c r="AS7" s="48">
        <f t="shared" ca="1" si="3"/>
        <v>23064</v>
      </c>
      <c r="AT7" s="48">
        <f t="shared" ca="1" si="3"/>
        <v>19874</v>
      </c>
      <c r="AU7" s="48">
        <f t="shared" ca="1" si="3"/>
        <v>17538</v>
      </c>
      <c r="AV7" s="48">
        <f t="shared" ca="1" si="3"/>
        <v>15635</v>
      </c>
      <c r="AW7" s="48">
        <f t="shared" ca="1" si="3"/>
        <v>12344</v>
      </c>
      <c r="AX7" s="48">
        <f t="shared" ca="1" si="3"/>
        <v>10815</v>
      </c>
      <c r="AY7" s="48">
        <f t="shared" ca="1" si="3"/>
        <v>9503</v>
      </c>
      <c r="AZ7" s="48">
        <f t="shared" ca="1" si="3"/>
        <v>8310</v>
      </c>
      <c r="BA7" s="48">
        <f t="shared" ca="1" si="3"/>
        <v>7380</v>
      </c>
      <c r="BB7" s="48">
        <f t="shared" ca="1" si="3"/>
        <v>6410</v>
      </c>
      <c r="BC7" s="48">
        <f t="shared" ca="1" si="3"/>
        <v>5809</v>
      </c>
      <c r="BD7" s="48">
        <f t="shared" ca="1" si="3"/>
        <v>5326</v>
      </c>
      <c r="BE7" s="48">
        <f t="shared" ca="1" si="3"/>
        <v>4915</v>
      </c>
      <c r="BF7" s="48">
        <f t="shared" ca="1" si="3"/>
        <v>4307</v>
      </c>
      <c r="BG7" s="48">
        <f t="shared" ca="1" si="3"/>
        <v>3925</v>
      </c>
      <c r="BH7" s="48">
        <f t="shared" ca="1" si="3"/>
        <v>3653</v>
      </c>
      <c r="BI7" s="48">
        <f t="shared" ca="1" si="3"/>
        <v>2290</v>
      </c>
      <c r="BJ7" s="48">
        <f t="shared" ca="1" si="3"/>
        <v>0</v>
      </c>
      <c r="BK7" s="48">
        <f ca="1">SUM(BK8:BK11)</f>
        <v>0</v>
      </c>
      <c r="BL7" s="48">
        <f t="shared" ref="BL7:BW7" ca="1" si="4">SUM(BL8:BL11)</f>
        <v>0</v>
      </c>
      <c r="BM7" s="48">
        <f t="shared" ca="1" si="4"/>
        <v>0</v>
      </c>
      <c r="BN7" s="48">
        <f t="shared" ca="1" si="4"/>
        <v>0</v>
      </c>
      <c r="BO7" s="48">
        <f t="shared" ca="1" si="4"/>
        <v>0</v>
      </c>
      <c r="BP7" s="48">
        <f t="shared" ca="1" si="4"/>
        <v>0</v>
      </c>
      <c r="BQ7" s="48">
        <f t="shared" ca="1" si="4"/>
        <v>0</v>
      </c>
      <c r="BR7" s="48">
        <f t="shared" ca="1" si="4"/>
        <v>0</v>
      </c>
      <c r="BS7" s="48">
        <f t="shared" ca="1" si="4"/>
        <v>0</v>
      </c>
      <c r="BT7" s="48">
        <f t="shared" ca="1" si="4"/>
        <v>0</v>
      </c>
      <c r="BU7" s="48">
        <f t="shared" ca="1" si="4"/>
        <v>0</v>
      </c>
      <c r="BV7" s="48">
        <f t="shared" ca="1" si="4"/>
        <v>0</v>
      </c>
      <c r="BW7" s="48">
        <f t="shared" ca="1" si="4"/>
        <v>0</v>
      </c>
    </row>
    <row r="8" spans="1:75" x14ac:dyDescent="0.3">
      <c r="A8" s="5" t="s">
        <v>64</v>
      </c>
      <c r="B8" s="4"/>
      <c r="C8" s="51">
        <f>'Infos - Release Operacional'!C8*'Fluxo de Caixa dos Acionistas'!C$5/1000</f>
        <v>816.09839999999997</v>
      </c>
      <c r="D8" s="51">
        <f>'Infos - Release Operacional'!D8*'Fluxo de Caixa dos Acionistas'!D$5/1000</f>
        <v>801.3642000000001</v>
      </c>
      <c r="E8" s="51">
        <f>'Infos - Release Operacional'!E8*'Fluxo de Caixa dos Acionistas'!E$5/1000</f>
        <v>790.07760000000007</v>
      </c>
      <c r="F8" s="51">
        <f>'Infos - Release Operacional'!F8*'Fluxo de Caixa dos Acionistas'!F$5/1000</f>
        <v>961.63184000000012</v>
      </c>
      <c r="G8" s="51">
        <f>'Infos - Release Operacional'!G8*'Fluxo de Caixa dos Acionistas'!G$5/1000</f>
        <v>3368.42805</v>
      </c>
      <c r="H8" s="51">
        <f>'Infos - Release Operacional'!H8*'Fluxo de Caixa dos Acionistas'!H$5/1000</f>
        <v>890.27640000000019</v>
      </c>
      <c r="I8" s="51">
        <f>'Infos - Release Operacional'!I8*'Fluxo de Caixa dos Acionistas'!I$5/1000</f>
        <v>893.98400000000004</v>
      </c>
      <c r="J8" s="51">
        <f>'Infos - Release Operacional'!J8*'Fluxo de Caixa dos Acionistas'!J$5/1000</f>
        <v>907.58</v>
      </c>
      <c r="K8" s="51">
        <f>'Infos - Release Operacional'!K8*'Fluxo de Caixa dos Acionistas'!K$5/1000</f>
        <v>1254.788</v>
      </c>
      <c r="L8" s="48">
        <f>'Infos - Release Operacional'!L8*'Fluxo de Caixa dos Acionistas'!L$5/1000</f>
        <v>3943.8213500000002</v>
      </c>
      <c r="M8" s="51">
        <f>'Infos - Release Operacional'!M8*'Fluxo de Caixa dos Acionistas'!M$5/1000</f>
        <v>1234.2329999999999</v>
      </c>
      <c r="N8" s="51">
        <f>'Infos - Release Operacional'!N8*'Fluxo de Caixa dos Acionistas'!N$5/1000</f>
        <v>1217.58</v>
      </c>
      <c r="O8" s="51">
        <f>'Infos - Release Operacional'!O8*'Fluxo de Caixa dos Acionistas'!O$5/1000</f>
        <v>1181.096</v>
      </c>
      <c r="P8" s="51">
        <f>'Infos - Release Operacional'!P8*'Fluxo de Caixa dos Acionistas'!P$5/1000</f>
        <v>1097.376</v>
      </c>
      <c r="Q8" s="48">
        <f>'Infos - Release Operacional'!Q8*'Fluxo de Caixa dos Acionistas'!Q$5/1000</f>
        <v>4731.3734999999997</v>
      </c>
      <c r="R8" s="51">
        <f>'Infos - Release Operacional'!R8*'Fluxo de Caixa dos Acionistas'!R$5/1000</f>
        <v>1357.74</v>
      </c>
      <c r="S8" s="51">
        <f>'Infos - Release Operacional'!S8*'Fluxo de Caixa dos Acionistas'!S$5/1000</f>
        <v>1359.6310000000001</v>
      </c>
      <c r="T8" s="51">
        <f>'Infos - Release Operacional'!T8*'Fluxo de Caixa dos Acionistas'!T$5/1000</f>
        <v>1508.616</v>
      </c>
      <c r="U8" s="51">
        <f>'Infos - Release Operacional'!U8*'Fluxo de Caixa dos Acionistas'!U$5/1000</f>
        <v>1382.576</v>
      </c>
      <c r="V8" s="48">
        <f>'Infos - Release Operacional'!V8*'Fluxo de Caixa dos Acionistas'!V$5/1000</f>
        <v>5607.5862500000003</v>
      </c>
      <c r="W8" s="51">
        <f>'Infos - Release Operacional'!W8*'Fluxo de Caixa dos Acionistas'!W$5/1000</f>
        <v>1416.51</v>
      </c>
      <c r="X8" s="51">
        <f>'Infos - Release Operacional'!X8*'Fluxo de Caixa dos Acionistas'!X$5/1000</f>
        <v>1343.069</v>
      </c>
      <c r="Y8" s="51">
        <f>'Infos - Release Operacional'!Y8*'Fluxo de Caixa dos Acionistas'!Y$5/1000</f>
        <v>2576.5520000000001</v>
      </c>
      <c r="Z8" s="51">
        <f>'Infos - Release Operacional'!Z8*'Fluxo de Caixa dos Acionistas'!Z$5/1000</f>
        <v>2967.3679999999999</v>
      </c>
      <c r="AA8" s="48">
        <f>'Infos - Release Operacional'!AA8*'Fluxo de Caixa dos Acionistas'!AA$5/1000</f>
        <v>8281.6674999999996</v>
      </c>
      <c r="AB8" s="51">
        <f>'Infos - Release Operacional'!AB8*'Fluxo de Caixa dos Acionistas'!AB$5/1000</f>
        <v>3044.97</v>
      </c>
      <c r="AC8" s="51">
        <f>'Infos - Release Operacional'!AC8*'Fluxo de Caixa dos Acionistas'!AC$5/1000</f>
        <v>4625.0749999999998</v>
      </c>
      <c r="AD8" s="51">
        <f>'Infos - Release Operacional'!AD8*'Fluxo de Caixa dos Acionistas'!AD$5/1000</f>
        <v>5211.1559999999999</v>
      </c>
      <c r="AE8" s="51">
        <f>'Infos - Release Operacional'!AE8*'Fluxo de Caixa dos Acionistas'!AE$5/1000</f>
        <v>5091.74</v>
      </c>
      <c r="AF8" s="48">
        <f>'Infos - Release Operacional'!AF8*'Fluxo de Caixa dos Acionistas'!AF$5/1000</f>
        <v>17943.947499999998</v>
      </c>
      <c r="AG8" s="196">
        <f ca="1">SUMIFS(INDIRECT("'"&amp;$A8&amp;$B$3&amp;"'!"&amp;"$G:$G"),INDIRECT("'"&amp;$A8&amp;$B$3&amp;"'!"&amp;"$A:$A"),'Receita Líquida - O&amp;G'!AG$1)</f>
        <v>23335</v>
      </c>
      <c r="AH8" s="196">
        <f ca="1">SUMIFS(INDIRECT("'"&amp;$A8&amp;$B$3&amp;"'!"&amp;"$G:$G"),INDIRECT("'"&amp;$A8&amp;$B$3&amp;"'!"&amp;"$A:$A"),'Receita Líquida - O&amp;G'!AH$1)</f>
        <v>28383</v>
      </c>
      <c r="AI8" s="196">
        <f ca="1">SUMIFS(INDIRECT("'"&amp;$A8&amp;$B$3&amp;"'!"&amp;"$G:$G"),INDIRECT("'"&amp;$A8&amp;$B$3&amp;"'!"&amp;"$A:$A"),'Receita Líquida - O&amp;G'!AI$1)</f>
        <v>25695</v>
      </c>
      <c r="AJ8" s="196">
        <f ca="1">SUMIFS(INDIRECT("'"&amp;$A8&amp;$B$3&amp;"'!"&amp;"$G:$G"),INDIRECT("'"&amp;$A8&amp;$B$3&amp;"'!"&amp;"$A:$A"),'Receita Líquida - O&amp;G'!AJ$1)</f>
        <v>23434</v>
      </c>
      <c r="AK8" s="196">
        <f ca="1">SUMIFS(INDIRECT("'"&amp;$A8&amp;$B$3&amp;"'!"&amp;"$G:$G"),INDIRECT("'"&amp;$A8&amp;$B$3&amp;"'!"&amp;"$A:$A"),'Receita Líquida - O&amp;G'!AK$1)</f>
        <v>21375</v>
      </c>
      <c r="AL8" s="196">
        <f ca="1">SUMIFS(INDIRECT("'"&amp;$A8&amp;$B$3&amp;"'!"&amp;"$G:$G"),INDIRECT("'"&amp;$A8&amp;$B$3&amp;"'!"&amp;"$A:$A"),'Receita Líquida - O&amp;G'!AL$1)</f>
        <v>18543</v>
      </c>
      <c r="AM8" s="196">
        <f ca="1">SUMIFS(INDIRECT("'"&amp;$A8&amp;$B$3&amp;"'!"&amp;"$G:$G"),INDIRECT("'"&amp;$A8&amp;$B$3&amp;"'!"&amp;"$A:$A"),'Receita Líquida - O&amp;G'!AM$1)</f>
        <v>15132</v>
      </c>
      <c r="AN8" s="196">
        <f ca="1">SUMIFS(INDIRECT("'"&amp;$A8&amp;$B$3&amp;"'!"&amp;"$G:$G"),INDIRECT("'"&amp;$A8&amp;$B$3&amp;"'!"&amp;"$A:$A"),'Receita Líquida - O&amp;G'!AN$1)</f>
        <v>12677</v>
      </c>
      <c r="AO8" s="196">
        <f ca="1">SUMIFS(INDIRECT("'"&amp;$A8&amp;$B$3&amp;"'!"&amp;"$G:$G"),INDIRECT("'"&amp;$A8&amp;$B$3&amp;"'!"&amp;"$A:$A"),'Receita Líquida - O&amp;G'!AO$1)</f>
        <v>11218</v>
      </c>
      <c r="AP8" s="196">
        <f ca="1">SUMIFS(INDIRECT("'"&amp;$A8&amp;$B$3&amp;"'!"&amp;"$G:$G"),INDIRECT("'"&amp;$A8&amp;$B$3&amp;"'!"&amp;"$A:$A"),'Receita Líquida - O&amp;G'!AP$1)</f>
        <v>10314</v>
      </c>
      <c r="AQ8" s="196">
        <f ca="1">SUMIFS(INDIRECT("'"&amp;$A8&amp;$B$3&amp;"'!"&amp;"$G:$G"),INDIRECT("'"&amp;$A8&amp;$B$3&amp;"'!"&amp;"$A:$A"),'Receita Líquida - O&amp;G'!AQ$1)</f>
        <v>9567</v>
      </c>
      <c r="AR8" s="196">
        <f ca="1">SUMIFS(INDIRECT("'"&amp;$A8&amp;$B$3&amp;"'!"&amp;"$G:$G"),INDIRECT("'"&amp;$A8&amp;$B$3&amp;"'!"&amp;"$A:$A"),'Receita Líquida - O&amp;G'!AR$1)</f>
        <v>8640</v>
      </c>
      <c r="AS8" s="196">
        <f ca="1">SUMIFS(INDIRECT("'"&amp;$A8&amp;$B$3&amp;"'!"&amp;"$G:$G"),INDIRECT("'"&amp;$A8&amp;$B$3&amp;"'!"&amp;"$A:$A"),'Receita Líquida - O&amp;G'!AS$1)</f>
        <v>7314</v>
      </c>
      <c r="AT8" s="196">
        <f ca="1">SUMIFS(INDIRECT("'"&amp;$A8&amp;$B$3&amp;"'!"&amp;"$G:$G"),INDIRECT("'"&amp;$A8&amp;$B$3&amp;"'!"&amp;"$A:$A"),'Receita Líquida - O&amp;G'!AT$1)</f>
        <v>6315</v>
      </c>
      <c r="AU8" s="196">
        <f ca="1">SUMIFS(INDIRECT("'"&amp;$A8&amp;$B$3&amp;"'!"&amp;"$G:$G"),INDIRECT("'"&amp;$A8&amp;$B$3&amp;"'!"&amp;"$A:$A"),'Receita Líquida - O&amp;G'!AU$1)</f>
        <v>5619</v>
      </c>
      <c r="AV8" s="196">
        <f ca="1">SUMIFS(INDIRECT("'"&amp;$A8&amp;$B$3&amp;"'!"&amp;"$G:$G"),INDIRECT("'"&amp;$A8&amp;$B$3&amp;"'!"&amp;"$A:$A"),'Receita Líquida - O&amp;G'!AV$1)</f>
        <v>5047</v>
      </c>
      <c r="AW8" s="196">
        <f ca="1">SUMIFS(INDIRECT("'"&amp;$A8&amp;$B$3&amp;"'!"&amp;"$G:$G"),INDIRECT("'"&amp;$A8&amp;$B$3&amp;"'!"&amp;"$A:$A"),'Receita Líquida - O&amp;G'!AW$1)</f>
        <v>4566</v>
      </c>
      <c r="AX8" s="196">
        <f ca="1">SUMIFS(INDIRECT("'"&amp;$A8&amp;$B$3&amp;"'!"&amp;"$G:$G"),INDIRECT("'"&amp;$A8&amp;$B$3&amp;"'!"&amp;"$A:$A"),'Receita Líquida - O&amp;G'!AX$1)</f>
        <v>4128</v>
      </c>
      <c r="AY8" s="196">
        <f ca="1">SUMIFS(INDIRECT("'"&amp;$A8&amp;$B$3&amp;"'!"&amp;"$G:$G"),INDIRECT("'"&amp;$A8&amp;$B$3&amp;"'!"&amp;"$A:$A"),'Receita Líquida - O&amp;G'!AY$1)</f>
        <v>3760</v>
      </c>
      <c r="AZ8" s="196">
        <f ca="1">SUMIFS(INDIRECT("'"&amp;$A8&amp;$B$3&amp;"'!"&amp;"$G:$G"),INDIRECT("'"&amp;$A8&amp;$B$3&amp;"'!"&amp;"$A:$A"),'Receita Líquida - O&amp;G'!AZ$1)</f>
        <v>3440</v>
      </c>
      <c r="BA8" s="196">
        <f ca="1">SUMIFS(INDIRECT("'"&amp;$A8&amp;$B$3&amp;"'!"&amp;"$G:$G"),INDIRECT("'"&amp;$A8&amp;$B$3&amp;"'!"&amp;"$A:$A"),'Receita Líquida - O&amp;G'!BA$1)</f>
        <v>3176</v>
      </c>
      <c r="BB8" s="196">
        <f ca="1">SUMIFS(INDIRECT("'"&amp;$A8&amp;$B$3&amp;"'!"&amp;"$G:$G"),INDIRECT("'"&amp;$A8&amp;$B$3&amp;"'!"&amp;"$A:$A"),'Receita Líquida - O&amp;G'!BB$1)</f>
        <v>2893</v>
      </c>
      <c r="BC8" s="196">
        <f ca="1">SUMIFS(INDIRECT("'"&amp;$A8&amp;$B$3&amp;"'!"&amp;"$G:$G"),INDIRECT("'"&amp;$A8&amp;$B$3&amp;"'!"&amp;"$A:$A"),'Receita Líquida - O&amp;G'!BC$1)</f>
        <v>2682</v>
      </c>
      <c r="BD8" s="196">
        <f ca="1">SUMIFS(INDIRECT("'"&amp;$A8&amp;$B$3&amp;"'!"&amp;"$G:$G"),INDIRECT("'"&amp;$A8&amp;$B$3&amp;"'!"&amp;"$A:$A"),'Receita Líquida - O&amp;G'!BD$1)</f>
        <v>2501</v>
      </c>
      <c r="BE8" s="196">
        <f ca="1">SUMIFS(INDIRECT("'"&amp;$A8&amp;$B$3&amp;"'!"&amp;"$G:$G"),INDIRECT("'"&amp;$A8&amp;$B$3&amp;"'!"&amp;"$A:$A"),'Receita Líquida - O&amp;G'!BE$1)</f>
        <v>2346</v>
      </c>
      <c r="BF8" s="196">
        <f ca="1">SUMIFS(INDIRECT("'"&amp;$A8&amp;$B$3&amp;"'!"&amp;"$G:$G"),INDIRECT("'"&amp;$A8&amp;$B$3&amp;"'!"&amp;"$A:$A"),'Receita Líquida - O&amp;G'!BF$1)</f>
        <v>2190</v>
      </c>
      <c r="BG8" s="196">
        <f ca="1">SUMIFS(INDIRECT("'"&amp;$A8&amp;$B$3&amp;"'!"&amp;"$G:$G"),INDIRECT("'"&amp;$A8&amp;$B$3&amp;"'!"&amp;"$A:$A"),'Receita Líquida - O&amp;G'!BG$1)</f>
        <v>2054</v>
      </c>
      <c r="BH8" s="196">
        <f ca="1">SUMIFS(INDIRECT("'"&amp;$A8&amp;$B$3&amp;"'!"&amp;"$G:$G"),INDIRECT("'"&amp;$A8&amp;$B$3&amp;"'!"&amp;"$A:$A"),'Receita Líquida - O&amp;G'!BH$1)</f>
        <v>1930</v>
      </c>
      <c r="BI8" s="196">
        <f ca="1">SUMIFS(INDIRECT("'"&amp;$A8&amp;$B$3&amp;"'!"&amp;"$G:$G"),INDIRECT("'"&amp;$A8&amp;$B$3&amp;"'!"&amp;"$A:$A"),'Receita Líquida - O&amp;G'!BI$1)</f>
        <v>1313</v>
      </c>
      <c r="BJ8" s="196">
        <f ca="1">SUMIFS(INDIRECT("'"&amp;$A8&amp;$B$3&amp;"'!"&amp;"$G:$G"),INDIRECT("'"&amp;$A8&amp;$B$3&amp;"'!"&amp;"$A:$A"),'Receita Líquida - O&amp;G'!BJ$1)</f>
        <v>0</v>
      </c>
      <c r="BK8" s="196">
        <f ca="1">SUMIFS(INDIRECT("'"&amp;$A8&amp;$B$3&amp;"'!"&amp;"$G:$G"),INDIRECT("'"&amp;$A8&amp;$B$3&amp;"'!"&amp;"$A:$A"),'Receita Líquida - O&amp;G'!BK$1)</f>
        <v>0</v>
      </c>
      <c r="BL8" s="196">
        <f ca="1">SUMIFS(INDIRECT("'"&amp;$A8&amp;$B$3&amp;"'!"&amp;"$G:$G"),INDIRECT("'"&amp;$A8&amp;$B$3&amp;"'!"&amp;"$A:$A"),'Receita Líquida - O&amp;G'!BL$1)</f>
        <v>0</v>
      </c>
      <c r="BM8" s="196">
        <f ca="1">SUMIFS(INDIRECT("'"&amp;$A8&amp;$B$3&amp;"'!"&amp;"$G:$G"),INDIRECT("'"&amp;$A8&amp;$B$3&amp;"'!"&amp;"$A:$A"),'Receita Líquida - O&amp;G'!BM$1)</f>
        <v>0</v>
      </c>
      <c r="BN8" s="196">
        <f ca="1">SUMIFS(INDIRECT("'"&amp;$A8&amp;$B$3&amp;"'!"&amp;"$G:$G"),INDIRECT("'"&amp;$A8&amp;$B$3&amp;"'!"&amp;"$A:$A"),'Receita Líquida - O&amp;G'!BN$1)</f>
        <v>0</v>
      </c>
      <c r="BO8" s="196">
        <f ca="1">SUMIFS(INDIRECT("'"&amp;$A8&amp;$B$3&amp;"'!"&amp;"$G:$G"),INDIRECT("'"&amp;$A8&amp;$B$3&amp;"'!"&amp;"$A:$A"),'Receita Líquida - O&amp;G'!BO$1)</f>
        <v>0</v>
      </c>
      <c r="BP8" s="196">
        <f ca="1">SUMIFS(INDIRECT("'"&amp;$A8&amp;$B$3&amp;"'!"&amp;"$G:$G"),INDIRECT("'"&amp;$A8&amp;$B$3&amp;"'!"&amp;"$A:$A"),'Receita Líquida - O&amp;G'!BP$1)</f>
        <v>0</v>
      </c>
      <c r="BQ8" s="196">
        <f ca="1">SUMIFS(INDIRECT("'"&amp;$A8&amp;$B$3&amp;"'!"&amp;"$G:$G"),INDIRECT("'"&amp;$A8&amp;$B$3&amp;"'!"&amp;"$A:$A"),'Receita Líquida - O&amp;G'!BQ$1)</f>
        <v>0</v>
      </c>
      <c r="BR8" s="196">
        <f ca="1">SUMIFS(INDIRECT("'"&amp;$A8&amp;$B$3&amp;"'!"&amp;"$G:$G"),INDIRECT("'"&amp;$A8&amp;$B$3&amp;"'!"&amp;"$A:$A"),'Receita Líquida - O&amp;G'!BR$1)</f>
        <v>0</v>
      </c>
      <c r="BS8" s="196">
        <f ca="1">SUMIFS(INDIRECT("'"&amp;$A8&amp;$B$3&amp;"'!"&amp;"$G:$G"),INDIRECT("'"&amp;$A8&amp;$B$3&amp;"'!"&amp;"$A:$A"),'Receita Líquida - O&amp;G'!BS$1)</f>
        <v>0</v>
      </c>
      <c r="BT8" s="196">
        <f ca="1">SUMIFS(INDIRECT("'"&amp;$A8&amp;$B$3&amp;"'!"&amp;"$G:$G"),INDIRECT("'"&amp;$A8&amp;$B$3&amp;"'!"&amp;"$A:$A"),'Receita Líquida - O&amp;G'!BT$1)</f>
        <v>0</v>
      </c>
      <c r="BU8" s="196">
        <f ca="1">SUMIFS(INDIRECT("'"&amp;$A8&amp;$B$3&amp;"'!"&amp;"$G:$G"),INDIRECT("'"&amp;$A8&amp;$B$3&amp;"'!"&amp;"$A:$A"),'Receita Líquida - O&amp;G'!BU$1)</f>
        <v>0</v>
      </c>
      <c r="BV8" s="196">
        <f ca="1">SUMIFS(INDIRECT("'"&amp;$A8&amp;$B$3&amp;"'!"&amp;"$G:$G"),INDIRECT("'"&amp;$A8&amp;$B$3&amp;"'!"&amp;"$A:$A"),'Receita Líquida - O&amp;G'!BV$1)</f>
        <v>0</v>
      </c>
      <c r="BW8" s="196">
        <f ca="1">SUMIFS(INDIRECT("'"&amp;$A8&amp;$B$3&amp;"'!"&amp;"$G:$G"),INDIRECT("'"&amp;$A8&amp;$B$3&amp;"'!"&amp;"$A:$A"),'Receita Líquida - O&amp;G'!BW$1)</f>
        <v>0</v>
      </c>
    </row>
    <row r="9" spans="1:75" x14ac:dyDescent="0.3">
      <c r="A9" s="5" t="s">
        <v>65</v>
      </c>
      <c r="B9" s="4"/>
      <c r="C9" s="51">
        <f>'Infos - Release Operacional'!C11*'Fluxo de Caixa dos Acionistas'!C$5/1000</f>
        <v>262.89</v>
      </c>
      <c r="D9" s="51">
        <f>'Infos - Release Operacional'!D11*'Fluxo de Caixa dos Acionistas'!D$5/1000</f>
        <v>278.45999999999998</v>
      </c>
      <c r="E9" s="51">
        <f>'Infos - Release Operacional'!E11*'Fluxo de Caixa dos Acionistas'!E$5/1000</f>
        <v>302.77199999999999</v>
      </c>
      <c r="F9" s="51">
        <f>'Infos - Release Operacional'!F11*'Fluxo de Caixa dos Acionistas'!F$5/1000</f>
        <v>278.3</v>
      </c>
      <c r="G9" s="51">
        <f>'Infos - Release Operacional'!G11*'Fluxo de Caixa dos Acionistas'!G$5/1000</f>
        <v>1122.1012499999999</v>
      </c>
      <c r="H9" s="51">
        <f>'Infos - Release Operacional'!H11*'Fluxo de Caixa dos Acionistas'!H$5/1000</f>
        <v>182.97</v>
      </c>
      <c r="I9" s="51">
        <f>'Infos - Release Operacional'!I11*'Fluxo de Caixa dos Acionistas'!I$5/1000</f>
        <v>161.61600000000001</v>
      </c>
      <c r="J9" s="51">
        <f>'Infos - Release Operacional'!J11*'Fluxo de Caixa dos Acionistas'!J$5/1000</f>
        <v>221.99600000000001</v>
      </c>
      <c r="K9" s="51">
        <f>'Infos - Release Operacional'!K11*'Fluxo de Caixa dos Acionistas'!K$5/1000</f>
        <v>263.02800000000002</v>
      </c>
      <c r="L9" s="48">
        <f>'Infos - Release Operacional'!L11*'Fluxo de Caixa dos Acionistas'!L$5/1000</f>
        <v>828.64125000000001</v>
      </c>
      <c r="M9" s="51">
        <f>'Infos - Release Operacional'!M11*'Fluxo de Caixa dos Acionistas'!M$5/1000</f>
        <v>114.114</v>
      </c>
      <c r="N9" s="51">
        <f>'Infos - Release Operacional'!N11*'Fluxo de Caixa dos Acionistas'!N$5/1000</f>
        <v>64.337000000000003</v>
      </c>
      <c r="O9" s="51">
        <f>'Infos - Release Operacional'!O11*'Fluxo de Caixa dos Acionistas'!O$5/1000</f>
        <v>160.08000000000001</v>
      </c>
      <c r="P9" s="51">
        <f>'Infos - Release Operacional'!P11*'Fluxo de Caixa dos Acionistas'!P$5/1000</f>
        <v>210.22</v>
      </c>
      <c r="Q9" s="48">
        <f>'Infos - Release Operacional'!Q11*'Fluxo de Caixa dos Acionistas'!Q$5/1000</f>
        <v>547.71900000000005</v>
      </c>
      <c r="R9" s="51">
        <f>'Infos - Release Operacional'!R11*'Fluxo de Caixa dos Acionistas'!R$5/1000</f>
        <v>187.56</v>
      </c>
      <c r="S9" s="51">
        <f>'Infos - Release Operacional'!S11*'Fluxo de Caixa dos Acionistas'!S$5/1000</f>
        <v>199.381</v>
      </c>
      <c r="T9" s="51">
        <f>'Infos - Release Operacional'!T11*'Fluxo de Caixa dos Acionistas'!T$5/1000</f>
        <v>170.93600000000001</v>
      </c>
      <c r="U9" s="51">
        <f>'Infos - Release Operacional'!U11*'Fluxo de Caixa dos Acionistas'!U$5/1000</f>
        <v>177.00800000000001</v>
      </c>
      <c r="V9" s="48">
        <f>'Infos - Release Operacional'!V11*'Fluxo de Caixa dos Acionistas'!V$5/1000</f>
        <v>735.20124999999996</v>
      </c>
      <c r="W9" s="51">
        <f>'Infos - Release Operacional'!W11*'Fluxo de Caixa dos Acionistas'!W$5/1000</f>
        <v>172.17</v>
      </c>
      <c r="X9" s="51">
        <f>'Infos - Release Operacional'!X11*'Fluxo de Caixa dos Acionistas'!X$5/1000</f>
        <v>162.25299999999999</v>
      </c>
      <c r="Y9" s="51">
        <f>'Infos - Release Operacional'!Y11*'Fluxo de Caixa dos Acionistas'!Y$5/1000</f>
        <v>134.136</v>
      </c>
      <c r="Z9" s="51">
        <f>'Infos - Release Operacional'!Z11*'Fluxo de Caixa dos Acionistas'!Z$5/1000</f>
        <v>67.436000000000007</v>
      </c>
      <c r="AA9" s="48">
        <f>'Infos - Release Operacional'!AA11*'Fluxo de Caixa dos Acionistas'!AA$5/1000</f>
        <v>537.18875000000003</v>
      </c>
      <c r="AB9" s="51">
        <f>'Infos - Release Operacional'!AB11*'Fluxo de Caixa dos Acionistas'!AB$5/1000</f>
        <v>0</v>
      </c>
      <c r="AC9" s="51">
        <f>'Infos - Release Operacional'!AC11*'Fluxo de Caixa dos Acionistas'!AC$5/1000</f>
        <v>0</v>
      </c>
      <c r="AD9" s="51">
        <f>'Infos - Release Operacional'!AD11*'Fluxo de Caixa dos Acionistas'!AD$5/1000</f>
        <v>0</v>
      </c>
      <c r="AE9" s="51">
        <f>'Infos - Release Operacional'!AE11*'Fluxo de Caixa dos Acionistas'!AE$5/1000</f>
        <v>0</v>
      </c>
      <c r="AF9" s="48">
        <f>'Infos - Release Operacional'!AF11*'Fluxo de Caixa dos Acionistas'!AF$5/1000</f>
        <v>0</v>
      </c>
      <c r="AG9" s="195"/>
      <c r="AH9" s="195"/>
      <c r="AI9" s="195"/>
      <c r="AJ9" s="195"/>
      <c r="AK9" s="195"/>
      <c r="AL9" s="195"/>
      <c r="AM9" s="195"/>
      <c r="AN9" s="195"/>
      <c r="AO9" s="195"/>
      <c r="AP9" s="195"/>
      <c r="AQ9" s="195"/>
      <c r="AR9" s="195"/>
      <c r="AS9" s="195"/>
      <c r="AT9" s="195"/>
      <c r="AU9" s="195"/>
      <c r="AV9" s="195"/>
      <c r="AW9" s="195"/>
      <c r="AX9" s="195"/>
      <c r="AY9" s="195"/>
      <c r="AZ9" s="195"/>
      <c r="BA9" s="195"/>
      <c r="BB9" s="195"/>
      <c r="BC9" s="195"/>
      <c r="BD9" s="195"/>
      <c r="BE9" s="195"/>
      <c r="BF9" s="195"/>
      <c r="BG9" s="195"/>
      <c r="BH9" s="195"/>
      <c r="BI9" s="195"/>
      <c r="BJ9" s="195"/>
      <c r="BK9" s="195"/>
      <c r="BL9" s="195"/>
      <c r="BM9" s="195"/>
      <c r="BN9" s="195"/>
      <c r="BO9" s="195"/>
      <c r="BP9" s="195"/>
      <c r="BQ9" s="195"/>
      <c r="BR9" s="195"/>
      <c r="BS9" s="195"/>
      <c r="BT9" s="195"/>
      <c r="BU9" s="195"/>
      <c r="BV9" s="195"/>
      <c r="BW9" s="195"/>
    </row>
    <row r="10" spans="1:75" x14ac:dyDescent="0.3">
      <c r="A10" s="5" t="s">
        <v>67</v>
      </c>
      <c r="B10" s="4"/>
      <c r="C10" s="51">
        <f>'Infos - Release Operacional'!C10*'Fluxo de Caixa dos Acionistas'!C$5/1000</f>
        <v>553.77</v>
      </c>
      <c r="D10" s="51">
        <f>'Infos - Release Operacional'!D10*'Fluxo de Caixa dos Acionistas'!D$5/1000</f>
        <v>742.28700000000003</v>
      </c>
      <c r="E10" s="51">
        <f>'Infos - Release Operacional'!E10*'Fluxo de Caixa dos Acionistas'!E$5/1000</f>
        <v>927.452</v>
      </c>
      <c r="F10" s="51">
        <f>'Infos - Release Operacional'!F10*'Fluxo de Caixa dos Acionistas'!F$5/1000</f>
        <v>925.06</v>
      </c>
      <c r="G10" s="51">
        <f>'Infos - Release Operacional'!G10*'Fluxo de Caixa dos Acionistas'!G$5/1000</f>
        <v>3143.1975000000002</v>
      </c>
      <c r="H10" s="51">
        <f>'Infos - Release Operacional'!H10*'Fluxo de Caixa dos Acionistas'!H$5/1000</f>
        <v>861.03</v>
      </c>
      <c r="I10" s="51">
        <f>'Infos - Release Operacional'!I10*'Fluxo de Caixa dos Acionistas'!I$5/1000</f>
        <v>775.59299999999996</v>
      </c>
      <c r="J10" s="51">
        <f>'Infos - Release Operacional'!J10*'Fluxo de Caixa dos Acionistas'!J$5/1000</f>
        <v>742.44</v>
      </c>
      <c r="K10" s="51">
        <f>'Infos - Release Operacional'!K10*'Fluxo de Caixa dos Acionistas'!K$5/1000</f>
        <v>687.976</v>
      </c>
      <c r="L10" s="48">
        <f>'Infos - Release Operacional'!L10*'Fluxo de Caixa dos Acionistas'!L$5/1000</f>
        <v>3069.4675000000002</v>
      </c>
      <c r="M10" s="51">
        <f>'Infos - Release Operacional'!M10*'Fluxo de Caixa dos Acionistas'!M$5/1000</f>
        <v>784.42</v>
      </c>
      <c r="N10" s="51">
        <f>'Infos - Release Operacional'!N10*'Fluxo de Caixa dos Acionistas'!N$5/1000</f>
        <v>859.58600000000001</v>
      </c>
      <c r="O10" s="51">
        <f>'Infos - Release Operacional'!O10*'Fluxo de Caixa dos Acionistas'!O$5/1000</f>
        <v>1357.184</v>
      </c>
      <c r="P10" s="51">
        <f>'Infos - Release Operacional'!P10*'Fluxo de Caixa dos Acionistas'!P$5/1000</f>
        <v>1451.4839999999999</v>
      </c>
      <c r="Q10" s="48">
        <f>'Infos - Release Operacional'!Q10*'Fluxo de Caixa dos Acionistas'!Q$5/1000</f>
        <v>4446.4425000000001</v>
      </c>
      <c r="R10" s="51">
        <f>'Infos - Release Operacional'!R10*'Fluxo de Caixa dos Acionistas'!R$5/1000</f>
        <v>1273.23</v>
      </c>
      <c r="S10" s="51">
        <f>'Infos - Release Operacional'!S10*'Fluxo de Caixa dos Acionistas'!S$5/1000</f>
        <v>1282.463</v>
      </c>
      <c r="T10" s="51">
        <f>'Infos - Release Operacional'!T10*'Fluxo de Caixa dos Acionistas'!T$5/1000</f>
        <v>1228.752</v>
      </c>
      <c r="U10" s="51">
        <f>'Infos - Release Operacional'!U10*'Fluxo de Caixa dos Acionistas'!U$5/1000</f>
        <v>1411.924</v>
      </c>
      <c r="V10" s="48">
        <f>'Infos - Release Operacional'!V10*'Fluxo de Caixa dos Acionistas'!V$5/1000</f>
        <v>5196.0487499999999</v>
      </c>
      <c r="W10" s="51">
        <f>'Infos - Release Operacional'!W10*'Fluxo de Caixa dos Acionistas'!W$5/1000</f>
        <v>1578.33</v>
      </c>
      <c r="X10" s="51">
        <f>'Infos - Release Operacional'!X10*'Fluxo de Caixa dos Acionistas'!X$5/1000</f>
        <v>1525.3420000000001</v>
      </c>
      <c r="Y10" s="51">
        <f>'Infos - Release Operacional'!Y10*'Fluxo de Caixa dos Acionistas'!Y$5/1000</f>
        <v>1499.7840000000001</v>
      </c>
      <c r="Z10" s="51">
        <f>'Infos - Release Operacional'!Z10*'Fluxo de Caixa dos Acionistas'!Z$5/1000</f>
        <v>1346.328</v>
      </c>
      <c r="AA10" s="48">
        <f>'Infos - Release Operacional'!AA10*'Fluxo de Caixa dos Acionistas'!AA$5/1000</f>
        <v>5952.6937500000004</v>
      </c>
      <c r="AB10" s="51">
        <f>'Infos - Release Operacional'!AB10*'Fluxo de Caixa dos Acionistas'!AB$5/1000</f>
        <v>1122.75</v>
      </c>
      <c r="AC10" s="51">
        <f>'Infos - Release Operacional'!AC10*'Fluxo de Caixa dos Acionistas'!AC$5/1000</f>
        <v>1603.1469999999999</v>
      </c>
      <c r="AD10" s="51">
        <f>'Infos - Release Operacional'!AD10*'Fluxo de Caixa dos Acionistas'!AD$5/1000</f>
        <v>1486.1679999999999</v>
      </c>
      <c r="AE10" s="51">
        <f>'Infos - Release Operacional'!AE10*'Fluxo de Caixa dos Acionistas'!AE$5/1000</f>
        <v>1522.7840000000001</v>
      </c>
      <c r="AF10" s="48">
        <f>'Infos - Release Operacional'!AF10*'Fluxo de Caixa dos Acionistas'!AF$5/1000</f>
        <v>5730.3175000000001</v>
      </c>
      <c r="AG10" s="196">
        <f ca="1">SUMIFS(INDIRECT("'"&amp;$A10&amp;$B$3&amp;"'!"&amp;"$G:$G"),INDIRECT("'"&amp;$A10&amp;$B$3&amp;"'!"&amp;"$A:$A"),'Receita Líquida - O&amp;G'!AG$1)</f>
        <v>5842</v>
      </c>
      <c r="AH10" s="196">
        <f ca="1">SUMIFS(INDIRECT("'"&amp;$A10&amp;$B$3&amp;"'!"&amp;"$G:$G"),INDIRECT("'"&amp;$A10&amp;$B$3&amp;"'!"&amp;"$A:$A"),'Receita Líquida - O&amp;G'!AH$1)</f>
        <v>6560</v>
      </c>
      <c r="AI10" s="196">
        <f ca="1">SUMIFS(INDIRECT("'"&amp;$A10&amp;$B$3&amp;"'!"&amp;"$G:$G"),INDIRECT("'"&amp;$A10&amp;$B$3&amp;"'!"&amp;"$A:$A"),'Receita Líquida - O&amp;G'!AI$1)</f>
        <v>6471</v>
      </c>
      <c r="AJ10" s="196">
        <f ca="1">SUMIFS(INDIRECT("'"&amp;$A10&amp;$B$3&amp;"'!"&amp;"$G:$G"),INDIRECT("'"&amp;$A10&amp;$B$3&amp;"'!"&amp;"$A:$A"),'Receita Líquida - O&amp;G'!AJ$1)</f>
        <v>6274</v>
      </c>
      <c r="AK10" s="196">
        <f ca="1">SUMIFS(INDIRECT("'"&amp;$A10&amp;$B$3&amp;"'!"&amp;"$G:$G"),INDIRECT("'"&amp;$A10&amp;$B$3&amp;"'!"&amp;"$A:$A"),'Receita Líquida - O&amp;G'!AK$1)</f>
        <v>5606</v>
      </c>
      <c r="AL10" s="196">
        <f ca="1">SUMIFS(INDIRECT("'"&amp;$A10&amp;$B$3&amp;"'!"&amp;"$G:$G"),INDIRECT("'"&amp;$A10&amp;$B$3&amp;"'!"&amp;"$A:$A"),'Receita Líquida - O&amp;G'!AL$1)</f>
        <v>4983</v>
      </c>
      <c r="AM10" s="196">
        <f ca="1">SUMIFS(INDIRECT("'"&amp;$A10&amp;$B$3&amp;"'!"&amp;"$G:$G"),INDIRECT("'"&amp;$A10&amp;$B$3&amp;"'!"&amp;"$A:$A"),'Receita Líquida - O&amp;G'!AM$1)</f>
        <v>4466</v>
      </c>
      <c r="AN10" s="196">
        <f ca="1">SUMIFS(INDIRECT("'"&amp;$A10&amp;$B$3&amp;"'!"&amp;"$G:$G"),INDIRECT("'"&amp;$A10&amp;$B$3&amp;"'!"&amp;"$A:$A"),'Receita Líquida - O&amp;G'!AN$1)</f>
        <v>3990</v>
      </c>
      <c r="AO10" s="196">
        <f ca="1">SUMIFS(INDIRECT("'"&amp;$A10&amp;$B$3&amp;"'!"&amp;"$G:$G"),INDIRECT("'"&amp;$A10&amp;$B$3&amp;"'!"&amp;"$A:$A"),'Receita Líquida - O&amp;G'!AO$1)</f>
        <v>3590</v>
      </c>
      <c r="AP10" s="196">
        <f ca="1">SUMIFS(INDIRECT("'"&amp;$A10&amp;$B$3&amp;"'!"&amp;"$G:$G"),INDIRECT("'"&amp;$A10&amp;$B$3&amp;"'!"&amp;"$A:$A"),'Receita Líquida - O&amp;G'!AP$1)</f>
        <v>3208</v>
      </c>
      <c r="AQ10" s="196">
        <f ca="1">SUMIFS(INDIRECT("'"&amp;$A10&amp;$B$3&amp;"'!"&amp;"$G:$G"),INDIRECT("'"&amp;$A10&amp;$B$3&amp;"'!"&amp;"$A:$A"),'Receita Líquida - O&amp;G'!AQ$1)</f>
        <v>2896</v>
      </c>
      <c r="AR10" s="196">
        <f ca="1">SUMIFS(INDIRECT("'"&amp;$A10&amp;$B$3&amp;"'!"&amp;"$G:$G"),INDIRECT("'"&amp;$A10&amp;$B$3&amp;"'!"&amp;"$A:$A"),'Receita Líquida - O&amp;G'!AR$1)</f>
        <v>2603</v>
      </c>
      <c r="AS10" s="196">
        <f ca="1">SUMIFS(INDIRECT("'"&amp;$A10&amp;$B$3&amp;"'!"&amp;"$G:$G"),INDIRECT("'"&amp;$A10&amp;$B$3&amp;"'!"&amp;"$A:$A"),'Receita Líquida - O&amp;G'!AS$1)</f>
        <v>2352</v>
      </c>
      <c r="AT10" s="196">
        <f ca="1">SUMIFS(INDIRECT("'"&amp;$A10&amp;$B$3&amp;"'!"&amp;"$G:$G"),INDIRECT("'"&amp;$A10&amp;$B$3&amp;"'!"&amp;"$A:$A"),'Receita Líquida - O&amp;G'!AT$1)</f>
        <v>2120</v>
      </c>
      <c r="AU10" s="196">
        <f ca="1">SUMIFS(INDIRECT("'"&amp;$A10&amp;$B$3&amp;"'!"&amp;"$G:$G"),INDIRECT("'"&amp;$A10&amp;$B$3&amp;"'!"&amp;"$A:$A"),'Receita Líquida - O&amp;G'!AU$1)</f>
        <v>1907</v>
      </c>
      <c r="AV10" s="196">
        <f ca="1">SUMIFS(INDIRECT("'"&amp;$A10&amp;$B$3&amp;"'!"&amp;"$G:$G"),INDIRECT("'"&amp;$A10&amp;$B$3&amp;"'!"&amp;"$A:$A"),'Receita Líquida - O&amp;G'!AV$1)</f>
        <v>1731</v>
      </c>
      <c r="AW10" s="196">
        <f ca="1">SUMIFS(INDIRECT("'"&amp;$A10&amp;$B$3&amp;"'!"&amp;"$G:$G"),INDIRECT("'"&amp;$A10&amp;$B$3&amp;"'!"&amp;"$A:$A"),'Receita Líquida - O&amp;G'!AW$1)</f>
        <v>0</v>
      </c>
      <c r="AX10" s="196">
        <f ca="1">SUMIFS(INDIRECT("'"&amp;$A10&amp;$B$3&amp;"'!"&amp;"$G:$G"),INDIRECT("'"&amp;$A10&amp;$B$3&amp;"'!"&amp;"$A:$A"),'Receita Líquida - O&amp;G'!AX$1)</f>
        <v>0</v>
      </c>
      <c r="AY10" s="196">
        <f ca="1">SUMIFS(INDIRECT("'"&amp;$A10&amp;$B$3&amp;"'!"&amp;"$G:$G"),INDIRECT("'"&amp;$A10&amp;$B$3&amp;"'!"&amp;"$A:$A"),'Receita Líquida - O&amp;G'!AY$1)</f>
        <v>0</v>
      </c>
      <c r="AZ10" s="196">
        <f ca="1">SUMIFS(INDIRECT("'"&amp;$A10&amp;$B$3&amp;"'!"&amp;"$G:$G"),INDIRECT("'"&amp;$A10&amp;$B$3&amp;"'!"&amp;"$A:$A"),'Receita Líquida - O&amp;G'!AZ$1)</f>
        <v>0</v>
      </c>
      <c r="BA10" s="196">
        <f ca="1">SUMIFS(INDIRECT("'"&amp;$A10&amp;$B$3&amp;"'!"&amp;"$G:$G"),INDIRECT("'"&amp;$A10&amp;$B$3&amp;"'!"&amp;"$A:$A"),'Receita Líquida - O&amp;G'!BA$1)</f>
        <v>0</v>
      </c>
      <c r="BB10" s="196">
        <f ca="1">SUMIFS(INDIRECT("'"&amp;$A10&amp;$B$3&amp;"'!"&amp;"$G:$G"),INDIRECT("'"&amp;$A10&amp;$B$3&amp;"'!"&amp;"$A:$A"),'Receita Líquida - O&amp;G'!BB$1)</f>
        <v>0</v>
      </c>
      <c r="BC10" s="196">
        <f ca="1">SUMIFS(INDIRECT("'"&amp;$A10&amp;$B$3&amp;"'!"&amp;"$G:$G"),INDIRECT("'"&amp;$A10&amp;$B$3&amp;"'!"&amp;"$A:$A"),'Receita Líquida - O&amp;G'!BC$1)</f>
        <v>0</v>
      </c>
      <c r="BD10" s="196">
        <f ca="1">SUMIFS(INDIRECT("'"&amp;$A10&amp;$B$3&amp;"'!"&amp;"$G:$G"),INDIRECT("'"&amp;$A10&amp;$B$3&amp;"'!"&amp;"$A:$A"),'Receita Líquida - O&amp;G'!BD$1)</f>
        <v>0</v>
      </c>
      <c r="BE10" s="196">
        <f ca="1">SUMIFS(INDIRECT("'"&amp;$A10&amp;$B$3&amp;"'!"&amp;"$G:$G"),INDIRECT("'"&amp;$A10&amp;$B$3&amp;"'!"&amp;"$A:$A"),'Receita Líquida - O&amp;G'!BE$1)</f>
        <v>0</v>
      </c>
      <c r="BF10" s="196">
        <f ca="1">SUMIFS(INDIRECT("'"&amp;$A10&amp;$B$3&amp;"'!"&amp;"$G:$G"),INDIRECT("'"&amp;$A10&amp;$B$3&amp;"'!"&amp;"$A:$A"),'Receita Líquida - O&amp;G'!BF$1)</f>
        <v>0</v>
      </c>
      <c r="BG10" s="196">
        <f ca="1">SUMIFS(INDIRECT("'"&amp;$A10&amp;$B$3&amp;"'!"&amp;"$G:$G"),INDIRECT("'"&amp;$A10&amp;$B$3&amp;"'!"&amp;"$A:$A"),'Receita Líquida - O&amp;G'!BG$1)</f>
        <v>0</v>
      </c>
      <c r="BH10" s="196">
        <f ca="1">SUMIFS(INDIRECT("'"&amp;$A10&amp;$B$3&amp;"'!"&amp;"$G:$G"),INDIRECT("'"&amp;$A10&amp;$B$3&amp;"'!"&amp;"$A:$A"),'Receita Líquida - O&amp;G'!BH$1)</f>
        <v>0</v>
      </c>
      <c r="BI10" s="196">
        <f ca="1">SUMIFS(INDIRECT("'"&amp;$A10&amp;$B$3&amp;"'!"&amp;"$G:$G"),INDIRECT("'"&amp;$A10&amp;$B$3&amp;"'!"&amp;"$A:$A"),'Receita Líquida - O&amp;G'!BI$1)</f>
        <v>0</v>
      </c>
      <c r="BJ10" s="196">
        <f ca="1">SUMIFS(INDIRECT("'"&amp;$A10&amp;$B$3&amp;"'!"&amp;"$G:$G"),INDIRECT("'"&amp;$A10&amp;$B$3&amp;"'!"&amp;"$A:$A"),'Receita Líquida - O&amp;G'!BJ$1)</f>
        <v>0</v>
      </c>
      <c r="BK10" s="196">
        <f ca="1">SUMIFS(INDIRECT("'"&amp;$A10&amp;$B$3&amp;"'!"&amp;"$G:$G"),INDIRECT("'"&amp;$A10&amp;$B$3&amp;"'!"&amp;"$A:$A"),'Receita Líquida - O&amp;G'!BK$1)</f>
        <v>0</v>
      </c>
      <c r="BL10" s="196">
        <f ca="1">SUMIFS(INDIRECT("'"&amp;$A10&amp;$B$3&amp;"'!"&amp;"$G:$G"),INDIRECT("'"&amp;$A10&amp;$B$3&amp;"'!"&amp;"$A:$A"),'Receita Líquida - O&amp;G'!BL$1)</f>
        <v>0</v>
      </c>
      <c r="BM10" s="196">
        <f ca="1">SUMIFS(INDIRECT("'"&amp;$A10&amp;$B$3&amp;"'!"&amp;"$G:$G"),INDIRECT("'"&amp;$A10&amp;$B$3&amp;"'!"&amp;"$A:$A"),'Receita Líquida - O&amp;G'!BM$1)</f>
        <v>0</v>
      </c>
      <c r="BN10" s="196">
        <f ca="1">SUMIFS(INDIRECT("'"&amp;$A10&amp;$B$3&amp;"'!"&amp;"$G:$G"),INDIRECT("'"&amp;$A10&amp;$B$3&amp;"'!"&amp;"$A:$A"),'Receita Líquida - O&amp;G'!BN$1)</f>
        <v>0</v>
      </c>
      <c r="BO10" s="196">
        <f ca="1">SUMIFS(INDIRECT("'"&amp;$A10&amp;$B$3&amp;"'!"&amp;"$G:$G"),INDIRECT("'"&amp;$A10&amp;$B$3&amp;"'!"&amp;"$A:$A"),'Receita Líquida - O&amp;G'!BO$1)</f>
        <v>0</v>
      </c>
      <c r="BP10" s="196">
        <f ca="1">SUMIFS(INDIRECT("'"&amp;$A10&amp;$B$3&amp;"'!"&amp;"$G:$G"),INDIRECT("'"&amp;$A10&amp;$B$3&amp;"'!"&amp;"$A:$A"),'Receita Líquida - O&amp;G'!BP$1)</f>
        <v>0</v>
      </c>
      <c r="BQ10" s="196">
        <f ca="1">SUMIFS(INDIRECT("'"&amp;$A10&amp;$B$3&amp;"'!"&amp;"$G:$G"),INDIRECT("'"&amp;$A10&amp;$B$3&amp;"'!"&amp;"$A:$A"),'Receita Líquida - O&amp;G'!BQ$1)</f>
        <v>0</v>
      </c>
      <c r="BR10" s="196">
        <f ca="1">SUMIFS(INDIRECT("'"&amp;$A10&amp;$B$3&amp;"'!"&amp;"$G:$G"),INDIRECT("'"&amp;$A10&amp;$B$3&amp;"'!"&amp;"$A:$A"),'Receita Líquida - O&amp;G'!BR$1)</f>
        <v>0</v>
      </c>
      <c r="BS10" s="196">
        <f ca="1">SUMIFS(INDIRECT("'"&amp;$A10&amp;$B$3&amp;"'!"&amp;"$G:$G"),INDIRECT("'"&amp;$A10&amp;$B$3&amp;"'!"&amp;"$A:$A"),'Receita Líquida - O&amp;G'!BS$1)</f>
        <v>0</v>
      </c>
      <c r="BT10" s="196">
        <f ca="1">SUMIFS(INDIRECT("'"&amp;$A10&amp;$B$3&amp;"'!"&amp;"$G:$G"),INDIRECT("'"&amp;$A10&amp;$B$3&amp;"'!"&amp;"$A:$A"),'Receita Líquida - O&amp;G'!BT$1)</f>
        <v>0</v>
      </c>
      <c r="BU10" s="196">
        <f ca="1">SUMIFS(INDIRECT("'"&amp;$A10&amp;$B$3&amp;"'!"&amp;"$G:$G"),INDIRECT("'"&amp;$A10&amp;$B$3&amp;"'!"&amp;"$A:$A"),'Receita Líquida - O&amp;G'!BU$1)</f>
        <v>0</v>
      </c>
      <c r="BV10" s="196">
        <f ca="1">SUMIFS(INDIRECT("'"&amp;$A10&amp;$B$3&amp;"'!"&amp;"$G:$G"),INDIRECT("'"&amp;$A10&amp;$B$3&amp;"'!"&amp;"$A:$A"),'Receita Líquida - O&amp;G'!BV$1)</f>
        <v>0</v>
      </c>
      <c r="BW10" s="196">
        <f ca="1">SUMIFS(INDIRECT("'"&amp;$A10&amp;$B$3&amp;"'!"&amp;"$G:$G"),INDIRECT("'"&amp;$A10&amp;$B$3&amp;"'!"&amp;"$A:$A"),'Receita Líquida - O&amp;G'!BW$1)</f>
        <v>0</v>
      </c>
    </row>
    <row r="11" spans="1:75" x14ac:dyDescent="0.3">
      <c r="A11" s="5" t="s">
        <v>66</v>
      </c>
      <c r="B11" s="4"/>
      <c r="C11" s="51">
        <f>'Infos - Release Operacional'!C9*'Fluxo de Caixa dos Acionistas'!C$5/1000</f>
        <v>0</v>
      </c>
      <c r="D11" s="51">
        <f>'Infos - Release Operacional'!D9*'Fluxo de Caixa dos Acionistas'!D$5/1000</f>
        <v>0</v>
      </c>
      <c r="E11" s="51">
        <f>'Infos - Release Operacional'!E9*'Fluxo de Caixa dos Acionistas'!E$5/1000</f>
        <v>0</v>
      </c>
      <c r="F11" s="51">
        <f>'Infos - Release Operacional'!F9*'Fluxo de Caixa dos Acionistas'!F$5/1000</f>
        <v>0</v>
      </c>
      <c r="G11" s="51">
        <f>'Infos - Release Operacional'!G9*'Fluxo de Caixa dos Acionistas'!G$5/1000</f>
        <v>0</v>
      </c>
      <c r="H11" s="51">
        <f>'Infos - Release Operacional'!H9*'Fluxo de Caixa dos Acionistas'!H$5/1000</f>
        <v>0</v>
      </c>
      <c r="I11" s="51">
        <f>'Infos - Release Operacional'!I9*'Fluxo de Caixa dos Acionistas'!I$5/1000</f>
        <v>0</v>
      </c>
      <c r="J11" s="51">
        <f>'Infos - Release Operacional'!J9*'Fluxo de Caixa dos Acionistas'!J$5/1000</f>
        <v>0</v>
      </c>
      <c r="K11" s="51">
        <f>'Infos - Release Operacional'!K9*'Fluxo de Caixa dos Acionistas'!K$5/1000</f>
        <v>0</v>
      </c>
      <c r="L11" s="48">
        <f>'Infos - Release Operacional'!L9*'Fluxo de Caixa dos Acionistas'!L$5/1000</f>
        <v>0</v>
      </c>
      <c r="M11" s="51">
        <f>'Infos - Release Operacional'!M9*'Fluxo de Caixa dos Acionistas'!M$5/1000</f>
        <v>0</v>
      </c>
      <c r="N11" s="51">
        <f>'Infos - Release Operacional'!N9*'Fluxo de Caixa dos Acionistas'!N$5/1000</f>
        <v>0</v>
      </c>
      <c r="O11" s="51">
        <f>'Infos - Release Operacional'!O9*'Fluxo de Caixa dos Acionistas'!O$5/1000</f>
        <v>0</v>
      </c>
      <c r="P11" s="51">
        <f>'Infos - Release Operacional'!P9*'Fluxo de Caixa dos Acionistas'!P$5/1000</f>
        <v>0</v>
      </c>
      <c r="Q11" s="48">
        <f>'Infos - Release Operacional'!Q9*'Fluxo de Caixa dos Acionistas'!Q$5/1000</f>
        <v>0</v>
      </c>
      <c r="R11" s="51">
        <f>'Infos - Release Operacional'!R9*'Fluxo de Caixa dos Acionistas'!R$5/1000</f>
        <v>0</v>
      </c>
      <c r="S11" s="51">
        <f>'Infos - Release Operacional'!S9*'Fluxo de Caixa dos Acionistas'!S$5/1000</f>
        <v>0</v>
      </c>
      <c r="T11" s="51">
        <f>'Infos - Release Operacional'!T9*'Fluxo de Caixa dos Acionistas'!T$5/1000</f>
        <v>0</v>
      </c>
      <c r="U11" s="51">
        <f>'Infos - Release Operacional'!U9*'Fluxo de Caixa dos Acionistas'!U$5/1000</f>
        <v>0</v>
      </c>
      <c r="V11" s="48">
        <f>'Infos - Release Operacional'!V9*'Fluxo de Caixa dos Acionistas'!V$5/1000</f>
        <v>0</v>
      </c>
      <c r="W11" s="51">
        <f>'Infos - Release Operacional'!W9*'Fluxo de Caixa dos Acionistas'!W$5/1000</f>
        <v>0</v>
      </c>
      <c r="X11" s="51">
        <f>'Infos - Release Operacional'!X9*'Fluxo de Caixa dos Acionistas'!X$5/1000</f>
        <v>0</v>
      </c>
      <c r="Y11" s="51">
        <f>'Infos - Release Operacional'!Y9*'Fluxo de Caixa dos Acionistas'!Y$5/1000</f>
        <v>0</v>
      </c>
      <c r="Z11" s="51">
        <f>'Infos - Release Operacional'!Z9*'Fluxo de Caixa dos Acionistas'!Z$5/1000</f>
        <v>0</v>
      </c>
      <c r="AA11" s="48">
        <f>'Infos - Release Operacional'!AA9*'Fluxo de Caixa dos Acionistas'!AA$5/1000</f>
        <v>0</v>
      </c>
      <c r="AB11" s="51">
        <f>'Infos - Release Operacional'!AB9*'Fluxo de Caixa dos Acionistas'!AB$5/1000</f>
        <v>1325.79</v>
      </c>
      <c r="AC11" s="51">
        <f>'Infos - Release Operacional'!AC9*'Fluxo de Caixa dos Acionistas'!AC$5/1000</f>
        <v>2061.241</v>
      </c>
      <c r="AD11" s="51">
        <f>'Infos - Release Operacional'!AD9*'Fluxo de Caixa dos Acionistas'!AD$5/1000</f>
        <v>2494.3960000000002</v>
      </c>
      <c r="AE11" s="51">
        <f>'Infos - Release Operacional'!AE9*'Fluxo de Caixa dos Acionistas'!AE$5/1000</f>
        <v>2613.904</v>
      </c>
      <c r="AF11" s="48">
        <f>'Infos - Release Operacional'!AF9*'Fluxo de Caixa dos Acionistas'!AF$5/1000</f>
        <v>8477.7637500000001</v>
      </c>
      <c r="AG11" s="196">
        <f ca="1">SUMIFS(INDIRECT("'"&amp;$A11&amp;$B$3&amp;"'!"&amp;"$G:$G"),INDIRECT("'"&amp;$A11&amp;$B$3&amp;"'!"&amp;"$A:$A"),'Receita Líquida - O&amp;G'!AG$1)</f>
        <v>12152</v>
      </c>
      <c r="AH11" s="196">
        <f ca="1">SUMIFS(INDIRECT("'"&amp;$A11&amp;$B$3&amp;"'!"&amp;"$G:$G"),INDIRECT("'"&amp;$A11&amp;$B$3&amp;"'!"&amp;"$A:$A"),'Receita Líquida - O&amp;G'!AH$1)</f>
        <v>19285</v>
      </c>
      <c r="AI11" s="196">
        <f ca="1">SUMIFS(INDIRECT("'"&amp;$A11&amp;$B$3&amp;"'!"&amp;"$G:$G"),INDIRECT("'"&amp;$A11&amp;$B$3&amp;"'!"&amp;"$A:$A"),'Receita Líquida - O&amp;G'!AI$1)</f>
        <v>25622</v>
      </c>
      <c r="AJ11" s="196">
        <f ca="1">SUMIFS(INDIRECT("'"&amp;$A11&amp;$B$3&amp;"'!"&amp;"$G:$G"),INDIRECT("'"&amp;$A11&amp;$B$3&amp;"'!"&amp;"$A:$A"),'Receita Líquida - O&amp;G'!AJ$1)</f>
        <v>31100</v>
      </c>
      <c r="AK11" s="196">
        <f ca="1">SUMIFS(INDIRECT("'"&amp;$A11&amp;$B$3&amp;"'!"&amp;"$G:$G"),INDIRECT("'"&amp;$A11&amp;$B$3&amp;"'!"&amp;"$A:$A"),'Receita Líquida - O&amp;G'!AK$1)</f>
        <v>32732</v>
      </c>
      <c r="AL11" s="196">
        <f ca="1">SUMIFS(INDIRECT("'"&amp;$A11&amp;$B$3&amp;"'!"&amp;"$G:$G"),INDIRECT("'"&amp;$A11&amp;$B$3&amp;"'!"&amp;"$A:$A"),'Receita Líquida - O&amp;G'!AL$1)</f>
        <v>36603</v>
      </c>
      <c r="AM11" s="196">
        <f ca="1">SUMIFS(INDIRECT("'"&amp;$A11&amp;$B$3&amp;"'!"&amp;"$G:$G"),INDIRECT("'"&amp;$A11&amp;$B$3&amp;"'!"&amp;"$A:$A"),'Receita Líquida - O&amp;G'!AM$1)</f>
        <v>34837</v>
      </c>
      <c r="AN11" s="196">
        <f ca="1">SUMIFS(INDIRECT("'"&amp;$A11&amp;$B$3&amp;"'!"&amp;"$G:$G"),INDIRECT("'"&amp;$A11&amp;$B$3&amp;"'!"&amp;"$A:$A"),'Receita Líquida - O&amp;G'!AN$1)</f>
        <v>29559</v>
      </c>
      <c r="AO11" s="196">
        <f ca="1">SUMIFS(INDIRECT("'"&amp;$A11&amp;$B$3&amp;"'!"&amp;"$G:$G"),INDIRECT("'"&amp;$A11&amp;$B$3&amp;"'!"&amp;"$A:$A"),'Receita Líquida - O&amp;G'!AO$1)</f>
        <v>25246</v>
      </c>
      <c r="AP11" s="196">
        <f ca="1">SUMIFS(INDIRECT("'"&amp;$A11&amp;$B$3&amp;"'!"&amp;"$G:$G"),INDIRECT("'"&amp;$A11&amp;$B$3&amp;"'!"&amp;"$A:$A"),'Receita Líquida - O&amp;G'!AP$1)</f>
        <v>21518</v>
      </c>
      <c r="AQ11" s="196">
        <f ca="1">SUMIFS(INDIRECT("'"&amp;$A11&amp;$B$3&amp;"'!"&amp;"$G:$G"),INDIRECT("'"&amp;$A11&amp;$B$3&amp;"'!"&amp;"$A:$A"),'Receita Líquida - O&amp;G'!AQ$1)</f>
        <v>18419</v>
      </c>
      <c r="AR11" s="196">
        <f ca="1">SUMIFS(INDIRECT("'"&amp;$A11&amp;$B$3&amp;"'!"&amp;"$G:$G"),INDIRECT("'"&amp;$A11&amp;$B$3&amp;"'!"&amp;"$A:$A"),'Receita Líquida - O&amp;G'!AR$1)</f>
        <v>15635</v>
      </c>
      <c r="AS11" s="196">
        <f ca="1">SUMIFS(INDIRECT("'"&amp;$A11&amp;$B$3&amp;"'!"&amp;"$G:$G"),INDIRECT("'"&amp;$A11&amp;$B$3&amp;"'!"&amp;"$A:$A"),'Receita Líquida - O&amp;G'!AS$1)</f>
        <v>13398</v>
      </c>
      <c r="AT11" s="196">
        <f ca="1">SUMIFS(INDIRECT("'"&amp;$A11&amp;$B$3&amp;"'!"&amp;"$G:$G"),INDIRECT("'"&amp;$A11&amp;$B$3&amp;"'!"&amp;"$A:$A"),'Receita Líquida - O&amp;G'!AT$1)</f>
        <v>11439</v>
      </c>
      <c r="AU11" s="196">
        <f ca="1">SUMIFS(INDIRECT("'"&amp;$A11&amp;$B$3&amp;"'!"&amp;"$G:$G"),INDIRECT("'"&amp;$A11&amp;$B$3&amp;"'!"&amp;"$A:$A"),'Receita Líquida - O&amp;G'!AU$1)</f>
        <v>10012</v>
      </c>
      <c r="AV11" s="196">
        <f ca="1">SUMIFS(INDIRECT("'"&amp;$A11&amp;$B$3&amp;"'!"&amp;"$G:$G"),INDIRECT("'"&amp;$A11&amp;$B$3&amp;"'!"&amp;"$A:$A"),'Receita Líquida - O&amp;G'!AV$1)</f>
        <v>8857</v>
      </c>
      <c r="AW11" s="196">
        <f ca="1">SUMIFS(INDIRECT("'"&amp;$A11&amp;$B$3&amp;"'!"&amp;"$G:$G"),INDIRECT("'"&amp;$A11&amp;$B$3&amp;"'!"&amp;"$A:$A"),'Receita Líquida - O&amp;G'!AW$1)</f>
        <v>7778</v>
      </c>
      <c r="AX11" s="196">
        <f ca="1">SUMIFS(INDIRECT("'"&amp;$A11&amp;$B$3&amp;"'!"&amp;"$G:$G"),INDIRECT("'"&amp;$A11&amp;$B$3&amp;"'!"&amp;"$A:$A"),'Receita Líquida - O&amp;G'!AX$1)</f>
        <v>6687</v>
      </c>
      <c r="AY11" s="196">
        <f ca="1">SUMIFS(INDIRECT("'"&amp;$A11&amp;$B$3&amp;"'!"&amp;"$G:$G"),INDIRECT("'"&amp;$A11&amp;$B$3&amp;"'!"&amp;"$A:$A"),'Receita Líquida - O&amp;G'!AY$1)</f>
        <v>5743</v>
      </c>
      <c r="AZ11" s="196">
        <f ca="1">SUMIFS(INDIRECT("'"&amp;$A11&amp;$B$3&amp;"'!"&amp;"$G:$G"),INDIRECT("'"&amp;$A11&amp;$B$3&amp;"'!"&amp;"$A:$A"),'Receita Líquida - O&amp;G'!AZ$1)</f>
        <v>4870</v>
      </c>
      <c r="BA11" s="196">
        <f ca="1">SUMIFS(INDIRECT("'"&amp;$A11&amp;$B$3&amp;"'!"&amp;"$G:$G"),INDIRECT("'"&amp;$A11&amp;$B$3&amp;"'!"&amp;"$A:$A"),'Receita Líquida - O&amp;G'!BA$1)</f>
        <v>4204</v>
      </c>
      <c r="BB11" s="196">
        <f ca="1">SUMIFS(INDIRECT("'"&amp;$A11&amp;$B$3&amp;"'!"&amp;"$G:$G"),INDIRECT("'"&amp;$A11&amp;$B$3&amp;"'!"&amp;"$A:$A"),'Receita Líquida - O&amp;G'!BB$1)</f>
        <v>3517</v>
      </c>
      <c r="BC11" s="196">
        <f ca="1">SUMIFS(INDIRECT("'"&amp;$A11&amp;$B$3&amp;"'!"&amp;"$G:$G"),INDIRECT("'"&amp;$A11&amp;$B$3&amp;"'!"&amp;"$A:$A"),'Receita Líquida - O&amp;G'!BC$1)</f>
        <v>3127</v>
      </c>
      <c r="BD11" s="196">
        <f ca="1">SUMIFS(INDIRECT("'"&amp;$A11&amp;$B$3&amp;"'!"&amp;"$G:$G"),INDIRECT("'"&amp;$A11&amp;$B$3&amp;"'!"&amp;"$A:$A"),'Receita Líquida - O&amp;G'!BD$1)</f>
        <v>2825</v>
      </c>
      <c r="BE11" s="196">
        <f ca="1">SUMIFS(INDIRECT("'"&amp;$A11&amp;$B$3&amp;"'!"&amp;"$G:$G"),INDIRECT("'"&amp;$A11&amp;$B$3&amp;"'!"&amp;"$A:$A"),'Receita Líquida - O&amp;G'!BE$1)</f>
        <v>2569</v>
      </c>
      <c r="BF11" s="196">
        <f ca="1">SUMIFS(INDIRECT("'"&amp;$A11&amp;$B$3&amp;"'!"&amp;"$G:$G"),INDIRECT("'"&amp;$A11&amp;$B$3&amp;"'!"&amp;"$A:$A"),'Receita Líquida - O&amp;G'!BF$1)</f>
        <v>2117</v>
      </c>
      <c r="BG11" s="196">
        <f ca="1">SUMIFS(INDIRECT("'"&amp;$A11&amp;$B$3&amp;"'!"&amp;"$G:$G"),INDIRECT("'"&amp;$A11&amp;$B$3&amp;"'!"&amp;"$A:$A"),'Receita Líquida - O&amp;G'!BG$1)</f>
        <v>1871</v>
      </c>
      <c r="BH11" s="196">
        <f ca="1">SUMIFS(INDIRECT("'"&amp;$A11&amp;$B$3&amp;"'!"&amp;"$G:$G"),INDIRECT("'"&amp;$A11&amp;$B$3&amp;"'!"&amp;"$A:$A"),'Receita Líquida - O&amp;G'!BH$1)</f>
        <v>1723</v>
      </c>
      <c r="BI11" s="196">
        <f ca="1">SUMIFS(INDIRECT("'"&amp;$A11&amp;$B$3&amp;"'!"&amp;"$G:$G"),INDIRECT("'"&amp;$A11&amp;$B$3&amp;"'!"&amp;"$A:$A"),'Receita Líquida - O&amp;G'!BI$1)</f>
        <v>977</v>
      </c>
      <c r="BJ11" s="196">
        <f ca="1">SUMIFS(INDIRECT("'"&amp;$A11&amp;$B$3&amp;"'!"&amp;"$G:$G"),INDIRECT("'"&amp;$A11&amp;$B$3&amp;"'!"&amp;"$A:$A"),'Receita Líquida - O&amp;G'!BJ$1)</f>
        <v>0</v>
      </c>
      <c r="BK11" s="196">
        <f ca="1">SUMIFS(INDIRECT("'"&amp;$A11&amp;$B$3&amp;"'!"&amp;"$G:$G"),INDIRECT("'"&amp;$A11&amp;$B$3&amp;"'!"&amp;"$A:$A"),'Receita Líquida - O&amp;G'!BK$1)</f>
        <v>0</v>
      </c>
      <c r="BL11" s="196">
        <f ca="1">SUMIFS(INDIRECT("'"&amp;$A11&amp;$B$3&amp;"'!"&amp;"$G:$G"),INDIRECT("'"&amp;$A11&amp;$B$3&amp;"'!"&amp;"$A:$A"),'Receita Líquida - O&amp;G'!BL$1)</f>
        <v>0</v>
      </c>
      <c r="BM11" s="196">
        <f ca="1">SUMIFS(INDIRECT("'"&amp;$A11&amp;$B$3&amp;"'!"&amp;"$G:$G"),INDIRECT("'"&amp;$A11&amp;$B$3&amp;"'!"&amp;"$A:$A"),'Receita Líquida - O&amp;G'!BM$1)</f>
        <v>0</v>
      </c>
      <c r="BN11" s="196">
        <f ca="1">SUMIFS(INDIRECT("'"&amp;$A11&amp;$B$3&amp;"'!"&amp;"$G:$G"),INDIRECT("'"&amp;$A11&amp;$B$3&amp;"'!"&amp;"$A:$A"),'Receita Líquida - O&amp;G'!BN$1)</f>
        <v>0</v>
      </c>
      <c r="BO11" s="196">
        <f ca="1">SUMIFS(INDIRECT("'"&amp;$A11&amp;$B$3&amp;"'!"&amp;"$G:$G"),INDIRECT("'"&amp;$A11&amp;$B$3&amp;"'!"&amp;"$A:$A"),'Receita Líquida - O&amp;G'!BO$1)</f>
        <v>0</v>
      </c>
      <c r="BP11" s="196">
        <f ca="1">SUMIFS(INDIRECT("'"&amp;$A11&amp;$B$3&amp;"'!"&amp;"$G:$G"),INDIRECT("'"&amp;$A11&amp;$B$3&amp;"'!"&amp;"$A:$A"),'Receita Líquida - O&amp;G'!BP$1)</f>
        <v>0</v>
      </c>
      <c r="BQ11" s="196">
        <f ca="1">SUMIFS(INDIRECT("'"&amp;$A11&amp;$B$3&amp;"'!"&amp;"$G:$G"),INDIRECT("'"&amp;$A11&amp;$B$3&amp;"'!"&amp;"$A:$A"),'Receita Líquida - O&amp;G'!BQ$1)</f>
        <v>0</v>
      </c>
      <c r="BR11" s="196">
        <f ca="1">SUMIFS(INDIRECT("'"&amp;$A11&amp;$B$3&amp;"'!"&amp;"$G:$G"),INDIRECT("'"&amp;$A11&amp;$B$3&amp;"'!"&amp;"$A:$A"),'Receita Líquida - O&amp;G'!BR$1)</f>
        <v>0</v>
      </c>
      <c r="BS11" s="196">
        <f ca="1">SUMIFS(INDIRECT("'"&amp;$A11&amp;$B$3&amp;"'!"&amp;"$G:$G"),INDIRECT("'"&amp;$A11&amp;$B$3&amp;"'!"&amp;"$A:$A"),'Receita Líquida - O&amp;G'!BS$1)</f>
        <v>0</v>
      </c>
      <c r="BT11" s="196">
        <f ca="1">SUMIFS(INDIRECT("'"&amp;$A11&amp;$B$3&amp;"'!"&amp;"$G:$G"),INDIRECT("'"&amp;$A11&amp;$B$3&amp;"'!"&amp;"$A:$A"),'Receita Líquida - O&amp;G'!BT$1)</f>
        <v>0</v>
      </c>
      <c r="BU11" s="196">
        <f ca="1">SUMIFS(INDIRECT("'"&amp;$A11&amp;$B$3&amp;"'!"&amp;"$G:$G"),INDIRECT("'"&amp;$A11&amp;$B$3&amp;"'!"&amp;"$A:$A"),'Receita Líquida - O&amp;G'!BU$1)</f>
        <v>0</v>
      </c>
      <c r="BV11" s="196">
        <f ca="1">SUMIFS(INDIRECT("'"&amp;$A11&amp;$B$3&amp;"'!"&amp;"$G:$G"),INDIRECT("'"&amp;$A11&amp;$B$3&amp;"'!"&amp;"$A:$A"),'Receita Líquida - O&amp;G'!BV$1)</f>
        <v>0</v>
      </c>
      <c r="BW11" s="196">
        <f ca="1">SUMIFS(INDIRECT("'"&amp;$A11&amp;$B$3&amp;"'!"&amp;"$G:$G"),INDIRECT("'"&amp;$A11&amp;$B$3&amp;"'!"&amp;"$A:$A"),'Receita Líquida - O&amp;G'!BW$1)</f>
        <v>0</v>
      </c>
    </row>
    <row r="12" spans="1:75" x14ac:dyDescent="0.3">
      <c r="B12" s="4"/>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row>
    <row r="13" spans="1:75" x14ac:dyDescent="0.3">
      <c r="A13" s="4" t="s">
        <v>679</v>
      </c>
      <c r="B13" s="4"/>
      <c r="C13" s="72"/>
      <c r="D13" s="72"/>
      <c r="E13" s="72"/>
      <c r="F13" s="72"/>
      <c r="G13" s="72"/>
      <c r="H13" s="70">
        <f>'Infos - Release Operacional'!H14</f>
        <v>63.83</v>
      </c>
      <c r="I13" s="70">
        <f>'Infos - Release Operacional'!I14</f>
        <v>68.47</v>
      </c>
      <c r="J13" s="70">
        <f>'Infos - Release Operacional'!J14</f>
        <v>62.03</v>
      </c>
      <c r="K13" s="70">
        <f>'Infos - Release Operacional'!K14</f>
        <v>62.42</v>
      </c>
      <c r="L13" s="61">
        <f>'Infos - Release Operacional'!L14</f>
        <v>64.1875</v>
      </c>
      <c r="M13" s="70">
        <f>'Infos - Release Operacional'!M14</f>
        <v>50.44</v>
      </c>
      <c r="N13" s="70">
        <f>'Infos - Release Operacional'!N14</f>
        <v>33.39</v>
      </c>
      <c r="O13" s="70">
        <f>'Infos - Release Operacional'!O14</f>
        <v>43.34</v>
      </c>
      <c r="P13" s="70">
        <f>'Infos - Release Operacional'!P14</f>
        <v>45.26</v>
      </c>
      <c r="Q13" s="61">
        <f>'Infos - Release Operacional'!Q14</f>
        <v>43.107500000000002</v>
      </c>
      <c r="R13" s="70">
        <f>'Infos - Release Operacional'!R14</f>
        <v>61.32</v>
      </c>
      <c r="S13" s="70">
        <f>'Infos - Release Operacional'!S14</f>
        <v>69.08</v>
      </c>
      <c r="T13" s="70">
        <f>'Infos - Release Operacional'!T14</f>
        <v>73.23</v>
      </c>
      <c r="U13" s="70">
        <f>'Infos - Release Operacional'!U14</f>
        <v>79.66</v>
      </c>
      <c r="V13" s="61">
        <f>'Infos - Release Operacional'!V14</f>
        <v>70.822499999999991</v>
      </c>
      <c r="W13" s="70">
        <f>'Infos - Release Operacional'!W14</f>
        <v>97.9</v>
      </c>
      <c r="X13" s="70">
        <f>'Infos - Release Operacional'!X14</f>
        <v>111.7</v>
      </c>
      <c r="Y13" s="70">
        <f>'Infos - Release Operacional'!Y14</f>
        <v>97.7</v>
      </c>
      <c r="Z13" s="70">
        <f>'Infos - Release Operacional'!Z14</f>
        <v>88.63</v>
      </c>
      <c r="AA13" s="61">
        <f>'Infos - Release Operacional'!AA14</f>
        <v>98.982500000000002</v>
      </c>
      <c r="AB13" s="70">
        <f>'Infos - Release Operacional'!AB14</f>
        <v>82.16</v>
      </c>
      <c r="AC13" s="70">
        <f>'Infos - Release Operacional'!AC14</f>
        <v>77.73</v>
      </c>
      <c r="AD13" s="70">
        <f>'Infos - Release Operacional'!AD14</f>
        <v>85.92</v>
      </c>
      <c r="AE13" s="70">
        <f>'Infos - Release Operacional'!AE14</f>
        <v>82.86</v>
      </c>
      <c r="AF13" s="61">
        <f>'Infos - Release Operacional'!AF14</f>
        <v>82.167500000000004</v>
      </c>
      <c r="AG13" s="70">
        <f>AVERAGEIFS('Drivers Macroeconômico'!$B:$B,'Drivers Macroeconômico'!$D:$D,'Receita Líquida - O&amp;G'!AG$1)</f>
        <v>83.197777777777773</v>
      </c>
      <c r="AH13" s="70">
        <f>AVERAGEIFS('Drivers Macroeconômico'!$B:$B,'Drivers Macroeconômico'!$D:$D,'Receita Líquida - O&amp;G'!AH$1)</f>
        <v>77.808333333333323</v>
      </c>
      <c r="AI13" s="70">
        <f>AVERAGEIFS('Drivers Macroeconômico'!$B:$B,'Drivers Macroeconômico'!$D:$D,'Receita Líquida - O&amp;G'!AI$1)</f>
        <v>74.14</v>
      </c>
      <c r="AJ13" s="70">
        <f>AVERAGEIFS('Drivers Macroeconômico'!$B:$B,'Drivers Macroeconômico'!$D:$D,'Receita Líquida - O&amp;G'!AJ$1)</f>
        <v>71.798333333333332</v>
      </c>
      <c r="AK13" s="70">
        <f>AVERAGEIFS('Drivers Macroeconômico'!$B:$B,'Drivers Macroeconômico'!$D:$D,'Receita Líquida - O&amp;G'!AK$1)</f>
        <v>70.457499999999996</v>
      </c>
      <c r="AL13" s="70">
        <f>AVERAGEIFS('Drivers Macroeconômico'!$B:$B,'Drivers Macroeconômico'!$D:$D,'Receita Líquida - O&amp;G'!AL$1)</f>
        <v>69.947499999999991</v>
      </c>
      <c r="AM13" s="70">
        <f>AVERAGEIFS('Drivers Macroeconômico'!$B:$B,'Drivers Macroeconômico'!$D:$D,'Receita Líquida - O&amp;G'!AM$1)</f>
        <v>69.894999999999982</v>
      </c>
      <c r="AN13" s="70">
        <f>AVERAGEIFS('Drivers Macroeconômico'!$B:$B,'Drivers Macroeconômico'!$D:$D,'Receita Líquida - O&amp;G'!AN$1)</f>
        <v>69.92</v>
      </c>
      <c r="AO13" s="80">
        <f>AN13*(1+AO16)</f>
        <v>71.318399999999997</v>
      </c>
      <c r="AP13" s="80">
        <f t="shared" ref="AP13:BL13" si="5">AO13*(1+AP16)</f>
        <v>72.744767999999993</v>
      </c>
      <c r="AQ13" s="80">
        <f t="shared" si="5"/>
        <v>74.199663359999988</v>
      </c>
      <c r="AR13" s="80">
        <f t="shared" si="5"/>
        <v>75.683656627199994</v>
      </c>
      <c r="AS13" s="80">
        <f t="shared" si="5"/>
        <v>77.197329759743994</v>
      </c>
      <c r="AT13" s="80">
        <f t="shared" si="5"/>
        <v>78.741276354938876</v>
      </c>
      <c r="AU13" s="80">
        <f t="shared" si="5"/>
        <v>80.316101882037657</v>
      </c>
      <c r="AV13" s="80">
        <f t="shared" si="5"/>
        <v>81.922423919678408</v>
      </c>
      <c r="AW13" s="80">
        <f t="shared" si="5"/>
        <v>83.560872398071979</v>
      </c>
      <c r="AX13" s="80">
        <f t="shared" si="5"/>
        <v>85.232089846033418</v>
      </c>
      <c r="AY13" s="80">
        <f t="shared" si="5"/>
        <v>86.936731642954086</v>
      </c>
      <c r="AZ13" s="80">
        <f t="shared" si="5"/>
        <v>88.675466275813164</v>
      </c>
      <c r="BA13" s="80">
        <f t="shared" si="5"/>
        <v>90.448975601329423</v>
      </c>
      <c r="BB13" s="80">
        <f t="shared" si="5"/>
        <v>92.257955113356019</v>
      </c>
      <c r="BC13" s="80">
        <f t="shared" si="5"/>
        <v>94.103114215623137</v>
      </c>
      <c r="BD13" s="80">
        <f t="shared" si="5"/>
        <v>95.985176499935605</v>
      </c>
      <c r="BE13" s="80">
        <f t="shared" si="5"/>
        <v>97.904880029934318</v>
      </c>
      <c r="BF13" s="80">
        <f t="shared" si="5"/>
        <v>99.86297763053301</v>
      </c>
      <c r="BG13" s="80">
        <f t="shared" si="5"/>
        <v>101.86023718314367</v>
      </c>
      <c r="BH13" s="80">
        <f t="shared" si="5"/>
        <v>103.89744192680654</v>
      </c>
      <c r="BI13" s="80">
        <f t="shared" si="5"/>
        <v>105.97539076534267</v>
      </c>
      <c r="BJ13" s="80">
        <f t="shared" si="5"/>
        <v>108.09489858064953</v>
      </c>
      <c r="BK13" s="80">
        <f t="shared" si="5"/>
        <v>110.25679655226251</v>
      </c>
      <c r="BL13" s="80">
        <f t="shared" si="5"/>
        <v>112.46193248330776</v>
      </c>
      <c r="BM13" s="80">
        <f t="shared" ref="BM13:BW13" si="6">BL13*(1+BM16)</f>
        <v>114.71117113297392</v>
      </c>
      <c r="BN13" s="80">
        <f t="shared" si="6"/>
        <v>117.0053945556334</v>
      </c>
      <c r="BO13" s="80">
        <f t="shared" si="6"/>
        <v>119.34550244674607</v>
      </c>
      <c r="BP13" s="80">
        <f t="shared" si="6"/>
        <v>121.73241249568099</v>
      </c>
      <c r="BQ13" s="80">
        <f t="shared" si="6"/>
        <v>124.16706074559461</v>
      </c>
      <c r="BR13" s="80">
        <f t="shared" si="6"/>
        <v>126.6504019605065</v>
      </c>
      <c r="BS13" s="80">
        <f t="shared" si="6"/>
        <v>129.18340999971664</v>
      </c>
      <c r="BT13" s="80">
        <f t="shared" si="6"/>
        <v>131.76707819971099</v>
      </c>
      <c r="BU13" s="80">
        <f t="shared" si="6"/>
        <v>134.40241976370521</v>
      </c>
      <c r="BV13" s="80">
        <f t="shared" si="6"/>
        <v>137.09046815897932</v>
      </c>
      <c r="BW13" s="80">
        <f t="shared" si="6"/>
        <v>139.8322775221589</v>
      </c>
    </row>
    <row r="14" spans="1:75" x14ac:dyDescent="0.3">
      <c r="A14" s="6" t="s">
        <v>687</v>
      </c>
      <c r="C14" s="72"/>
      <c r="D14" s="72"/>
      <c r="E14" s="72"/>
      <c r="F14" s="72"/>
      <c r="G14" s="72"/>
      <c r="H14" s="70">
        <f>'Infos - Release Operacional'!H15</f>
        <v>64.400000000000006</v>
      </c>
      <c r="I14" s="70">
        <f>'Infos - Release Operacional'!I15</f>
        <v>68.61</v>
      </c>
      <c r="J14" s="70">
        <f>'Infos - Release Operacional'!J15</f>
        <v>62.31</v>
      </c>
      <c r="K14" s="70">
        <f>'Infos - Release Operacional'!K15</f>
        <v>62.88</v>
      </c>
      <c r="L14" s="61">
        <f>'Infos - Release Operacional'!L15</f>
        <v>64.636710448833995</v>
      </c>
      <c r="M14" s="70">
        <f>'Infos - Release Operacional'!M15</f>
        <v>31.79</v>
      </c>
      <c r="N14" s="70">
        <f>'Infos - Release Operacional'!N15</f>
        <v>35.090000000000003</v>
      </c>
      <c r="O14" s="70">
        <f>'Infos - Release Operacional'!O15</f>
        <v>42.71</v>
      </c>
      <c r="P14" s="70">
        <f>'Infos - Release Operacional'!P15</f>
        <v>46.26</v>
      </c>
      <c r="Q14" s="61">
        <f>'Infos - Release Operacional'!Q15</f>
        <v>41.230148238965675</v>
      </c>
      <c r="R14" s="70">
        <f>'Infos - Release Operacional'!R15</f>
        <v>62.19</v>
      </c>
      <c r="S14" s="70">
        <f>'Infos - Release Operacional'!S15</f>
        <v>66.849999999999994</v>
      </c>
      <c r="T14" s="70">
        <f>'Infos - Release Operacional'!T15</f>
        <v>74.41</v>
      </c>
      <c r="U14" s="70">
        <f>'Infos - Release Operacional'!U15</f>
        <v>83.19</v>
      </c>
      <c r="V14" s="61">
        <f>'Infos - Release Operacional'!V15</f>
        <v>73.380131816540271</v>
      </c>
      <c r="W14" s="70">
        <f>'Infos - Release Operacional'!W15</f>
        <v>110.28</v>
      </c>
      <c r="X14" s="70">
        <f>'Infos - Release Operacional'!X15</f>
        <v>108.37</v>
      </c>
      <c r="Y14" s="70">
        <f>'Infos - Release Operacional'!Y15</f>
        <v>94.36</v>
      </c>
      <c r="Z14" s="70">
        <f>'Infos - Release Operacional'!Z15</f>
        <v>85.32</v>
      </c>
      <c r="AA14" s="61">
        <f>'Infos - Release Operacional'!AA15</f>
        <v>100.11554822954822</v>
      </c>
      <c r="AB14" s="70">
        <f>'Infos - Release Operacional'!AB15</f>
        <v>82.93</v>
      </c>
      <c r="AC14" s="70">
        <f>'Infos - Release Operacional'!AC15</f>
        <v>77.67</v>
      </c>
      <c r="AD14" s="70">
        <f>'Infos - Release Operacional'!AD15</f>
        <v>86.48</v>
      </c>
      <c r="AE14" s="70">
        <f>'Infos - Release Operacional'!AE15</f>
        <v>77.39</v>
      </c>
      <c r="AF14" s="61">
        <f>'Infos - Release Operacional'!AF15</f>
        <v>81.419905715426438</v>
      </c>
      <c r="AG14" s="70">
        <f t="shared" ref="AG14:BL14" si="7">AG13+AG15</f>
        <v>80.197777777777773</v>
      </c>
      <c r="AH14" s="70">
        <f t="shared" si="7"/>
        <v>74.748333333333321</v>
      </c>
      <c r="AI14" s="70">
        <f t="shared" si="7"/>
        <v>71.018799999999999</v>
      </c>
      <c r="AJ14" s="70">
        <f t="shared" si="7"/>
        <v>68.614709333333337</v>
      </c>
      <c r="AK14" s="70">
        <f t="shared" si="7"/>
        <v>67.210203519999993</v>
      </c>
      <c r="AL14" s="70">
        <f t="shared" si="7"/>
        <v>66.635257590399988</v>
      </c>
      <c r="AM14" s="70">
        <f t="shared" si="7"/>
        <v>66.516512742207979</v>
      </c>
      <c r="AN14" s="70">
        <f t="shared" si="7"/>
        <v>66.473942997052163</v>
      </c>
      <c r="AO14" s="70">
        <f t="shared" si="7"/>
        <v>67.803421856993197</v>
      </c>
      <c r="AP14" s="70">
        <f t="shared" si="7"/>
        <v>69.159490294133064</v>
      </c>
      <c r="AQ14" s="70">
        <f t="shared" si="7"/>
        <v>70.542680100015716</v>
      </c>
      <c r="AR14" s="70">
        <f t="shared" si="7"/>
        <v>71.953533702016031</v>
      </c>
      <c r="AS14" s="70">
        <f t="shared" si="7"/>
        <v>73.392604376056354</v>
      </c>
      <c r="AT14" s="70">
        <f t="shared" si="7"/>
        <v>74.860456463577492</v>
      </c>
      <c r="AU14" s="70">
        <f t="shared" si="7"/>
        <v>76.357665592849045</v>
      </c>
      <c r="AV14" s="70">
        <f t="shared" si="7"/>
        <v>77.884818904706023</v>
      </c>
      <c r="AW14" s="70">
        <f t="shared" si="7"/>
        <v>79.442515282800144</v>
      </c>
      <c r="AX14" s="70">
        <f t="shared" si="7"/>
        <v>81.03136558845614</v>
      </c>
      <c r="AY14" s="70">
        <f t="shared" si="7"/>
        <v>82.651992900225267</v>
      </c>
      <c r="AZ14" s="70">
        <f t="shared" si="7"/>
        <v>84.305032758229771</v>
      </c>
      <c r="BA14" s="70">
        <f t="shared" si="7"/>
        <v>85.991133413394351</v>
      </c>
      <c r="BB14" s="70">
        <f t="shared" si="7"/>
        <v>87.71095608166226</v>
      </c>
      <c r="BC14" s="70">
        <f t="shared" si="7"/>
        <v>89.465175203295502</v>
      </c>
      <c r="BD14" s="70">
        <f t="shared" si="7"/>
        <v>91.254478707361415</v>
      </c>
      <c r="BE14" s="70">
        <f t="shared" si="7"/>
        <v>93.079568281508642</v>
      </c>
      <c r="BF14" s="70">
        <f t="shared" si="7"/>
        <v>94.941159647138818</v>
      </c>
      <c r="BG14" s="70">
        <f t="shared" si="7"/>
        <v>96.839982840081589</v>
      </c>
      <c r="BH14" s="70">
        <f t="shared" si="7"/>
        <v>98.776782496883214</v>
      </c>
      <c r="BI14" s="70">
        <f t="shared" si="7"/>
        <v>100.75231814682088</v>
      </c>
      <c r="BJ14" s="70">
        <f t="shared" si="7"/>
        <v>102.76736450975731</v>
      </c>
      <c r="BK14" s="70">
        <f t="shared" si="7"/>
        <v>104.82271179995246</v>
      </c>
      <c r="BL14" s="70">
        <f t="shared" si="7"/>
        <v>106.91916603595149</v>
      </c>
      <c r="BM14" s="70">
        <f t="shared" ref="BM14:BW14" si="8">BM13+BM15</f>
        <v>109.05754935667052</v>
      </c>
      <c r="BN14" s="70">
        <f t="shared" si="8"/>
        <v>111.23870034380394</v>
      </c>
      <c r="BO14" s="70">
        <f t="shared" si="8"/>
        <v>113.46347435068002</v>
      </c>
      <c r="BP14" s="70">
        <f t="shared" si="8"/>
        <v>115.73274383769362</v>
      </c>
      <c r="BQ14" s="70">
        <f t="shared" si="8"/>
        <v>118.0473987144475</v>
      </c>
      <c r="BR14" s="70">
        <f t="shared" si="8"/>
        <v>120.40834668873644</v>
      </c>
      <c r="BS14" s="70">
        <f t="shared" si="8"/>
        <v>122.81651362251118</v>
      </c>
      <c r="BT14" s="70">
        <f t="shared" si="8"/>
        <v>125.27284389496143</v>
      </c>
      <c r="BU14" s="70">
        <f t="shared" si="8"/>
        <v>127.77830077286065</v>
      </c>
      <c r="BV14" s="70">
        <f t="shared" si="8"/>
        <v>130.33386678831786</v>
      </c>
      <c r="BW14" s="70">
        <f t="shared" si="8"/>
        <v>132.94054412408423</v>
      </c>
    </row>
    <row r="15" spans="1:75" x14ac:dyDescent="0.3">
      <c r="A15" s="7" t="s">
        <v>277</v>
      </c>
      <c r="C15" s="72"/>
      <c r="D15" s="72"/>
      <c r="E15" s="72"/>
      <c r="F15" s="72"/>
      <c r="G15" s="72"/>
      <c r="H15" s="70">
        <f>H14-H13</f>
        <v>0.57000000000000739</v>
      </c>
      <c r="I15" s="70">
        <f t="shared" ref="I15:AB15" si="9">I14-I13</f>
        <v>0.14000000000000057</v>
      </c>
      <c r="J15" s="70">
        <f t="shared" si="9"/>
        <v>0.28000000000000114</v>
      </c>
      <c r="K15" s="70">
        <f t="shared" si="9"/>
        <v>0.46000000000000085</v>
      </c>
      <c r="L15" s="61">
        <f>L14-L13</f>
        <v>0.44921044883399475</v>
      </c>
      <c r="M15" s="70">
        <f t="shared" si="9"/>
        <v>-18.649999999999999</v>
      </c>
      <c r="N15" s="70">
        <f t="shared" si="9"/>
        <v>1.7000000000000028</v>
      </c>
      <c r="O15" s="70">
        <f t="shared" si="9"/>
        <v>-0.63000000000000256</v>
      </c>
      <c r="P15" s="70">
        <f t="shared" si="9"/>
        <v>1</v>
      </c>
      <c r="Q15" s="61">
        <f t="shared" si="9"/>
        <v>-1.8773517610343262</v>
      </c>
      <c r="R15" s="70">
        <f t="shared" si="9"/>
        <v>0.86999999999999744</v>
      </c>
      <c r="S15" s="70">
        <f t="shared" si="9"/>
        <v>-2.230000000000004</v>
      </c>
      <c r="T15" s="70">
        <f t="shared" si="9"/>
        <v>1.1799999999999926</v>
      </c>
      <c r="U15" s="70">
        <f t="shared" si="9"/>
        <v>3.5300000000000011</v>
      </c>
      <c r="V15" s="61">
        <f t="shared" si="9"/>
        <v>2.5576318165402796</v>
      </c>
      <c r="W15" s="70">
        <f t="shared" si="9"/>
        <v>12.379999999999995</v>
      </c>
      <c r="X15" s="70">
        <f t="shared" si="9"/>
        <v>-3.3299999999999983</v>
      </c>
      <c r="Y15" s="70">
        <f t="shared" si="9"/>
        <v>-3.3400000000000034</v>
      </c>
      <c r="Z15" s="70">
        <f t="shared" si="9"/>
        <v>-3.3100000000000023</v>
      </c>
      <c r="AA15" s="61">
        <f t="shared" si="9"/>
        <v>1.1330482295482227</v>
      </c>
      <c r="AB15" s="70">
        <f t="shared" si="9"/>
        <v>0.77000000000001023</v>
      </c>
      <c r="AC15" s="70">
        <f>AC14-AC13</f>
        <v>-6.0000000000002274E-2</v>
      </c>
      <c r="AD15" s="70">
        <f>AD14-AD13</f>
        <v>0.56000000000000227</v>
      </c>
      <c r="AE15" s="70">
        <f>AE14-AE13</f>
        <v>-5.4699999999999989</v>
      </c>
      <c r="AF15" s="61">
        <f>AF14-AF13</f>
        <v>-0.74759428457356591</v>
      </c>
      <c r="AG15" s="60">
        <f>-3</f>
        <v>-3</v>
      </c>
      <c r="AH15" s="60">
        <f>AG15*(1+AH16)</f>
        <v>-3.06</v>
      </c>
      <c r="AI15" s="60">
        <f t="shared" ref="AI15:AW15" si="10">AH15*(1+AI16)</f>
        <v>-3.1212</v>
      </c>
      <c r="AJ15" s="60">
        <f t="shared" si="10"/>
        <v>-3.183624</v>
      </c>
      <c r="AK15" s="60">
        <f t="shared" si="10"/>
        <v>-3.2472964800000002</v>
      </c>
      <c r="AL15" s="60">
        <f t="shared" si="10"/>
        <v>-3.3122424096</v>
      </c>
      <c r="AM15" s="60">
        <f t="shared" si="10"/>
        <v>-3.378487257792</v>
      </c>
      <c r="AN15" s="60">
        <f t="shared" si="10"/>
        <v>-3.4460570029478399</v>
      </c>
      <c r="AO15" s="60">
        <f t="shared" si="10"/>
        <v>-3.5149781430067968</v>
      </c>
      <c r="AP15" s="60">
        <f t="shared" si="10"/>
        <v>-3.585277705866933</v>
      </c>
      <c r="AQ15" s="60">
        <f t="shared" si="10"/>
        <v>-3.6569832599842718</v>
      </c>
      <c r="AR15" s="60">
        <f t="shared" si="10"/>
        <v>-3.7301229251839572</v>
      </c>
      <c r="AS15" s="60">
        <f t="shared" si="10"/>
        <v>-3.8047253836876362</v>
      </c>
      <c r="AT15" s="60">
        <f t="shared" si="10"/>
        <v>-3.8808198913613889</v>
      </c>
      <c r="AU15" s="60">
        <f t="shared" si="10"/>
        <v>-3.9584362891886169</v>
      </c>
      <c r="AV15" s="60">
        <f t="shared" si="10"/>
        <v>-4.0376050149723897</v>
      </c>
      <c r="AW15" s="60">
        <f t="shared" si="10"/>
        <v>-4.1183571152718379</v>
      </c>
      <c r="AX15" s="60">
        <f t="shared" ref="AX15" si="11">AW15*(1+AX16)</f>
        <v>-4.2007242575772743</v>
      </c>
      <c r="AY15" s="60">
        <f t="shared" ref="AY15" si="12">AX15*(1+AY16)</f>
        <v>-4.2847387427288197</v>
      </c>
      <c r="AZ15" s="60">
        <f t="shared" ref="AZ15" si="13">AY15*(1+AZ16)</f>
        <v>-4.3704335175833959</v>
      </c>
      <c r="BA15" s="60">
        <f t="shared" ref="BA15" si="14">AZ15*(1+BA16)</f>
        <v>-4.4578421879350643</v>
      </c>
      <c r="BB15" s="60">
        <f t="shared" ref="BB15" si="15">BA15*(1+BB16)</f>
        <v>-4.5469990316937654</v>
      </c>
      <c r="BC15" s="60">
        <f t="shared" ref="BC15" si="16">BB15*(1+BC16)</f>
        <v>-4.6379390123276405</v>
      </c>
      <c r="BD15" s="60">
        <f t="shared" ref="BD15" si="17">BC15*(1+BD16)</f>
        <v>-4.7306977925741931</v>
      </c>
      <c r="BE15" s="60">
        <f t="shared" ref="BE15" si="18">BD15*(1+BE16)</f>
        <v>-4.8253117484256771</v>
      </c>
      <c r="BF15" s="60">
        <f t="shared" ref="BF15" si="19">BE15*(1+BF16)</f>
        <v>-4.9218179833941909</v>
      </c>
      <c r="BG15" s="60">
        <f t="shared" ref="BG15" si="20">BF15*(1+BG16)</f>
        <v>-5.0202543430620752</v>
      </c>
      <c r="BH15" s="60">
        <f t="shared" ref="BH15" si="21">BG15*(1+BH16)</f>
        <v>-5.1206594299233164</v>
      </c>
      <c r="BI15" s="60">
        <f t="shared" ref="BI15" si="22">BH15*(1+BI16)</f>
        <v>-5.2230726185217824</v>
      </c>
      <c r="BJ15" s="60">
        <f t="shared" ref="BJ15" si="23">BI15*(1+BJ16)</f>
        <v>-5.3275340708922183</v>
      </c>
      <c r="BK15" s="60">
        <f t="shared" ref="BK15" si="24">BJ15*(1+BK16)</f>
        <v>-5.4340847523100626</v>
      </c>
      <c r="BL15" s="60">
        <f t="shared" ref="BL15" si="25">BK15*(1+BL16)</f>
        <v>-5.5427664473562643</v>
      </c>
      <c r="BM15" s="60">
        <f t="shared" ref="BM15" si="26">BL15*(1+BM16)</f>
        <v>-5.6536217763033898</v>
      </c>
      <c r="BN15" s="60">
        <f t="shared" ref="BN15" si="27">BM15*(1+BN16)</f>
        <v>-5.7666942118294573</v>
      </c>
      <c r="BO15" s="60">
        <f t="shared" ref="BO15" si="28">BN15*(1+BO16)</f>
        <v>-5.8820280960660467</v>
      </c>
      <c r="BP15" s="60">
        <f t="shared" ref="BP15" si="29">BO15*(1+BP16)</f>
        <v>-5.9996686579873675</v>
      </c>
      <c r="BQ15" s="60">
        <f t="shared" ref="BQ15" si="30">BP15*(1+BQ16)</f>
        <v>-6.119662031147115</v>
      </c>
      <c r="BR15" s="60">
        <f t="shared" ref="BR15" si="31">BQ15*(1+BR16)</f>
        <v>-6.2420552717700577</v>
      </c>
      <c r="BS15" s="60">
        <f t="shared" ref="BS15" si="32">BR15*(1+BS16)</f>
        <v>-6.3668963772054585</v>
      </c>
      <c r="BT15" s="60">
        <f t="shared" ref="BT15" si="33">BS15*(1+BT16)</f>
        <v>-6.4942343047495674</v>
      </c>
      <c r="BU15" s="60">
        <f t="shared" ref="BU15" si="34">BT15*(1+BU16)</f>
        <v>-6.6241189908445586</v>
      </c>
      <c r="BV15" s="60">
        <f t="shared" ref="BV15" si="35">BU15*(1+BV16)</f>
        <v>-6.7566013706614498</v>
      </c>
      <c r="BW15" s="60">
        <f t="shared" ref="BW15" si="36">BV15*(1+BW16)</f>
        <v>-6.8917333980746793</v>
      </c>
    </row>
    <row r="16" spans="1:75" s="25" customFormat="1" x14ac:dyDescent="0.3">
      <c r="A16" s="6" t="s">
        <v>745</v>
      </c>
      <c r="AG16" s="74">
        <f>SUMIFS('Drivers Macroeconômico'!$J:$J,'Drivers Macroeconômico'!$H:$H,'Receita Líquida - O&amp;G'!AG$1)</f>
        <v>2.7E-2</v>
      </c>
      <c r="AH16" s="74">
        <f>SUMIFS('Drivers Macroeconômico'!$J:$J,'Drivers Macroeconômico'!$H:$H,'Receita Líquida - O&amp;G'!AH$1)</f>
        <v>0.02</v>
      </c>
      <c r="AI16" s="74">
        <f>SUMIFS('Drivers Macroeconômico'!$J:$J,'Drivers Macroeconômico'!$H:$H,'Receita Líquida - O&amp;G'!AI$1)</f>
        <v>0.02</v>
      </c>
      <c r="AJ16" s="74">
        <f>SUMIFS('Drivers Macroeconômico'!$J:$J,'Drivers Macroeconômico'!$H:$H,'Receita Líquida - O&amp;G'!AJ$1)</f>
        <v>0.02</v>
      </c>
      <c r="AK16" s="74">
        <f>SUMIFS('Drivers Macroeconômico'!$J:$J,'Drivers Macroeconômico'!$H:$H,'Receita Líquida - O&amp;G'!AK$1)</f>
        <v>0.02</v>
      </c>
      <c r="AL16" s="74">
        <f>SUMIFS('Drivers Macroeconômico'!$J:$J,'Drivers Macroeconômico'!$H:$H,'Receita Líquida - O&amp;G'!AL$1)</f>
        <v>0.02</v>
      </c>
      <c r="AM16" s="74">
        <f>SUMIFS('Drivers Macroeconômico'!$J:$J,'Drivers Macroeconômico'!$H:$H,'Receita Líquida - O&amp;G'!AM$1)</f>
        <v>0.02</v>
      </c>
      <c r="AN16" s="74">
        <f>SUMIFS('Drivers Macroeconômico'!$J:$J,'Drivers Macroeconômico'!$H:$H,'Receita Líquida - O&amp;G'!AN$1)</f>
        <v>0.02</v>
      </c>
      <c r="AO16" s="74">
        <f>SUMIFS('Drivers Macroeconômico'!$J:$J,'Drivers Macroeconômico'!$H:$H,'Receita Líquida - O&amp;G'!AO$1)</f>
        <v>0.02</v>
      </c>
      <c r="AP16" s="74">
        <f>SUMIFS('Drivers Macroeconômico'!$J:$J,'Drivers Macroeconômico'!$H:$H,'Receita Líquida - O&amp;G'!AP$1)</f>
        <v>0.02</v>
      </c>
      <c r="AQ16" s="74">
        <f>SUMIFS('Drivers Macroeconômico'!$J:$J,'Drivers Macroeconômico'!$H:$H,'Receita Líquida - O&amp;G'!AQ$1)</f>
        <v>0.02</v>
      </c>
      <c r="AR16" s="74">
        <f>SUMIFS('Drivers Macroeconômico'!$J:$J,'Drivers Macroeconômico'!$H:$H,'Receita Líquida - O&amp;G'!AR$1)</f>
        <v>0.02</v>
      </c>
      <c r="AS16" s="74">
        <f>SUMIFS('Drivers Macroeconômico'!$J:$J,'Drivers Macroeconômico'!$H:$H,'Receita Líquida - O&amp;G'!AS$1)</f>
        <v>0.02</v>
      </c>
      <c r="AT16" s="74">
        <f>SUMIFS('Drivers Macroeconômico'!$J:$J,'Drivers Macroeconômico'!$H:$H,'Receita Líquida - O&amp;G'!AT$1)</f>
        <v>0.02</v>
      </c>
      <c r="AU16" s="74">
        <f>SUMIFS('Drivers Macroeconômico'!$J:$J,'Drivers Macroeconômico'!$H:$H,'Receita Líquida - O&amp;G'!AU$1)</f>
        <v>0.02</v>
      </c>
      <c r="AV16" s="74">
        <f>SUMIFS('Drivers Macroeconômico'!$J:$J,'Drivers Macroeconômico'!$H:$H,'Receita Líquida - O&amp;G'!AV$1)</f>
        <v>0.02</v>
      </c>
      <c r="AW16" s="74">
        <f>SUMIFS('Drivers Macroeconômico'!$J:$J,'Drivers Macroeconômico'!$H:$H,'Receita Líquida - O&amp;G'!AW$1)</f>
        <v>0.02</v>
      </c>
      <c r="AX16" s="74">
        <f>SUMIFS('Drivers Macroeconômico'!$J:$J,'Drivers Macroeconômico'!$H:$H,'Receita Líquida - O&amp;G'!AX$1)</f>
        <v>0.02</v>
      </c>
      <c r="AY16" s="74">
        <f>SUMIFS('Drivers Macroeconômico'!$J:$J,'Drivers Macroeconômico'!$H:$H,'Receita Líquida - O&amp;G'!AY$1)</f>
        <v>0.02</v>
      </c>
      <c r="AZ16" s="74">
        <f>SUMIFS('Drivers Macroeconômico'!$J:$J,'Drivers Macroeconômico'!$H:$H,'Receita Líquida - O&amp;G'!AZ$1)</f>
        <v>0.02</v>
      </c>
      <c r="BA16" s="74">
        <f>SUMIFS('Drivers Macroeconômico'!$J:$J,'Drivers Macroeconômico'!$H:$H,'Receita Líquida - O&amp;G'!BA$1)</f>
        <v>0.02</v>
      </c>
      <c r="BB16" s="74">
        <f>SUMIFS('Drivers Macroeconômico'!$J:$J,'Drivers Macroeconômico'!$H:$H,'Receita Líquida - O&amp;G'!BB$1)</f>
        <v>0.02</v>
      </c>
      <c r="BC16" s="74">
        <f>SUMIFS('Drivers Macroeconômico'!$J:$J,'Drivers Macroeconômico'!$H:$H,'Receita Líquida - O&amp;G'!BC$1)</f>
        <v>0.02</v>
      </c>
      <c r="BD16" s="74">
        <f>SUMIFS('Drivers Macroeconômico'!$J:$J,'Drivers Macroeconômico'!$H:$H,'Receita Líquida - O&amp;G'!BD$1)</f>
        <v>0.02</v>
      </c>
      <c r="BE16" s="74">
        <f>SUMIFS('Drivers Macroeconômico'!$J:$J,'Drivers Macroeconômico'!$H:$H,'Receita Líquida - O&amp;G'!BE$1)</f>
        <v>0.02</v>
      </c>
      <c r="BF16" s="74">
        <f>SUMIFS('Drivers Macroeconômico'!$J:$J,'Drivers Macroeconômico'!$H:$H,'Receita Líquida - O&amp;G'!BF$1)</f>
        <v>0.02</v>
      </c>
      <c r="BG16" s="74">
        <f>SUMIFS('Drivers Macroeconômico'!$J:$J,'Drivers Macroeconômico'!$H:$H,'Receita Líquida - O&amp;G'!BG$1)</f>
        <v>0.02</v>
      </c>
      <c r="BH16" s="74">
        <f>SUMIFS('Drivers Macroeconômico'!$J:$J,'Drivers Macroeconômico'!$H:$H,'Receita Líquida - O&amp;G'!BH$1)</f>
        <v>0.02</v>
      </c>
      <c r="BI16" s="74">
        <f>SUMIFS('Drivers Macroeconômico'!$J:$J,'Drivers Macroeconômico'!$H:$H,'Receita Líquida - O&amp;G'!BI$1)</f>
        <v>0.02</v>
      </c>
      <c r="BJ16" s="74">
        <f>SUMIFS('Drivers Macroeconômico'!$J:$J,'Drivers Macroeconômico'!$H:$H,'Receita Líquida - O&amp;G'!BJ$1)</f>
        <v>0.02</v>
      </c>
      <c r="BK16" s="74">
        <f>SUMIFS('Drivers Macroeconômico'!$J:$J,'Drivers Macroeconômico'!$H:$H,'Receita Líquida - O&amp;G'!BK$1)</f>
        <v>0.02</v>
      </c>
      <c r="BL16" s="74">
        <f>SUMIFS('Drivers Macroeconômico'!$J:$J,'Drivers Macroeconômico'!$H:$H,'Receita Líquida - O&amp;G'!BL$1)</f>
        <v>0.02</v>
      </c>
      <c r="BM16" s="74">
        <f>SUMIFS('Drivers Macroeconômico'!$J:$J,'Drivers Macroeconômico'!$H:$H,'Receita Líquida - O&amp;G'!BM$1)</f>
        <v>0.02</v>
      </c>
      <c r="BN16" s="74">
        <f>SUMIFS('Drivers Macroeconômico'!$J:$J,'Drivers Macroeconômico'!$H:$H,'Receita Líquida - O&amp;G'!BN$1)</f>
        <v>0.02</v>
      </c>
      <c r="BO16" s="74">
        <f>SUMIFS('Drivers Macroeconômico'!$J:$J,'Drivers Macroeconômico'!$H:$H,'Receita Líquida - O&amp;G'!BO$1)</f>
        <v>0.02</v>
      </c>
      <c r="BP16" s="74">
        <f>SUMIFS('Drivers Macroeconômico'!$J:$J,'Drivers Macroeconômico'!$H:$H,'Receita Líquida - O&amp;G'!BP$1)</f>
        <v>0.02</v>
      </c>
      <c r="BQ16" s="74">
        <f>SUMIFS('Drivers Macroeconômico'!$J:$J,'Drivers Macroeconômico'!$H:$H,'Receita Líquida - O&amp;G'!BQ$1)</f>
        <v>0.02</v>
      </c>
      <c r="BR16" s="74">
        <f>SUMIFS('Drivers Macroeconômico'!$J:$J,'Drivers Macroeconômico'!$H:$H,'Receita Líquida - O&amp;G'!BR$1)</f>
        <v>0.02</v>
      </c>
      <c r="BS16" s="74">
        <f>SUMIFS('Drivers Macroeconômico'!$J:$J,'Drivers Macroeconômico'!$H:$H,'Receita Líquida - O&amp;G'!BS$1)</f>
        <v>0.02</v>
      </c>
      <c r="BT16" s="74">
        <f>SUMIFS('Drivers Macroeconômico'!$J:$J,'Drivers Macroeconômico'!$H:$H,'Receita Líquida - O&amp;G'!BT$1)</f>
        <v>0.02</v>
      </c>
      <c r="BU16" s="74">
        <f>SUMIFS('Drivers Macroeconômico'!$J:$J,'Drivers Macroeconômico'!$H:$H,'Receita Líquida - O&amp;G'!BU$1)</f>
        <v>0.02</v>
      </c>
      <c r="BV16" s="74">
        <f>SUMIFS('Drivers Macroeconômico'!$J:$J,'Drivers Macroeconômico'!$H:$H,'Receita Líquida - O&amp;G'!BV$1)</f>
        <v>0.02</v>
      </c>
      <c r="BW16" s="74">
        <f>SUMIFS('Drivers Macroeconômico'!$J:$J,'Drivers Macroeconômico'!$H:$H,'Receita Líquida - O&amp;G'!BW$1)</f>
        <v>0.02</v>
      </c>
    </row>
    <row r="17" spans="1:75" s="25" customFormat="1" x14ac:dyDescent="0.3">
      <c r="A17" s="6" t="s">
        <v>364</v>
      </c>
      <c r="C17" s="70">
        <f>'Infos - Release Operacional'!C17</f>
        <v>3.32</v>
      </c>
      <c r="D17" s="70">
        <f>'Infos - Release Operacional'!D17</f>
        <v>3.86</v>
      </c>
      <c r="E17" s="70">
        <f>'Infos - Release Operacional'!E17</f>
        <v>4</v>
      </c>
      <c r="F17" s="70">
        <f>'Infos - Release Operacional'!F17</f>
        <v>3.87</v>
      </c>
      <c r="G17" s="61">
        <f>'Infos - Release Operacional'!G17</f>
        <v>3.7625000000000002</v>
      </c>
      <c r="H17" s="70">
        <f>'Infos - Release Operacional'!H17</f>
        <v>3.9</v>
      </c>
      <c r="I17" s="70">
        <f>'Infos - Release Operacional'!I17</f>
        <v>3.85</v>
      </c>
      <c r="J17" s="70">
        <f>'Infos - Release Operacional'!J17</f>
        <v>4.16</v>
      </c>
      <c r="K17" s="70">
        <f>'Infos - Release Operacional'!K17</f>
        <v>4.0199999999999996</v>
      </c>
      <c r="L17" s="61">
        <f>'Infos - Release Operacional'!L17</f>
        <v>3.9824999999999999</v>
      </c>
      <c r="M17" s="70">
        <f>'Infos - Release Operacional'!M17</f>
        <v>5.2</v>
      </c>
      <c r="N17" s="70">
        <f>'Infos - Release Operacional'!N17</f>
        <v>5.47</v>
      </c>
      <c r="O17" s="70">
        <f>'Infos - Release Operacional'!O17</f>
        <v>5.61</v>
      </c>
      <c r="P17" s="70">
        <f>'Infos - Release Operacional'!P17</f>
        <v>5.19</v>
      </c>
      <c r="Q17" s="61">
        <f>'Infos - Release Operacional'!Q17</f>
        <v>5.3675000000000006</v>
      </c>
      <c r="R17" s="70">
        <f>'Infos - Release Operacional'!R17</f>
        <v>5.7</v>
      </c>
      <c r="S17" s="70">
        <f>'Infos - Release Operacional'!S17</f>
        <v>5</v>
      </c>
      <c r="T17" s="70">
        <f>'Infos - Release Operacional'!T17</f>
        <v>5.44</v>
      </c>
      <c r="U17" s="70">
        <f>'Infos - Release Operacional'!U17</f>
        <v>5.58</v>
      </c>
      <c r="V17" s="61">
        <f>'Infos - Release Operacional'!V17</f>
        <v>5.43</v>
      </c>
      <c r="W17" s="70">
        <f>'Infos - Release Operacional'!W17</f>
        <v>4.74</v>
      </c>
      <c r="X17" s="70">
        <f>'Infos - Release Operacional'!X17</f>
        <v>5.35</v>
      </c>
      <c r="Y17" s="70">
        <f>'Infos - Release Operacional'!Y17</f>
        <v>5.41</v>
      </c>
      <c r="Z17" s="70">
        <f>'Infos - Release Operacional'!Z17</f>
        <v>5.29</v>
      </c>
      <c r="AA17" s="61">
        <f>'Infos - Release Operacional'!AA17</f>
        <v>5.1974999999999998</v>
      </c>
      <c r="AB17" s="70">
        <f>'Infos - Release Operacional'!AB17</f>
        <v>5.0599999999999996</v>
      </c>
      <c r="AC17" s="70">
        <f>'Infos - Release Operacional'!AC17</f>
        <v>4.79</v>
      </c>
      <c r="AD17" s="70">
        <f>'Infos - Release Operacional'!AD17</f>
        <v>5.03</v>
      </c>
      <c r="AE17" s="70">
        <f>'Infos - Release Operacional'!AE17</f>
        <v>4.8499999999999996</v>
      </c>
      <c r="AF17" s="61">
        <f>'Infos - Release Operacional'!AF17</f>
        <v>4.9324999999999992</v>
      </c>
      <c r="AG17" s="70">
        <f>SUMIFS('Drivers Macroeconômico'!$K:$K,'Drivers Macroeconômico'!$H:$H,'Receita Líquida - O&amp;G'!AG$1)</f>
        <v>4.9326999999999996</v>
      </c>
      <c r="AH17" s="70">
        <f>SUMIFS('Drivers Macroeconômico'!$K:$K,'Drivers Macroeconômico'!$H:$H,'Receita Líquida - O&amp;G'!AH$1)</f>
        <v>5</v>
      </c>
      <c r="AI17" s="70">
        <f>SUMIFS('Drivers Macroeconômico'!$K:$K,'Drivers Macroeconômico'!$H:$H,'Receita Líquida - O&amp;G'!AI$1)</f>
        <v>5.04</v>
      </c>
      <c r="AJ17" s="70">
        <f>SUMIFS('Drivers Macroeconômico'!$K:$K,'Drivers Macroeconômico'!$H:$H,'Receita Líquida - O&amp;G'!AJ$1)</f>
        <v>5.0999999999999996</v>
      </c>
      <c r="AK17" s="70">
        <f>SUMIFS('Drivers Macroeconômico'!$K:$K,'Drivers Macroeconômico'!$H:$H,'Receita Líquida - O&amp;G'!AK$1)</f>
        <v>5.0999999999999996</v>
      </c>
      <c r="AL17" s="70">
        <f>SUMIFS('Drivers Macroeconômico'!$K:$K,'Drivers Macroeconômico'!$H:$H,'Receita Líquida - O&amp;G'!AL$1)</f>
        <v>5.15</v>
      </c>
      <c r="AM17" s="70">
        <f>SUMIFS('Drivers Macroeconômico'!$K:$K,'Drivers Macroeconômico'!$H:$H,'Receita Líquida - O&amp;G'!AM$1)</f>
        <v>5.200490196078432</v>
      </c>
      <c r="AN17" s="70">
        <f>SUMIFS('Drivers Macroeconômico'!$K:$K,'Drivers Macroeconômico'!$H:$H,'Receita Líquida - O&amp;G'!AN$1)</f>
        <v>5.2514753940792014</v>
      </c>
      <c r="AO17" s="70">
        <f>SUMIFS('Drivers Macroeconômico'!$K:$K,'Drivers Macroeconômico'!$H:$H,'Receita Líquida - O&amp;G'!AO$1)</f>
        <v>5.3029604469623308</v>
      </c>
      <c r="AP17" s="70">
        <f>SUMIFS('Drivers Macroeconômico'!$K:$K,'Drivers Macroeconômico'!$H:$H,'Receita Líquida - O&amp;G'!AP$1)</f>
        <v>5.3549502552658828</v>
      </c>
      <c r="AQ17" s="70">
        <f>SUMIFS('Drivers Macroeconômico'!$K:$K,'Drivers Macroeconômico'!$H:$H,'Receita Líquida - O&amp;G'!AQ$1)</f>
        <v>5.4074497675724107</v>
      </c>
      <c r="AR17" s="70">
        <f>SUMIFS('Drivers Macroeconômico'!$K:$K,'Drivers Macroeconômico'!$H:$H,'Receita Líquida - O&amp;G'!AR$1)</f>
        <v>5.4604639809799842</v>
      </c>
      <c r="AS17" s="70">
        <f>SUMIFS('Drivers Macroeconômico'!$K:$K,'Drivers Macroeconômico'!$H:$H,'Receita Líquida - O&amp;G'!AS$1)</f>
        <v>5.5139979415778271</v>
      </c>
      <c r="AT17" s="70">
        <f>SUMIFS('Drivers Macroeconômico'!$K:$K,'Drivers Macroeconômico'!$H:$H,'Receita Líquida - O&amp;G'!AT$1)</f>
        <v>5.5680567449266292</v>
      </c>
      <c r="AU17" s="70">
        <f>SUMIFS('Drivers Macroeconômico'!$K:$K,'Drivers Macroeconômico'!$H:$H,'Receita Líquida - O&amp;G'!AU$1)</f>
        <v>5.6226455365435566</v>
      </c>
      <c r="AV17" s="70">
        <f>SUMIFS('Drivers Macroeconômico'!$K:$K,'Drivers Macroeconômico'!$H:$H,'Receita Líquida - O&amp;G'!AV$1)</f>
        <v>5.6777695123920227</v>
      </c>
      <c r="AW17" s="70">
        <f>SUMIFS('Drivers Macroeconômico'!$K:$K,'Drivers Macroeconômico'!$H:$H,'Receita Líquida - O&amp;G'!AW$1)</f>
        <v>5.7334339193762576</v>
      </c>
      <c r="AX17" s="70">
        <f>SUMIFS('Drivers Macroeconômico'!$K:$K,'Drivers Macroeconômico'!$H:$H,'Receita Líquida - O&amp;G'!AX$1)</f>
        <v>5.7896440558407303</v>
      </c>
      <c r="AY17" s="70">
        <f>SUMIFS('Drivers Macroeconômico'!$K:$K,'Drivers Macroeconômico'!$H:$H,'Receita Líquida - O&amp;G'!AY$1)</f>
        <v>5.8464052720744633</v>
      </c>
      <c r="AZ17" s="70">
        <f>SUMIFS('Drivers Macroeconômico'!$K:$K,'Drivers Macroeconômico'!$H:$H,'Receita Líquida - O&amp;G'!AZ$1)</f>
        <v>5.903722970820291</v>
      </c>
      <c r="BA17" s="70">
        <f>SUMIFS('Drivers Macroeconômico'!$K:$K,'Drivers Macroeconômico'!$H:$H,'Receita Líquida - O&amp;G'!BA$1)</f>
        <v>5.9616026077891178</v>
      </c>
      <c r="BB17" s="70">
        <f>SUMIFS('Drivers Macroeconômico'!$K:$K,'Drivers Macroeconômico'!$H:$H,'Receita Líquida - O&amp;G'!BB$1)</f>
        <v>6.0200496921792075</v>
      </c>
      <c r="BC17" s="70">
        <f>SUMIFS('Drivers Macroeconômico'!$K:$K,'Drivers Macroeconômico'!$H:$H,'Receita Líquida - O&amp;G'!BC$1)</f>
        <v>6.0790697872005719</v>
      </c>
      <c r="BD17" s="70">
        <f>SUMIFS('Drivers Macroeconômico'!$K:$K,'Drivers Macroeconômico'!$H:$H,'Receita Líquida - O&amp;G'!BD$1)</f>
        <v>6.1386685106044991</v>
      </c>
      <c r="BE17" s="70">
        <f>SUMIFS('Drivers Macroeconômico'!$K:$K,'Drivers Macroeconômico'!$H:$H,'Receita Líquida - O&amp;G'!BE$1)</f>
        <v>6.1988515352182691</v>
      </c>
      <c r="BF17" s="70">
        <f>SUMIFS('Drivers Macroeconômico'!$K:$K,'Drivers Macroeconômico'!$H:$H,'Receita Líquida - O&amp;G'!BF$1)</f>
        <v>6.2596245894851146</v>
      </c>
      <c r="BG17" s="70">
        <f>SUMIFS('Drivers Macroeconômico'!$K:$K,'Drivers Macroeconômico'!$H:$H,'Receita Líquida - O&amp;G'!BG$1)</f>
        <v>6.3209934580094789</v>
      </c>
      <c r="BH17" s="70">
        <f>SUMIFS('Drivers Macroeconômico'!$K:$K,'Drivers Macroeconômico'!$H:$H,'Receita Líquida - O&amp;G'!BH$1)</f>
        <v>6.3829639821076105</v>
      </c>
      <c r="BI17" s="70">
        <f>SUMIFS('Drivers Macroeconômico'!$K:$K,'Drivers Macroeconômico'!$H:$H,'Receita Líquida - O&amp;G'!BI$1)</f>
        <v>6.445542060363568</v>
      </c>
      <c r="BJ17" s="70">
        <f>SUMIFS('Drivers Macroeconômico'!$K:$K,'Drivers Macroeconômico'!$H:$H,'Receita Líquida - O&amp;G'!BJ$1)</f>
        <v>6.5087336491906616</v>
      </c>
      <c r="BK17" s="70">
        <f>SUMIFS('Drivers Macroeconômico'!$K:$K,'Drivers Macroeconômico'!$H:$H,'Receita Líquida - O&amp;G'!BK$1)</f>
        <v>6.5725447633984135</v>
      </c>
      <c r="BL17" s="70">
        <f>SUMIFS('Drivers Macroeconômico'!$K:$K,'Drivers Macroeconômico'!$H:$H,'Receita Líquida - O&amp;G'!BL$1)</f>
        <v>6.6369814767650652</v>
      </c>
      <c r="BM17" s="70">
        <f>SUMIFS('Drivers Macroeconômico'!$K:$K,'Drivers Macroeconômico'!$H:$H,'Receita Líquida - O&amp;G'!BM$1)</f>
        <v>6.7020499226157026</v>
      </c>
      <c r="BN17" s="70">
        <f>SUMIFS('Drivers Macroeconômico'!$K:$K,'Drivers Macroeconômico'!$H:$H,'Receita Líquida - O&amp;G'!BN$1)</f>
        <v>6.7677562944060528</v>
      </c>
      <c r="BO17" s="70">
        <f>SUMIFS('Drivers Macroeconômico'!$K:$K,'Drivers Macroeconômico'!$H:$H,'Receita Líquida - O&amp;G'!BO$1)</f>
        <v>6.8341068463119949</v>
      </c>
      <c r="BP17" s="70">
        <f>SUMIFS('Drivers Macroeconômico'!$K:$K,'Drivers Macroeconômico'!$H:$H,'Receita Líquida - O&amp;G'!BP$1)</f>
        <v>6.9011078938248582</v>
      </c>
      <c r="BQ17" s="70">
        <f>SUMIFS('Drivers Macroeconômico'!$K:$K,'Drivers Macroeconômico'!$H:$H,'Receita Líquida - O&amp;G'!BQ$1)</f>
        <v>6.9687658143525528</v>
      </c>
      <c r="BR17" s="70">
        <f>SUMIFS('Drivers Macroeconômico'!$K:$K,'Drivers Macroeconômico'!$H:$H,'Receita Líquida - O&amp;G'!BR$1)</f>
        <v>7.0370870478265974</v>
      </c>
      <c r="BS17" s="70">
        <f>SUMIFS('Drivers Macroeconômico'!$K:$K,'Drivers Macroeconômico'!$H:$H,'Receita Líquida - O&amp;G'!BS$1)</f>
        <v>7.106078097315093</v>
      </c>
      <c r="BT17" s="70">
        <f>SUMIFS('Drivers Macroeconômico'!$K:$K,'Drivers Macroeconômico'!$H:$H,'Receita Líquida - O&amp;G'!BT$1)</f>
        <v>7.175745529641711</v>
      </c>
      <c r="BU17" s="70">
        <f>SUMIFS('Drivers Macroeconômico'!$K:$K,'Drivers Macroeconômico'!$H:$H,'Receita Líquida - O&amp;G'!BU$1)</f>
        <v>7.2460959760107482</v>
      </c>
      <c r="BV17" s="70">
        <f>SUMIFS('Drivers Macroeconômico'!$K:$K,'Drivers Macroeconômico'!$H:$H,'Receita Líquida - O&amp;G'!BV$1)</f>
        <v>7.3171361326383053</v>
      </c>
      <c r="BW17" s="70">
        <f>SUMIFS('Drivers Macroeconômico'!$K:$K,'Drivers Macroeconômico'!$H:$H,'Receita Líquida - O&amp;G'!BW$1)</f>
        <v>7.3888727613896608</v>
      </c>
    </row>
    <row r="18" spans="1:75" x14ac:dyDescent="0.3">
      <c r="C18" s="4"/>
      <c r="D18" s="4"/>
      <c r="E18" s="4"/>
      <c r="F18" s="4"/>
      <c r="G18" s="4"/>
      <c r="H18" s="4"/>
      <c r="I18" s="4"/>
      <c r="J18" s="4"/>
      <c r="K18" s="4"/>
      <c r="L18" s="4"/>
      <c r="M18" s="4"/>
      <c r="N18" s="4"/>
      <c r="O18" s="4"/>
      <c r="P18" s="4"/>
      <c r="Q18" s="4"/>
      <c r="R18" s="4"/>
      <c r="S18" s="4"/>
      <c r="T18" s="4"/>
      <c r="U18" s="4"/>
      <c r="V18" s="4"/>
      <c r="W18" s="4"/>
      <c r="X18" s="4"/>
      <c r="Y18" s="4"/>
      <c r="Z18" s="4"/>
      <c r="AA18" s="4"/>
      <c r="AB18" s="4"/>
      <c r="AC18" s="28"/>
      <c r="AF18" s="4"/>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row>
    <row r="19" spans="1:75" x14ac:dyDescent="0.3">
      <c r="A19" s="4" t="s">
        <v>680</v>
      </c>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row>
    <row r="20" spans="1:75" x14ac:dyDescent="0.3">
      <c r="A20" s="5" t="s">
        <v>64</v>
      </c>
      <c r="B20" s="5"/>
      <c r="C20" s="72">
        <v>4</v>
      </c>
      <c r="D20" s="72">
        <v>4</v>
      </c>
      <c r="E20" s="72">
        <v>4</v>
      </c>
      <c r="F20" s="72">
        <v>4</v>
      </c>
      <c r="G20" s="72">
        <v>4</v>
      </c>
      <c r="H20" s="72">
        <v>4</v>
      </c>
      <c r="I20" s="72">
        <v>4</v>
      </c>
      <c r="J20" s="72">
        <v>4</v>
      </c>
      <c r="K20" s="72">
        <v>4</v>
      </c>
      <c r="L20" s="72">
        <v>4</v>
      </c>
      <c r="M20" s="72">
        <v>4</v>
      </c>
      <c r="N20" s="72">
        <v>4</v>
      </c>
      <c r="O20" s="72">
        <v>4</v>
      </c>
      <c r="P20" s="72">
        <v>4</v>
      </c>
      <c r="Q20" s="72">
        <v>4</v>
      </c>
      <c r="R20" s="72">
        <v>4</v>
      </c>
      <c r="S20" s="72">
        <v>4</v>
      </c>
      <c r="T20" s="72">
        <v>4</v>
      </c>
      <c r="U20" s="72">
        <v>4</v>
      </c>
      <c r="V20" s="72">
        <v>4</v>
      </c>
      <c r="W20" s="72">
        <v>4</v>
      </c>
      <c r="X20" s="72">
        <v>4</v>
      </c>
      <c r="Y20" s="72">
        <v>4</v>
      </c>
      <c r="Z20" s="72">
        <v>4</v>
      </c>
      <c r="AA20" s="72">
        <v>4</v>
      </c>
      <c r="AB20" s="72">
        <v>4</v>
      </c>
      <c r="AC20" s="72">
        <v>4</v>
      </c>
      <c r="AD20" s="72">
        <v>4</v>
      </c>
      <c r="AE20" s="72">
        <v>4</v>
      </c>
      <c r="AF20" s="72">
        <v>4</v>
      </c>
      <c r="AG20" s="71">
        <f>AG$14</f>
        <v>80.197777777777773</v>
      </c>
      <c r="AH20" s="71">
        <f t="shared" ref="AH20:AR20" si="37">AH$14</f>
        <v>74.748333333333321</v>
      </c>
      <c r="AI20" s="71">
        <f t="shared" si="37"/>
        <v>71.018799999999999</v>
      </c>
      <c r="AJ20" s="71">
        <f t="shared" si="37"/>
        <v>68.614709333333337</v>
      </c>
      <c r="AK20" s="71">
        <f t="shared" si="37"/>
        <v>67.210203519999993</v>
      </c>
      <c r="AL20" s="71">
        <f t="shared" si="37"/>
        <v>66.635257590399988</v>
      </c>
      <c r="AM20" s="71">
        <f t="shared" si="37"/>
        <v>66.516512742207979</v>
      </c>
      <c r="AN20" s="71">
        <f t="shared" si="37"/>
        <v>66.473942997052163</v>
      </c>
      <c r="AO20" s="71">
        <f t="shared" si="37"/>
        <v>67.803421856993197</v>
      </c>
      <c r="AP20" s="71">
        <f t="shared" si="37"/>
        <v>69.159490294133064</v>
      </c>
      <c r="AQ20" s="71">
        <f t="shared" si="37"/>
        <v>70.542680100015716</v>
      </c>
      <c r="AR20" s="71">
        <f t="shared" si="37"/>
        <v>71.953533702016031</v>
      </c>
      <c r="AS20" s="71">
        <f t="shared" ref="AS20:BW20" si="38">AS$14</f>
        <v>73.392604376056354</v>
      </c>
      <c r="AT20" s="71">
        <f t="shared" si="38"/>
        <v>74.860456463577492</v>
      </c>
      <c r="AU20" s="71">
        <f t="shared" si="38"/>
        <v>76.357665592849045</v>
      </c>
      <c r="AV20" s="71">
        <f t="shared" si="38"/>
        <v>77.884818904706023</v>
      </c>
      <c r="AW20" s="71">
        <f t="shared" si="38"/>
        <v>79.442515282800144</v>
      </c>
      <c r="AX20" s="71">
        <f t="shared" si="38"/>
        <v>81.03136558845614</v>
      </c>
      <c r="AY20" s="71">
        <f t="shared" si="38"/>
        <v>82.651992900225267</v>
      </c>
      <c r="AZ20" s="71">
        <f t="shared" si="38"/>
        <v>84.305032758229771</v>
      </c>
      <c r="BA20" s="71">
        <f t="shared" si="38"/>
        <v>85.991133413394351</v>
      </c>
      <c r="BB20" s="71">
        <f t="shared" si="38"/>
        <v>87.71095608166226</v>
      </c>
      <c r="BC20" s="71">
        <f t="shared" si="38"/>
        <v>89.465175203295502</v>
      </c>
      <c r="BD20" s="71">
        <f t="shared" si="38"/>
        <v>91.254478707361415</v>
      </c>
      <c r="BE20" s="71">
        <f t="shared" si="38"/>
        <v>93.079568281508642</v>
      </c>
      <c r="BF20" s="71">
        <f t="shared" si="38"/>
        <v>94.941159647138818</v>
      </c>
      <c r="BG20" s="71">
        <f t="shared" si="38"/>
        <v>96.839982840081589</v>
      </c>
      <c r="BH20" s="71">
        <f t="shared" si="38"/>
        <v>98.776782496883214</v>
      </c>
      <c r="BI20" s="71">
        <f t="shared" si="38"/>
        <v>100.75231814682088</v>
      </c>
      <c r="BJ20" s="71">
        <f t="shared" si="38"/>
        <v>102.76736450975731</v>
      </c>
      <c r="BK20" s="71">
        <f t="shared" si="38"/>
        <v>104.82271179995246</v>
      </c>
      <c r="BL20" s="71">
        <f t="shared" si="38"/>
        <v>106.91916603595149</v>
      </c>
      <c r="BM20" s="71">
        <f t="shared" si="38"/>
        <v>109.05754935667052</v>
      </c>
      <c r="BN20" s="71">
        <f t="shared" si="38"/>
        <v>111.23870034380394</v>
      </c>
      <c r="BO20" s="71">
        <f t="shared" si="38"/>
        <v>113.46347435068002</v>
      </c>
      <c r="BP20" s="71">
        <f t="shared" si="38"/>
        <v>115.73274383769362</v>
      </c>
      <c r="BQ20" s="71">
        <f t="shared" si="38"/>
        <v>118.0473987144475</v>
      </c>
      <c r="BR20" s="71">
        <f t="shared" si="38"/>
        <v>120.40834668873644</v>
      </c>
      <c r="BS20" s="71">
        <f t="shared" si="38"/>
        <v>122.81651362251118</v>
      </c>
      <c r="BT20" s="71">
        <f t="shared" si="38"/>
        <v>125.27284389496143</v>
      </c>
      <c r="BU20" s="71">
        <f t="shared" si="38"/>
        <v>127.77830077286065</v>
      </c>
      <c r="BV20" s="71">
        <f t="shared" si="38"/>
        <v>130.33386678831786</v>
      </c>
      <c r="BW20" s="71">
        <f t="shared" si="38"/>
        <v>132.94054412408423</v>
      </c>
    </row>
    <row r="21" spans="1:75" x14ac:dyDescent="0.3">
      <c r="A21" s="5" t="s">
        <v>65</v>
      </c>
      <c r="B21" s="5"/>
      <c r="C21" s="72">
        <v>4</v>
      </c>
      <c r="D21" s="72">
        <v>4</v>
      </c>
      <c r="E21" s="72">
        <v>4</v>
      </c>
      <c r="F21" s="72">
        <v>4</v>
      </c>
      <c r="G21" s="72">
        <v>4</v>
      </c>
      <c r="H21" s="72">
        <v>4</v>
      </c>
      <c r="I21" s="72">
        <v>4</v>
      </c>
      <c r="J21" s="72">
        <v>4</v>
      </c>
      <c r="K21" s="72">
        <v>4</v>
      </c>
      <c r="L21" s="72">
        <v>4</v>
      </c>
      <c r="M21" s="72">
        <v>4</v>
      </c>
      <c r="N21" s="72">
        <v>4</v>
      </c>
      <c r="O21" s="72">
        <v>4</v>
      </c>
      <c r="P21" s="72">
        <v>4</v>
      </c>
      <c r="Q21" s="72">
        <v>4</v>
      </c>
      <c r="R21" s="72">
        <v>4</v>
      </c>
      <c r="S21" s="72">
        <v>4</v>
      </c>
      <c r="T21" s="72">
        <v>4</v>
      </c>
      <c r="U21" s="72">
        <v>4</v>
      </c>
      <c r="V21" s="72">
        <v>4</v>
      </c>
      <c r="W21" s="72">
        <v>4</v>
      </c>
      <c r="X21" s="72">
        <v>4</v>
      </c>
      <c r="Y21" s="72">
        <v>4</v>
      </c>
      <c r="Z21" s="72">
        <v>4</v>
      </c>
      <c r="AA21" s="72">
        <v>4</v>
      </c>
      <c r="AB21" s="72">
        <v>4</v>
      </c>
      <c r="AC21" s="72">
        <v>4</v>
      </c>
      <c r="AD21" s="72">
        <v>4</v>
      </c>
      <c r="AE21" s="72">
        <v>4</v>
      </c>
      <c r="AF21" s="72">
        <v>4</v>
      </c>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row>
    <row r="22" spans="1:75" x14ac:dyDescent="0.3">
      <c r="A22" s="5" t="s">
        <v>67</v>
      </c>
      <c r="B22" s="5"/>
      <c r="C22" s="72">
        <v>4</v>
      </c>
      <c r="D22" s="72">
        <v>4</v>
      </c>
      <c r="E22" s="72">
        <v>4</v>
      </c>
      <c r="F22" s="72">
        <v>4</v>
      </c>
      <c r="G22" s="72">
        <v>4</v>
      </c>
      <c r="H22" s="72">
        <v>4</v>
      </c>
      <c r="I22" s="72">
        <v>4</v>
      </c>
      <c r="J22" s="72">
        <v>4</v>
      </c>
      <c r="K22" s="72">
        <v>4</v>
      </c>
      <c r="L22" s="72">
        <v>4</v>
      </c>
      <c r="M22" s="72">
        <v>4</v>
      </c>
      <c r="N22" s="72">
        <v>4</v>
      </c>
      <c r="O22" s="72">
        <v>4</v>
      </c>
      <c r="P22" s="72">
        <v>4</v>
      </c>
      <c r="Q22" s="72">
        <v>4</v>
      </c>
      <c r="R22" s="72">
        <v>4</v>
      </c>
      <c r="S22" s="72">
        <v>4</v>
      </c>
      <c r="T22" s="72">
        <v>4</v>
      </c>
      <c r="U22" s="72">
        <v>4</v>
      </c>
      <c r="V22" s="72">
        <v>4</v>
      </c>
      <c r="W22" s="72">
        <v>4</v>
      </c>
      <c r="X22" s="72">
        <v>4</v>
      </c>
      <c r="Y22" s="72">
        <v>4</v>
      </c>
      <c r="Z22" s="72">
        <v>4</v>
      </c>
      <c r="AA22" s="72">
        <v>4</v>
      </c>
      <c r="AB22" s="72">
        <v>4</v>
      </c>
      <c r="AC22" s="72">
        <v>4</v>
      </c>
      <c r="AD22" s="72">
        <v>4</v>
      </c>
      <c r="AE22" s="72">
        <v>4</v>
      </c>
      <c r="AF22" s="72">
        <v>4</v>
      </c>
      <c r="AG22" s="71">
        <f t="shared" ref="AG22:BM22" si="39">AG$14</f>
        <v>80.197777777777773</v>
      </c>
      <c r="AH22" s="71">
        <f t="shared" si="39"/>
        <v>74.748333333333321</v>
      </c>
      <c r="AI22" s="71">
        <f t="shared" si="39"/>
        <v>71.018799999999999</v>
      </c>
      <c r="AJ22" s="71">
        <f t="shared" si="39"/>
        <v>68.614709333333337</v>
      </c>
      <c r="AK22" s="71">
        <f t="shared" si="39"/>
        <v>67.210203519999993</v>
      </c>
      <c r="AL22" s="71">
        <f t="shared" si="39"/>
        <v>66.635257590399988</v>
      </c>
      <c r="AM22" s="71">
        <f t="shared" si="39"/>
        <v>66.516512742207979</v>
      </c>
      <c r="AN22" s="71">
        <f t="shared" si="39"/>
        <v>66.473942997052163</v>
      </c>
      <c r="AO22" s="71">
        <f t="shared" si="39"/>
        <v>67.803421856993197</v>
      </c>
      <c r="AP22" s="71">
        <f t="shared" si="39"/>
        <v>69.159490294133064</v>
      </c>
      <c r="AQ22" s="71">
        <f t="shared" si="39"/>
        <v>70.542680100015716</v>
      </c>
      <c r="AR22" s="71">
        <f t="shared" si="39"/>
        <v>71.953533702016031</v>
      </c>
      <c r="AS22" s="71">
        <f t="shared" si="39"/>
        <v>73.392604376056354</v>
      </c>
      <c r="AT22" s="71">
        <f t="shared" si="39"/>
        <v>74.860456463577492</v>
      </c>
      <c r="AU22" s="71">
        <f t="shared" si="39"/>
        <v>76.357665592849045</v>
      </c>
      <c r="AV22" s="71">
        <f t="shared" si="39"/>
        <v>77.884818904706023</v>
      </c>
      <c r="AW22" s="71">
        <f t="shared" si="39"/>
        <v>79.442515282800144</v>
      </c>
      <c r="AX22" s="71">
        <f t="shared" si="39"/>
        <v>81.03136558845614</v>
      </c>
      <c r="AY22" s="71">
        <f t="shared" si="39"/>
        <v>82.651992900225267</v>
      </c>
      <c r="AZ22" s="71">
        <f t="shared" si="39"/>
        <v>84.305032758229771</v>
      </c>
      <c r="BA22" s="71">
        <f t="shared" si="39"/>
        <v>85.991133413394351</v>
      </c>
      <c r="BB22" s="71">
        <f t="shared" si="39"/>
        <v>87.71095608166226</v>
      </c>
      <c r="BC22" s="71">
        <f t="shared" si="39"/>
        <v>89.465175203295502</v>
      </c>
      <c r="BD22" s="71">
        <f t="shared" si="39"/>
        <v>91.254478707361415</v>
      </c>
      <c r="BE22" s="71">
        <f t="shared" si="39"/>
        <v>93.079568281508642</v>
      </c>
      <c r="BF22" s="71">
        <f t="shared" si="39"/>
        <v>94.941159647138818</v>
      </c>
      <c r="BG22" s="71">
        <f t="shared" si="39"/>
        <v>96.839982840081589</v>
      </c>
      <c r="BH22" s="71">
        <f t="shared" si="39"/>
        <v>98.776782496883214</v>
      </c>
      <c r="BI22" s="71">
        <f t="shared" si="39"/>
        <v>100.75231814682088</v>
      </c>
      <c r="BJ22" s="71">
        <f t="shared" si="39"/>
        <v>102.76736450975731</v>
      </c>
      <c r="BK22" s="71">
        <f t="shared" si="39"/>
        <v>104.82271179995246</v>
      </c>
      <c r="BL22" s="71">
        <f t="shared" si="39"/>
        <v>106.91916603595149</v>
      </c>
      <c r="BM22" s="71">
        <f t="shared" si="39"/>
        <v>109.05754935667052</v>
      </c>
      <c r="BN22" s="71">
        <f t="shared" ref="BN22:BW22" si="40">BN$14</f>
        <v>111.23870034380394</v>
      </c>
      <c r="BO22" s="71">
        <f t="shared" si="40"/>
        <v>113.46347435068002</v>
      </c>
      <c r="BP22" s="71">
        <f t="shared" si="40"/>
        <v>115.73274383769362</v>
      </c>
      <c r="BQ22" s="71">
        <f t="shared" si="40"/>
        <v>118.0473987144475</v>
      </c>
      <c r="BR22" s="71">
        <f t="shared" si="40"/>
        <v>120.40834668873644</v>
      </c>
      <c r="BS22" s="71">
        <f t="shared" si="40"/>
        <v>122.81651362251118</v>
      </c>
      <c r="BT22" s="71">
        <f t="shared" si="40"/>
        <v>125.27284389496143</v>
      </c>
      <c r="BU22" s="71">
        <f t="shared" si="40"/>
        <v>127.77830077286065</v>
      </c>
      <c r="BV22" s="71">
        <f t="shared" si="40"/>
        <v>130.33386678831786</v>
      </c>
      <c r="BW22" s="71">
        <f t="shared" si="40"/>
        <v>132.94054412408423</v>
      </c>
    </row>
    <row r="23" spans="1:75" x14ac:dyDescent="0.3">
      <c r="A23" s="5" t="s">
        <v>66</v>
      </c>
      <c r="B23" s="5"/>
      <c r="C23" s="72">
        <v>4</v>
      </c>
      <c r="D23" s="72">
        <v>4</v>
      </c>
      <c r="E23" s="72">
        <v>4</v>
      </c>
      <c r="F23" s="72">
        <v>4</v>
      </c>
      <c r="G23" s="72">
        <v>4</v>
      </c>
      <c r="H23" s="72">
        <v>4</v>
      </c>
      <c r="I23" s="72">
        <v>4</v>
      </c>
      <c r="J23" s="72">
        <v>4</v>
      </c>
      <c r="K23" s="72">
        <v>4</v>
      </c>
      <c r="L23" s="72">
        <v>4</v>
      </c>
      <c r="M23" s="72">
        <v>4</v>
      </c>
      <c r="N23" s="72">
        <v>4</v>
      </c>
      <c r="O23" s="72">
        <v>4</v>
      </c>
      <c r="P23" s="72">
        <v>4</v>
      </c>
      <c r="Q23" s="72">
        <v>4</v>
      </c>
      <c r="R23" s="72">
        <v>4</v>
      </c>
      <c r="S23" s="72">
        <v>4</v>
      </c>
      <c r="T23" s="72">
        <v>4</v>
      </c>
      <c r="U23" s="72">
        <v>4</v>
      </c>
      <c r="V23" s="72">
        <v>4</v>
      </c>
      <c r="W23" s="72">
        <v>4</v>
      </c>
      <c r="X23" s="72">
        <v>4</v>
      </c>
      <c r="Y23" s="72">
        <v>4</v>
      </c>
      <c r="Z23" s="72">
        <v>4</v>
      </c>
      <c r="AA23" s="72">
        <v>4</v>
      </c>
      <c r="AB23" s="72">
        <v>4</v>
      </c>
      <c r="AC23" s="72">
        <v>4</v>
      </c>
      <c r="AD23" s="72">
        <v>4</v>
      </c>
      <c r="AE23" s="72">
        <v>4</v>
      </c>
      <c r="AF23" s="72">
        <v>4</v>
      </c>
      <c r="AG23" s="71">
        <f ca="1">AG13-AG$13*AG24+AG15</f>
        <v>79.052463138501111</v>
      </c>
      <c r="AH23" s="71">
        <f t="shared" ref="AH23:AO23" ca="1" si="41">AH13-AH$13*AH24+AH15</f>
        <v>73.306476160188367</v>
      </c>
      <c r="AI23" s="71">
        <f t="shared" ca="1" si="41"/>
        <v>69.596923650744003</v>
      </c>
      <c r="AJ23" s="71">
        <f t="shared" ca="1" si="41"/>
        <v>67.214712894796392</v>
      </c>
      <c r="AK23" s="71">
        <f t="shared" ca="1" si="41"/>
        <v>65.932912715574233</v>
      </c>
      <c r="AL23" s="71">
        <f t="shared" ca="1" si="41"/>
        <v>65.566235242760115</v>
      </c>
      <c r="AM23" s="71">
        <f t="shared" ca="1" si="41"/>
        <v>65.507400839429337</v>
      </c>
      <c r="AN23" s="71">
        <f t="shared" ca="1" si="41"/>
        <v>65.471918271803517</v>
      </c>
      <c r="AO23" s="71">
        <f t="shared" ca="1" si="41"/>
        <v>66.786157249207463</v>
      </c>
      <c r="AP23" s="71">
        <f t="shared" ref="AP23" ca="1" si="42">AP13-AP$13*AP24+AP15</f>
        <v>68.123973406735971</v>
      </c>
      <c r="AQ23" s="71">
        <f t="shared" ref="AQ23" ca="1" si="43">AQ13-AQ$13*AQ24+AQ15</f>
        <v>69.486986925009617</v>
      </c>
      <c r="AR23" s="71">
        <f t="shared" ref="AR23" ca="1" si="44">AR13-AR$13*AR24+AR15</f>
        <v>70.900760885484758</v>
      </c>
      <c r="AS23" s="71">
        <f t="shared" ref="AS23" ca="1" si="45">AS13-AS$13*AS24+AS15</f>
        <v>72.323288737955124</v>
      </c>
      <c r="AT23" s="71">
        <f t="shared" ref="AT23" ca="1" si="46">AT13-AT$13*AT24+AT15</f>
        <v>73.77736466786871</v>
      </c>
      <c r="AU23" s="71">
        <f t="shared" ref="AU23" ca="1" si="47">AU13-AU$13*AU24+AU15</f>
        <v>75.239367469407256</v>
      </c>
      <c r="AV23" s="71">
        <f t="shared" ref="AV23" ca="1" si="48">AV13-AV$13*AV24+AV15</f>
        <v>76.725243720675991</v>
      </c>
      <c r="AW23" s="71">
        <f t="shared" ref="AW23" ca="1" si="49">AW13-AW$13*AW24+AW15</f>
        <v>78.237762293599729</v>
      </c>
      <c r="AX23" s="71">
        <f t="shared" ref="AX23" ca="1" si="50">AX13-AX$13*AX24+AX15</f>
        <v>79.788287842805502</v>
      </c>
      <c r="AY23" s="71">
        <f t="shared" ref="AY23" ca="1" si="51">AY13-AY$13*AY24+AY15</f>
        <v>81.376802104219351</v>
      </c>
      <c r="AZ23" s="71">
        <f t="shared" ref="AZ23" ca="1" si="52">AZ13-AZ$13*AZ24+AZ15</f>
        <v>83.001285262983799</v>
      </c>
      <c r="BA23" s="71">
        <f t="shared" ref="BA23" ca="1" si="53">BA13-BA$13*BA24+BA15</f>
        <v>84.654450811642704</v>
      </c>
      <c r="BB23" s="71">
        <f t="shared" ref="BB23" ca="1" si="54">BB13-BB$13*BB24+BB15</f>
        <v>86.349161811675543</v>
      </c>
      <c r="BC23" s="71">
        <f t="shared" ref="BC23" ca="1" si="55">BC13-BC$13*BC24+BC15</f>
        <v>88.043503782482247</v>
      </c>
      <c r="BD23" s="71">
        <f t="shared" ref="BD23" ca="1" si="56">BD13-BD$13*BD24+BD15</f>
        <v>89.769958726442823</v>
      </c>
      <c r="BE23" s="71">
        <f t="shared" ref="BE23" ca="1" si="57">BE13-BE$13*BE24+BE15</f>
        <v>91.493511257615808</v>
      </c>
      <c r="BF23" s="71">
        <f t="shared" ref="BF23" ca="1" si="58">BF13-BF$13*BF24+BF15</f>
        <v>93.224412221896316</v>
      </c>
      <c r="BG23" s="71">
        <f t="shared" ref="BG23" ca="1" si="59">BG13-BG$13*BG24+BG15</f>
        <v>95.14095081649748</v>
      </c>
      <c r="BH23" s="71">
        <f t="shared" ref="BH23" ca="1" si="60">BH13-BH$13*BH24+BH15</f>
        <v>97.127616752013267</v>
      </c>
      <c r="BI23" s="71">
        <f t="shared" ref="BI23" ca="1" si="61">BI13-BI$13*BI24+BI15</f>
        <v>99.073124252551679</v>
      </c>
      <c r="BJ23" s="71">
        <f t="shared" ref="BJ23" ca="1" si="62">BJ13-BJ$13*BJ24+BJ15</f>
        <v>102.76736450975731</v>
      </c>
      <c r="BK23" s="71">
        <f t="shared" ref="BK23" ca="1" si="63">BK13-BK$13*BK24+BK15</f>
        <v>104.82271179995246</v>
      </c>
      <c r="BL23" s="71">
        <f t="shared" ref="BL23" ca="1" si="64">BL13-BL$13*BL24+BL15</f>
        <v>106.91916603595149</v>
      </c>
      <c r="BM23" s="71">
        <f t="shared" ref="BM23" ca="1" si="65">BM13-BM$13*BM24+BM15</f>
        <v>109.05754935667052</v>
      </c>
      <c r="BN23" s="71">
        <f t="shared" ref="BN23" ca="1" si="66">BN13-BN$13*BN24+BN15</f>
        <v>111.23870034380394</v>
      </c>
      <c r="BO23" s="71">
        <f t="shared" ref="BO23" ca="1" si="67">BO13-BO$13*BO24+BO15</f>
        <v>113.46347435068002</v>
      </c>
      <c r="BP23" s="71">
        <f t="shared" ref="BP23" ca="1" si="68">BP13-BP$13*BP24+BP15</f>
        <v>115.73274383769362</v>
      </c>
      <c r="BQ23" s="71">
        <f t="shared" ref="BQ23" ca="1" si="69">BQ13-BQ$13*BQ24+BQ15</f>
        <v>118.0473987144475</v>
      </c>
      <c r="BR23" s="71">
        <f t="shared" ref="BR23" ca="1" si="70">BR13-BR$13*BR24+BR15</f>
        <v>120.40834668873644</v>
      </c>
      <c r="BS23" s="71">
        <f t="shared" ref="BS23" ca="1" si="71">BS13-BS$13*BS24+BS15</f>
        <v>122.81651362251118</v>
      </c>
      <c r="BT23" s="71">
        <f t="shared" ref="BT23" ca="1" si="72">BT13-BT$13*BT24+BT15</f>
        <v>125.27284389496143</v>
      </c>
      <c r="BU23" s="71">
        <f t="shared" ref="BU23" ca="1" si="73">BU13-BU$13*BU24+BU15</f>
        <v>127.77830077286065</v>
      </c>
      <c r="BV23" s="71">
        <f t="shared" ref="BV23" ca="1" si="74">BV13-BV$13*BV24+BV15</f>
        <v>130.33386678831786</v>
      </c>
      <c r="BW23" s="71">
        <f t="shared" ref="BW23" ca="1" si="75">BW13-BW$13*BW24+BW15</f>
        <v>132.94054412408423</v>
      </c>
    </row>
    <row r="24" spans="1:75" x14ac:dyDescent="0.3">
      <c r="A24" s="21" t="s">
        <v>744</v>
      </c>
      <c r="B24" s="5"/>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199">
        <f ca="1">SUMIFS(INDIRECT("'"&amp;$A23&amp;$B$3&amp;"'!"&amp;"$ai:$ai"),INDIRECT("'"&amp;$A11&amp;$B$3&amp;"'!"&amp;"$A:$A"),'Receita Líquida - O&amp;G'!AG$1)</f>
        <v>1.376616863897262E-2</v>
      </c>
      <c r="AH24" s="199">
        <f ca="1">SUMIFS(INDIRECT("'"&amp;$A23&amp;$B$3&amp;"'!"&amp;"$ai:$ai"),INDIRECT("'"&amp;$A11&amp;$B$3&amp;"'!"&amp;"$A:$A"),'Receita Líquida - O&amp;G'!AH$1)</f>
        <v>1.853088366470974E-2</v>
      </c>
      <c r="AI24" s="199">
        <f ca="1">SUMIFS(INDIRECT("'"&amp;$A23&amp;$B$3&amp;"'!"&amp;"$ai:$ai"),INDIRECT("'"&amp;$A11&amp;$B$3&amp;"'!"&amp;"$A:$A"),'Receita Líquida - O&amp;G'!AI$1)</f>
        <v>1.9178262061721102E-2</v>
      </c>
      <c r="AJ24" s="199">
        <f ca="1">SUMIFS(INDIRECT("'"&amp;$A23&amp;$B$3&amp;"'!"&amp;"$ai:$ai"),INDIRECT("'"&amp;$A11&amp;$B$3&amp;"'!"&amp;"$A:$A"),'Receita Líquida - O&amp;G'!AJ$1)</f>
        <v>1.9499010263055387E-2</v>
      </c>
      <c r="AK24" s="199">
        <f ca="1">SUMIFS(INDIRECT("'"&amp;$A23&amp;$B$3&amp;"'!"&amp;"$ai:$ai"),INDIRECT("'"&amp;$A11&amp;$B$3&amp;"'!"&amp;"$A:$A"),'Receita Líquida - O&amp;G'!AK$1)</f>
        <v>1.8128528608391647E-2</v>
      </c>
      <c r="AL24" s="199">
        <f ca="1">SUMIFS(INDIRECT("'"&amp;$A23&amp;$B$3&amp;"'!"&amp;"$ai:$ai"),INDIRECT("'"&amp;$A11&amp;$B$3&amp;"'!"&amp;"$A:$A"),'Receita Líquida - O&amp;G'!AL$1)</f>
        <v>1.5283210231099981E-2</v>
      </c>
      <c r="AM24" s="199">
        <f ca="1">SUMIFS(INDIRECT("'"&amp;$A23&amp;$B$3&amp;"'!"&amp;"$ai:$ai"),INDIRECT("'"&amp;$A11&amp;$B$3&amp;"'!"&amp;"$A:$A"),'Receita Líquida - O&amp;G'!AM$1)</f>
        <v>1.4437540636363679E-2</v>
      </c>
      <c r="AN24" s="199">
        <f ca="1">SUMIFS(INDIRECT("'"&amp;$A23&amp;$B$3&amp;"'!"&amp;"$ai:$ai"),INDIRECT("'"&amp;$A11&amp;$B$3&amp;"'!"&amp;"$A:$A"),'Receita Líquida - O&amp;G'!AN$1)</f>
        <v>1.433101723753784E-2</v>
      </c>
      <c r="AO24" s="199">
        <f ca="1">SUMIFS(INDIRECT("'"&amp;$A23&amp;$B$3&amp;"'!"&amp;"$ai:$ai"),INDIRECT("'"&amp;$A11&amp;$B$3&amp;"'!"&amp;"$A:$A"),'Receita Líquida - O&amp;G'!AO$1)</f>
        <v>1.4263704847356834E-2</v>
      </c>
      <c r="AP24" s="199">
        <f ca="1">SUMIFS(INDIRECT("'"&amp;$A23&amp;$B$3&amp;"'!"&amp;"$ai:$ai"),INDIRECT("'"&amp;$A11&amp;$B$3&amp;"'!"&amp;"$A:$A"),'Receita Líquida - O&amp;G'!AP$1)</f>
        <v>1.4234932846264569E-2</v>
      </c>
      <c r="AQ24" s="199">
        <f ca="1">SUMIFS(INDIRECT("'"&amp;$A23&amp;$B$3&amp;"'!"&amp;"$ai:$ai"),INDIRECT("'"&amp;$A11&amp;$B$3&amp;"'!"&amp;"$A:$A"),'Receita Líquida - O&amp;G'!AQ$1)</f>
        <v>1.4227735372384614E-2</v>
      </c>
      <c r="AR24" s="199">
        <f ca="1">SUMIFS(INDIRECT("'"&amp;$A23&amp;$B$3&amp;"'!"&amp;"$ai:$ai"),INDIRECT("'"&amp;$A11&amp;$B$3&amp;"'!"&amp;"$A:$A"),'Receita Líquida - O&amp;G'!AR$1)</f>
        <v>1.3910173787149134E-2</v>
      </c>
      <c r="AS24" s="199">
        <f ca="1">SUMIFS(INDIRECT("'"&amp;$A23&amp;$B$3&amp;"'!"&amp;"$ai:$ai"),INDIRECT("'"&amp;$A11&amp;$B$3&amp;"'!"&amp;"$A:$A"),'Receita Líquida - O&amp;G'!AS$1)</f>
        <v>1.3851717947099924E-2</v>
      </c>
      <c r="AT24" s="199">
        <f ca="1">SUMIFS(INDIRECT("'"&amp;$A23&amp;$B$3&amp;"'!"&amp;"$ai:$ai"),INDIRECT("'"&amp;$A11&amp;$B$3&amp;"'!"&amp;"$A:$A"),'Receita Líquida - O&amp;G'!AT$1)</f>
        <v>1.3755070349972063E-2</v>
      </c>
      <c r="AU24" s="199">
        <f ca="1">SUMIFS(INDIRECT("'"&amp;$A23&amp;$B$3&amp;"'!"&amp;"$ai:$ai"),INDIRECT("'"&amp;$A11&amp;$B$3&amp;"'!"&amp;"$A:$A"),'Receita Líquida - O&amp;G'!AU$1)</f>
        <v>1.3923710155707791E-2</v>
      </c>
      <c r="AV24" s="199">
        <f ca="1">SUMIFS(INDIRECT("'"&amp;$A23&amp;$B$3&amp;"'!"&amp;"$ai:$ai"),INDIRECT("'"&amp;$A11&amp;$B$3&amp;"'!"&amp;"$A:$A"),'Receita Líquida - O&amp;G'!AV$1)</f>
        <v>1.4154551691084568E-2</v>
      </c>
      <c r="AW24" s="199">
        <f ca="1">SUMIFS(INDIRECT("'"&amp;$A23&amp;$B$3&amp;"'!"&amp;"$ai:$ai"),INDIRECT("'"&amp;$A11&amp;$B$3&amp;"'!"&amp;"$A:$A"),'Receita Líquida - O&amp;G'!AW$1)</f>
        <v>1.4417668875704653E-2</v>
      </c>
      <c r="AX24" s="199">
        <f ca="1">SUMIFS(INDIRECT("'"&amp;$A23&amp;$B$3&amp;"'!"&amp;"$ai:$ai"),INDIRECT("'"&amp;$A11&amp;$B$3&amp;"'!"&amp;"$A:$A"),'Receita Líquida - O&amp;G'!AX$1)</f>
        <v>1.4584621213631922E-2</v>
      </c>
      <c r="AY24" s="199">
        <f ca="1">SUMIFS(INDIRECT("'"&amp;$A23&amp;$B$3&amp;"'!"&amp;"$ai:$ai"),INDIRECT("'"&amp;$A11&amp;$B$3&amp;"'!"&amp;"$A:$A"),'Receita Líquida - O&amp;G'!AY$1)</f>
        <v>1.4668032394443848E-2</v>
      </c>
      <c r="AZ24" s="199">
        <f ca="1">SUMIFS(INDIRECT("'"&amp;$A23&amp;$B$3&amp;"'!"&amp;"$ai:$ai"),INDIRECT("'"&amp;$A11&amp;$B$3&amp;"'!"&amp;"$A:$A"),'Receita Líquida - O&amp;G'!AZ$1)</f>
        <v>1.4702459992607702E-2</v>
      </c>
      <c r="BA24" s="199">
        <f ca="1">SUMIFS(INDIRECT("'"&amp;$A23&amp;$B$3&amp;"'!"&amp;"$ai:$ai"),INDIRECT("'"&amp;$A11&amp;$B$3&amp;"'!"&amp;"$A:$A"),'Receita Líquida - O&amp;G'!BA$1)</f>
        <v>1.4778305590140923E-2</v>
      </c>
      <c r="BB24" s="199">
        <f ca="1">SUMIFS(INDIRECT("'"&amp;$A23&amp;$B$3&amp;"'!"&amp;"$ai:$ai"),INDIRECT("'"&amp;$A11&amp;$B$3&amp;"'!"&amp;"$A:$A"),'Receita Líquida - O&amp;G'!BB$1)</f>
        <v>1.4760724626006359E-2</v>
      </c>
      <c r="BC24" s="199">
        <f ca="1">SUMIFS(INDIRECT("'"&amp;$A23&amp;$B$3&amp;"'!"&amp;"$ai:$ai"),INDIRECT("'"&amp;$A11&amp;$B$3&amp;"'!"&amp;"$A:$A"),'Receita Líquida - O&amp;G'!BC$1)</f>
        <v>1.5107591631406738E-2</v>
      </c>
      <c r="BD24" s="199">
        <f ca="1">SUMIFS(INDIRECT("'"&amp;$A23&amp;$B$3&amp;"'!"&amp;"$ai:$ai"),INDIRECT("'"&amp;$A11&amp;$B$3&amp;"'!"&amp;"$A:$A"),'Receita Líquida - O&amp;G'!BD$1)</f>
        <v>1.5466137950161388E-2</v>
      </c>
      <c r="BE24" s="199">
        <f ca="1">SUMIFS(INDIRECT("'"&amp;$A23&amp;$B$3&amp;"'!"&amp;"$ai:$ai"),INDIRECT("'"&amp;$A11&amp;$B$3&amp;"'!"&amp;"$A:$A"),'Receita Líquida - O&amp;G'!BE$1)</f>
        <v>1.619997923911351E-2</v>
      </c>
      <c r="BF24" s="199">
        <f ca="1">SUMIFS(INDIRECT("'"&amp;$A23&amp;$B$3&amp;"'!"&amp;"$ai:$ai"),INDIRECT("'"&amp;$A11&amp;$B$3&amp;"'!"&amp;"$A:$A"),'Receita Líquida - O&amp;G'!BF$1)</f>
        <v>1.7191029808804891E-2</v>
      </c>
      <c r="BG24" s="199">
        <f ca="1">SUMIFS(INDIRECT("'"&amp;$A23&amp;$B$3&amp;"'!"&amp;"$ai:$ai"),INDIRECT("'"&amp;$A11&amp;$B$3&amp;"'!"&amp;"$A:$A"),'Receita Líquida - O&amp;G'!BG$1)</f>
        <v>1.6680032076984763E-2</v>
      </c>
      <c r="BH24" s="199">
        <f ca="1">SUMIFS(INDIRECT("'"&amp;$A23&amp;$B$3&amp;"'!"&amp;"$ai:$ai"),INDIRECT("'"&amp;$A11&amp;$B$3&amp;"'!"&amp;"$A:$A"),'Receita Líquida - O&amp;G'!BH$1)</f>
        <v>1.5873015873015872E-2</v>
      </c>
      <c r="BI24" s="199">
        <f ca="1">SUMIFS(INDIRECT("'"&amp;$A23&amp;$B$3&amp;"'!"&amp;"$ai:$ai"),INDIRECT("'"&amp;$A11&amp;$B$3&amp;"'!"&amp;"$A:$A"),'Receita Líquida - O&amp;G'!BI$1)</f>
        <v>1.5845130479276822E-2</v>
      </c>
      <c r="BJ24" s="199">
        <f ca="1">SUMIFS(INDIRECT("'"&amp;$A23&amp;$B$3&amp;"'!"&amp;"$ai:$ai"),INDIRECT("'"&amp;$A11&amp;$B$3&amp;"'!"&amp;"$A:$A"),'Receita Líquida - O&amp;G'!BJ$1)</f>
        <v>0</v>
      </c>
      <c r="BK24" s="199">
        <f ca="1">SUMIFS(INDIRECT("'"&amp;$A23&amp;$B$3&amp;"'!"&amp;"$ai:$ai"),INDIRECT("'"&amp;$A11&amp;$B$3&amp;"'!"&amp;"$A:$A"),'Receita Líquida - O&amp;G'!BK$1)</f>
        <v>0</v>
      </c>
      <c r="BL24" s="199">
        <f ca="1">SUMIFS(INDIRECT("'"&amp;$A23&amp;$B$3&amp;"'!"&amp;"$ai:$ai"),INDIRECT("'"&amp;$A11&amp;$B$3&amp;"'!"&amp;"$A:$A"),'Receita Líquida - O&amp;G'!BL$1)</f>
        <v>0</v>
      </c>
      <c r="BM24" s="199">
        <f ca="1">SUMIFS(INDIRECT("'"&amp;$A23&amp;$B$3&amp;"'!"&amp;"$ai:$ai"),INDIRECT("'"&amp;$A11&amp;$B$3&amp;"'!"&amp;"$A:$A"),'Receita Líquida - O&amp;G'!BM$1)</f>
        <v>0</v>
      </c>
      <c r="BN24" s="199">
        <f ca="1">SUMIFS(INDIRECT("'"&amp;$A23&amp;$B$3&amp;"'!"&amp;"$ai:$ai"),INDIRECT("'"&amp;$A11&amp;$B$3&amp;"'!"&amp;"$A:$A"),'Receita Líquida - O&amp;G'!BN$1)</f>
        <v>0</v>
      </c>
      <c r="BO24" s="199">
        <f ca="1">SUMIFS(INDIRECT("'"&amp;$A23&amp;$B$3&amp;"'!"&amp;"$ai:$ai"),INDIRECT("'"&amp;$A11&amp;$B$3&amp;"'!"&amp;"$A:$A"),'Receita Líquida - O&amp;G'!BO$1)</f>
        <v>0</v>
      </c>
      <c r="BP24" s="199">
        <f ca="1">SUMIFS(INDIRECT("'"&amp;$A23&amp;$B$3&amp;"'!"&amp;"$ai:$ai"),INDIRECT("'"&amp;$A11&amp;$B$3&amp;"'!"&amp;"$A:$A"),'Receita Líquida - O&amp;G'!BP$1)</f>
        <v>0</v>
      </c>
      <c r="BQ24" s="199">
        <f ca="1">SUMIFS(INDIRECT("'"&amp;$A23&amp;$B$3&amp;"'!"&amp;"$ai:$ai"),INDIRECT("'"&amp;$A11&amp;$B$3&amp;"'!"&amp;"$A:$A"),'Receita Líquida - O&amp;G'!BQ$1)</f>
        <v>0</v>
      </c>
      <c r="BR24" s="199">
        <f ca="1">SUMIFS(INDIRECT("'"&amp;$A23&amp;$B$3&amp;"'!"&amp;"$ai:$ai"),INDIRECT("'"&amp;$A11&amp;$B$3&amp;"'!"&amp;"$A:$A"),'Receita Líquida - O&amp;G'!BR$1)</f>
        <v>0</v>
      </c>
      <c r="BS24" s="199">
        <f ca="1">SUMIFS(INDIRECT("'"&amp;$A23&amp;$B$3&amp;"'!"&amp;"$ai:$ai"),INDIRECT("'"&amp;$A11&amp;$B$3&amp;"'!"&amp;"$A:$A"),'Receita Líquida - O&amp;G'!BS$1)</f>
        <v>0</v>
      </c>
      <c r="BT24" s="199">
        <f ca="1">SUMIFS(INDIRECT("'"&amp;$A23&amp;$B$3&amp;"'!"&amp;"$ai:$ai"),INDIRECT("'"&amp;$A11&amp;$B$3&amp;"'!"&amp;"$A:$A"),'Receita Líquida - O&amp;G'!BT$1)</f>
        <v>0</v>
      </c>
      <c r="BU24" s="199">
        <f ca="1">SUMIFS(INDIRECT("'"&amp;$A23&amp;$B$3&amp;"'!"&amp;"$ai:$ai"),INDIRECT("'"&amp;$A11&amp;$B$3&amp;"'!"&amp;"$A:$A"),'Receita Líquida - O&amp;G'!BU$1)</f>
        <v>0</v>
      </c>
      <c r="BV24" s="199">
        <f ca="1">SUMIFS(INDIRECT("'"&amp;$A23&amp;$B$3&amp;"'!"&amp;"$ai:$ai"),INDIRECT("'"&amp;$A11&amp;$B$3&amp;"'!"&amp;"$A:$A"),'Receita Líquida - O&amp;G'!BV$1)</f>
        <v>0</v>
      </c>
      <c r="BW24" s="199">
        <f ca="1">SUMIFS(INDIRECT("'"&amp;$A23&amp;$B$3&amp;"'!"&amp;"$ai:$ai"),INDIRECT("'"&amp;$A11&amp;$B$3&amp;"'!"&amp;"$A:$A"),'Receita Líquida - O&amp;G'!BW$1)</f>
        <v>0</v>
      </c>
    </row>
    <row r="25" spans="1:75" x14ac:dyDescent="0.3">
      <c r="AF25" s="77"/>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row>
    <row r="26" spans="1:75" x14ac:dyDescent="0.3">
      <c r="A26" s="4" t="s">
        <v>685</v>
      </c>
      <c r="B26" s="4"/>
      <c r="C26" s="51">
        <f t="shared" ref="C26:AA26" si="76">SUM(C27:C30)</f>
        <v>2452</v>
      </c>
      <c r="D26" s="51">
        <f t="shared" si="76"/>
        <v>1774</v>
      </c>
      <c r="E26" s="51">
        <f t="shared" si="76"/>
        <v>2683</v>
      </c>
      <c r="F26" s="51">
        <f t="shared" si="76"/>
        <v>3082</v>
      </c>
      <c r="G26" s="48">
        <f t="shared" si="76"/>
        <v>9991</v>
      </c>
      <c r="H26" s="51">
        <f t="shared" si="76"/>
        <v>1520.471</v>
      </c>
      <c r="I26" s="51">
        <f t="shared" si="76"/>
        <v>2000</v>
      </c>
      <c r="J26" s="51">
        <f t="shared" si="76"/>
        <v>1503</v>
      </c>
      <c r="K26" s="51">
        <f t="shared" si="76"/>
        <v>2328</v>
      </c>
      <c r="L26" s="48">
        <f t="shared" si="76"/>
        <v>7351.4709999999995</v>
      </c>
      <c r="M26" s="51">
        <f t="shared" si="76"/>
        <v>1452</v>
      </c>
      <c r="N26" s="51">
        <f t="shared" si="76"/>
        <v>1397</v>
      </c>
      <c r="O26" s="51">
        <f t="shared" si="76"/>
        <v>2398</v>
      </c>
      <c r="P26" s="51">
        <f t="shared" si="76"/>
        <v>3725</v>
      </c>
      <c r="Q26" s="48">
        <f t="shared" si="76"/>
        <v>8972</v>
      </c>
      <c r="R26" s="51">
        <f t="shared" si="76"/>
        <v>1928</v>
      </c>
      <c r="S26" s="51">
        <f t="shared" si="76"/>
        <v>2837</v>
      </c>
      <c r="T26" s="51">
        <f t="shared" si="76"/>
        <v>2484</v>
      </c>
      <c r="U26" s="51">
        <f t="shared" si="76"/>
        <v>3827</v>
      </c>
      <c r="V26" s="48">
        <f t="shared" si="76"/>
        <v>11076</v>
      </c>
      <c r="W26" s="51">
        <f t="shared" si="76"/>
        <v>2798</v>
      </c>
      <c r="X26" s="51">
        <f t="shared" si="76"/>
        <v>3347</v>
      </c>
      <c r="Y26" s="51">
        <f t="shared" si="76"/>
        <v>3847</v>
      </c>
      <c r="Z26" s="51">
        <f>SUM(Z27:Z30)</f>
        <v>2293</v>
      </c>
      <c r="AA26" s="48">
        <f t="shared" si="76"/>
        <v>12285</v>
      </c>
      <c r="AB26" s="51">
        <f>SUM(AB27:AB30)</f>
        <v>7290</v>
      </c>
      <c r="AC26" s="51">
        <f>SUM(AC27:AC30)</f>
        <v>7156</v>
      </c>
      <c r="AD26" s="51">
        <f>SUM(AD27:AD30)</f>
        <v>9772</v>
      </c>
      <c r="AE26" s="51">
        <f>SUM(AE27:AE30)</f>
        <v>8343</v>
      </c>
      <c r="AF26" s="48">
        <f>SUM(AB26:AE26)</f>
        <v>32561</v>
      </c>
      <c r="AG26" s="48">
        <f ca="1">AG7</f>
        <v>41329</v>
      </c>
      <c r="AH26" s="48">
        <f t="shared" ref="AH26:BL26" ca="1" si="77">AH7</f>
        <v>54228</v>
      </c>
      <c r="AI26" s="48">
        <f t="shared" ca="1" si="77"/>
        <v>57788</v>
      </c>
      <c r="AJ26" s="48">
        <f t="shared" ca="1" si="77"/>
        <v>60808</v>
      </c>
      <c r="AK26" s="48">
        <f t="shared" ca="1" si="77"/>
        <v>59713</v>
      </c>
      <c r="AL26" s="48">
        <f t="shared" ca="1" si="77"/>
        <v>60129</v>
      </c>
      <c r="AM26" s="48">
        <f t="shared" ca="1" si="77"/>
        <v>54435</v>
      </c>
      <c r="AN26" s="48">
        <f t="shared" ca="1" si="77"/>
        <v>46226</v>
      </c>
      <c r="AO26" s="48">
        <f t="shared" ca="1" si="77"/>
        <v>40054</v>
      </c>
      <c r="AP26" s="48">
        <f t="shared" ca="1" si="77"/>
        <v>35040</v>
      </c>
      <c r="AQ26" s="48">
        <f t="shared" ca="1" si="77"/>
        <v>30882</v>
      </c>
      <c r="AR26" s="48">
        <f t="shared" ca="1" si="77"/>
        <v>26878</v>
      </c>
      <c r="AS26" s="48">
        <f t="shared" ca="1" si="77"/>
        <v>23064</v>
      </c>
      <c r="AT26" s="48">
        <f t="shared" ca="1" si="77"/>
        <v>19874</v>
      </c>
      <c r="AU26" s="48">
        <f t="shared" ca="1" si="77"/>
        <v>17538</v>
      </c>
      <c r="AV26" s="48">
        <f t="shared" ca="1" si="77"/>
        <v>15635</v>
      </c>
      <c r="AW26" s="48">
        <f t="shared" ca="1" si="77"/>
        <v>12344</v>
      </c>
      <c r="AX26" s="48">
        <f t="shared" ca="1" si="77"/>
        <v>10815</v>
      </c>
      <c r="AY26" s="48">
        <f t="shared" ca="1" si="77"/>
        <v>9503</v>
      </c>
      <c r="AZ26" s="48">
        <f t="shared" ca="1" si="77"/>
        <v>8310</v>
      </c>
      <c r="BA26" s="48">
        <f t="shared" ca="1" si="77"/>
        <v>7380</v>
      </c>
      <c r="BB26" s="48">
        <f t="shared" ca="1" si="77"/>
        <v>6410</v>
      </c>
      <c r="BC26" s="48">
        <f t="shared" ca="1" si="77"/>
        <v>5809</v>
      </c>
      <c r="BD26" s="48">
        <f t="shared" ca="1" si="77"/>
        <v>5326</v>
      </c>
      <c r="BE26" s="48">
        <f t="shared" ca="1" si="77"/>
        <v>4915</v>
      </c>
      <c r="BF26" s="48">
        <f t="shared" ca="1" si="77"/>
        <v>4307</v>
      </c>
      <c r="BG26" s="48">
        <f t="shared" ca="1" si="77"/>
        <v>3925</v>
      </c>
      <c r="BH26" s="48">
        <f t="shared" ca="1" si="77"/>
        <v>3653</v>
      </c>
      <c r="BI26" s="48">
        <f t="shared" ca="1" si="77"/>
        <v>2290</v>
      </c>
      <c r="BJ26" s="48">
        <f t="shared" ca="1" si="77"/>
        <v>0</v>
      </c>
      <c r="BK26" s="48">
        <f t="shared" ca="1" si="77"/>
        <v>0</v>
      </c>
      <c r="BL26" s="48">
        <f t="shared" ca="1" si="77"/>
        <v>0</v>
      </c>
      <c r="BM26" s="48">
        <f t="shared" ref="BM26:BW26" ca="1" si="78">BM7</f>
        <v>0</v>
      </c>
      <c r="BN26" s="48">
        <f t="shared" ca="1" si="78"/>
        <v>0</v>
      </c>
      <c r="BO26" s="48">
        <f t="shared" ca="1" si="78"/>
        <v>0</v>
      </c>
      <c r="BP26" s="48">
        <f t="shared" ca="1" si="78"/>
        <v>0</v>
      </c>
      <c r="BQ26" s="48">
        <f t="shared" ca="1" si="78"/>
        <v>0</v>
      </c>
      <c r="BR26" s="48">
        <f t="shared" ca="1" si="78"/>
        <v>0</v>
      </c>
      <c r="BS26" s="48">
        <f t="shared" ca="1" si="78"/>
        <v>0</v>
      </c>
      <c r="BT26" s="48">
        <f t="shared" ca="1" si="78"/>
        <v>0</v>
      </c>
      <c r="BU26" s="48">
        <f t="shared" ca="1" si="78"/>
        <v>0</v>
      </c>
      <c r="BV26" s="48">
        <f t="shared" ca="1" si="78"/>
        <v>0</v>
      </c>
      <c r="BW26" s="48">
        <f t="shared" ca="1" si="78"/>
        <v>0</v>
      </c>
    </row>
    <row r="27" spans="1:75" x14ac:dyDescent="0.3">
      <c r="A27" s="5" t="s">
        <v>64</v>
      </c>
      <c r="B27" s="4"/>
      <c r="C27" s="51">
        <f>'Infos - Release Operacional'!C20</f>
        <v>1989</v>
      </c>
      <c r="D27" s="51">
        <f>'Infos - Release Operacional'!D20</f>
        <v>983</v>
      </c>
      <c r="E27" s="51">
        <f>'Infos - Release Operacional'!E20</f>
        <v>1990</v>
      </c>
      <c r="F27" s="51">
        <f>'Infos - Release Operacional'!F20</f>
        <v>1975</v>
      </c>
      <c r="G27" s="51">
        <f>'Infos - Release Operacional'!G20</f>
        <v>6937</v>
      </c>
      <c r="H27" s="51">
        <f>'Infos - Release Operacional'!H20</f>
        <v>975.471</v>
      </c>
      <c r="I27" s="51">
        <f>'Infos - Release Operacional'!I20</f>
        <v>975</v>
      </c>
      <c r="J27" s="51">
        <f>'Infos - Release Operacional'!J20</f>
        <v>995</v>
      </c>
      <c r="K27" s="51">
        <f>'Infos - Release Operacional'!K20</f>
        <v>1398</v>
      </c>
      <c r="L27" s="51">
        <f>'Infos - Release Operacional'!L20</f>
        <v>4343.4709999999995</v>
      </c>
      <c r="M27" s="51">
        <f>'Infos - Release Operacional'!M20</f>
        <v>982</v>
      </c>
      <c r="N27" s="51">
        <f>'Infos - Release Operacional'!N20</f>
        <v>950</v>
      </c>
      <c r="O27" s="51">
        <f>'Infos - Release Operacional'!O20</f>
        <v>993</v>
      </c>
      <c r="P27" s="51">
        <f>'Infos - Release Operacional'!P20</f>
        <v>1943</v>
      </c>
      <c r="Q27" s="51">
        <f>'Infos - Release Operacional'!Q20</f>
        <v>4868</v>
      </c>
      <c r="R27" s="51">
        <f>'Infos - Release Operacional'!R20</f>
        <v>1021</v>
      </c>
      <c r="S27" s="51">
        <f>'Infos - Release Operacional'!S20</f>
        <v>1530</v>
      </c>
      <c r="T27" s="51">
        <f>'Infos - Release Operacional'!T20</f>
        <v>986</v>
      </c>
      <c r="U27" s="51">
        <f>'Infos - Release Operacional'!U20</f>
        <v>2000</v>
      </c>
      <c r="V27" s="51">
        <f>'Infos - Release Operacional'!V20</f>
        <v>5537</v>
      </c>
      <c r="W27" s="51">
        <f>'Infos - Release Operacional'!W20</f>
        <v>1649</v>
      </c>
      <c r="X27" s="51">
        <f>'Infos - Release Operacional'!X20</f>
        <v>1503</v>
      </c>
      <c r="Y27" s="51">
        <f>'Infos - Release Operacional'!Y20</f>
        <v>2252</v>
      </c>
      <c r="Z27" s="51">
        <f>'Infos - Release Operacional'!Z20</f>
        <v>1495</v>
      </c>
      <c r="AA27" s="51">
        <f>'Infos - Release Operacional'!AA20</f>
        <v>6899</v>
      </c>
      <c r="AB27" s="51">
        <f>'Infos - Release Operacional'!AB20</f>
        <v>4334</v>
      </c>
      <c r="AC27" s="51">
        <f>'Infos - Release Operacional'!AC20</f>
        <v>4126</v>
      </c>
      <c r="AD27" s="51">
        <f>'Infos - Release Operacional'!AD20</f>
        <v>5278</v>
      </c>
      <c r="AE27" s="51">
        <f>'Infos - Release Operacional'!AE20</f>
        <v>4672</v>
      </c>
      <c r="AF27" s="51">
        <f>SUM(AB27:AE27)</f>
        <v>18410</v>
      </c>
      <c r="AG27" s="51">
        <f t="shared" ref="AG27:BL27" ca="1" si="79">AG8</f>
        <v>23335</v>
      </c>
      <c r="AH27" s="51">
        <f t="shared" ca="1" si="79"/>
        <v>28383</v>
      </c>
      <c r="AI27" s="51">
        <f t="shared" ca="1" si="79"/>
        <v>25695</v>
      </c>
      <c r="AJ27" s="51">
        <f t="shared" ca="1" si="79"/>
        <v>23434</v>
      </c>
      <c r="AK27" s="51">
        <f t="shared" ca="1" si="79"/>
        <v>21375</v>
      </c>
      <c r="AL27" s="51">
        <f t="shared" ca="1" si="79"/>
        <v>18543</v>
      </c>
      <c r="AM27" s="51">
        <f t="shared" ca="1" si="79"/>
        <v>15132</v>
      </c>
      <c r="AN27" s="51">
        <f t="shared" ca="1" si="79"/>
        <v>12677</v>
      </c>
      <c r="AO27" s="51">
        <f t="shared" ca="1" si="79"/>
        <v>11218</v>
      </c>
      <c r="AP27" s="51">
        <f t="shared" ca="1" si="79"/>
        <v>10314</v>
      </c>
      <c r="AQ27" s="51">
        <f t="shared" ca="1" si="79"/>
        <v>9567</v>
      </c>
      <c r="AR27" s="51">
        <f t="shared" ca="1" si="79"/>
        <v>8640</v>
      </c>
      <c r="AS27" s="51">
        <f t="shared" ca="1" si="79"/>
        <v>7314</v>
      </c>
      <c r="AT27" s="51">
        <f t="shared" ca="1" si="79"/>
        <v>6315</v>
      </c>
      <c r="AU27" s="51">
        <f t="shared" ca="1" si="79"/>
        <v>5619</v>
      </c>
      <c r="AV27" s="51">
        <f t="shared" ca="1" si="79"/>
        <v>5047</v>
      </c>
      <c r="AW27" s="51">
        <f t="shared" ca="1" si="79"/>
        <v>4566</v>
      </c>
      <c r="AX27" s="51">
        <f t="shared" ca="1" si="79"/>
        <v>4128</v>
      </c>
      <c r="AY27" s="51">
        <f t="shared" ca="1" si="79"/>
        <v>3760</v>
      </c>
      <c r="AZ27" s="51">
        <f t="shared" ca="1" si="79"/>
        <v>3440</v>
      </c>
      <c r="BA27" s="51">
        <f t="shared" ca="1" si="79"/>
        <v>3176</v>
      </c>
      <c r="BB27" s="51">
        <f t="shared" ca="1" si="79"/>
        <v>2893</v>
      </c>
      <c r="BC27" s="51">
        <f t="shared" ca="1" si="79"/>
        <v>2682</v>
      </c>
      <c r="BD27" s="51">
        <f t="shared" ca="1" si="79"/>
        <v>2501</v>
      </c>
      <c r="BE27" s="51">
        <f t="shared" ca="1" si="79"/>
        <v>2346</v>
      </c>
      <c r="BF27" s="51">
        <f t="shared" ca="1" si="79"/>
        <v>2190</v>
      </c>
      <c r="BG27" s="51">
        <f t="shared" ca="1" si="79"/>
        <v>2054</v>
      </c>
      <c r="BH27" s="51">
        <f t="shared" ca="1" si="79"/>
        <v>1930</v>
      </c>
      <c r="BI27" s="51">
        <f t="shared" ca="1" si="79"/>
        <v>1313</v>
      </c>
      <c r="BJ27" s="51">
        <f t="shared" ca="1" si="79"/>
        <v>0</v>
      </c>
      <c r="BK27" s="51">
        <f t="shared" ca="1" si="79"/>
        <v>0</v>
      </c>
      <c r="BL27" s="51">
        <f t="shared" ca="1" si="79"/>
        <v>0</v>
      </c>
      <c r="BM27" s="51">
        <f t="shared" ref="BM27:BW27" ca="1" si="80">BM8</f>
        <v>0</v>
      </c>
      <c r="BN27" s="51">
        <f t="shared" ca="1" si="80"/>
        <v>0</v>
      </c>
      <c r="BO27" s="51">
        <f t="shared" ca="1" si="80"/>
        <v>0</v>
      </c>
      <c r="BP27" s="51">
        <f t="shared" ca="1" si="80"/>
        <v>0</v>
      </c>
      <c r="BQ27" s="51">
        <f t="shared" ca="1" si="80"/>
        <v>0</v>
      </c>
      <c r="BR27" s="51">
        <f t="shared" ca="1" si="80"/>
        <v>0</v>
      </c>
      <c r="BS27" s="51">
        <f t="shared" ca="1" si="80"/>
        <v>0</v>
      </c>
      <c r="BT27" s="51">
        <f t="shared" ca="1" si="80"/>
        <v>0</v>
      </c>
      <c r="BU27" s="51">
        <f t="shared" ca="1" si="80"/>
        <v>0</v>
      </c>
      <c r="BV27" s="51">
        <f t="shared" ca="1" si="80"/>
        <v>0</v>
      </c>
      <c r="BW27" s="51">
        <f t="shared" ca="1" si="80"/>
        <v>0</v>
      </c>
    </row>
    <row r="28" spans="1:75" x14ac:dyDescent="0.3">
      <c r="A28" s="5" t="s">
        <v>65</v>
      </c>
      <c r="B28" s="4"/>
      <c r="C28" s="51">
        <f>'Infos - Release Operacional'!C23</f>
        <v>0</v>
      </c>
      <c r="D28" s="51">
        <f>'Infos - Release Operacional'!D23</f>
        <v>0</v>
      </c>
      <c r="E28" s="51">
        <f>'Infos - Release Operacional'!E23</f>
        <v>0</v>
      </c>
      <c r="F28" s="51">
        <f>'Infos - Release Operacional'!F23</f>
        <v>0</v>
      </c>
      <c r="G28" s="51">
        <f>'Infos - Release Operacional'!G23</f>
        <v>0</v>
      </c>
      <c r="H28" s="51">
        <f>'Infos - Release Operacional'!H23</f>
        <v>0</v>
      </c>
      <c r="I28" s="51">
        <f>'Infos - Release Operacional'!I23</f>
        <v>0</v>
      </c>
      <c r="J28" s="51">
        <f>'Infos - Release Operacional'!J23</f>
        <v>0</v>
      </c>
      <c r="K28" s="51">
        <f>'Infos - Release Operacional'!K23</f>
        <v>0</v>
      </c>
      <c r="L28" s="51">
        <f>'Infos - Release Operacional'!L23</f>
        <v>0</v>
      </c>
      <c r="M28" s="51">
        <f>'Infos - Release Operacional'!M23</f>
        <v>0</v>
      </c>
      <c r="N28" s="51">
        <f>'Infos - Release Operacional'!N23</f>
        <v>0</v>
      </c>
      <c r="O28" s="51">
        <f>'Infos - Release Operacional'!O23</f>
        <v>0</v>
      </c>
      <c r="P28" s="51">
        <f>'Infos - Release Operacional'!P23</f>
        <v>0</v>
      </c>
      <c r="Q28" s="51">
        <f>'Infos - Release Operacional'!Q23</f>
        <v>0</v>
      </c>
      <c r="R28" s="51">
        <f>'Infos - Release Operacional'!R23</f>
        <v>0</v>
      </c>
      <c r="S28" s="51">
        <f>'Infos - Release Operacional'!S23</f>
        <v>0</v>
      </c>
      <c r="T28" s="51">
        <f>'Infos - Release Operacional'!T23</f>
        <v>0</v>
      </c>
      <c r="U28" s="51">
        <f>'Infos - Release Operacional'!U23</f>
        <v>0</v>
      </c>
      <c r="V28" s="51">
        <f>'Infos - Release Operacional'!V23</f>
        <v>0</v>
      </c>
      <c r="W28" s="51">
        <f>'Infos - Release Operacional'!W23</f>
        <v>0</v>
      </c>
      <c r="X28" s="51">
        <f>'Infos - Release Operacional'!X23</f>
        <v>0</v>
      </c>
      <c r="Y28" s="51">
        <f>'Infos - Release Operacional'!Y23</f>
        <v>0</v>
      </c>
      <c r="Z28" s="51">
        <f>'Infos - Release Operacional'!Z23</f>
        <v>0</v>
      </c>
      <c r="AA28" s="51">
        <f>'Infos - Release Operacional'!AA23</f>
        <v>0</v>
      </c>
      <c r="AB28" s="51">
        <f>'Infos - Release Operacional'!AB23</f>
        <v>0</v>
      </c>
      <c r="AC28" s="51">
        <f>'Infos - Release Operacional'!AC23</f>
        <v>0</v>
      </c>
      <c r="AD28" s="51">
        <f>'Infos - Release Operacional'!AD23</f>
        <v>0</v>
      </c>
      <c r="AE28" s="51">
        <f>'Infos - Release Operacional'!AE23</f>
        <v>0</v>
      </c>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row>
    <row r="29" spans="1:75" x14ac:dyDescent="0.3">
      <c r="A29" s="5" t="s">
        <v>67</v>
      </c>
      <c r="B29" s="4"/>
      <c r="C29" s="51">
        <f>'Infos - Release Operacional'!C22</f>
        <v>463</v>
      </c>
      <c r="D29" s="51">
        <f>'Infos - Release Operacional'!D22</f>
        <v>791</v>
      </c>
      <c r="E29" s="51">
        <f>'Infos - Release Operacional'!E22</f>
        <v>693</v>
      </c>
      <c r="F29" s="51">
        <f>'Infos - Release Operacional'!F22</f>
        <v>1107</v>
      </c>
      <c r="G29" s="51">
        <f>'Infos - Release Operacional'!G22</f>
        <v>3054</v>
      </c>
      <c r="H29" s="51">
        <f>'Infos - Release Operacional'!H22</f>
        <v>545</v>
      </c>
      <c r="I29" s="51">
        <f>'Infos - Release Operacional'!I22</f>
        <v>1025</v>
      </c>
      <c r="J29" s="51">
        <f>'Infos - Release Operacional'!J22</f>
        <v>508</v>
      </c>
      <c r="K29" s="51">
        <f>'Infos - Release Operacional'!K22</f>
        <v>930</v>
      </c>
      <c r="L29" s="51">
        <f>'Infos - Release Operacional'!L22</f>
        <v>3008</v>
      </c>
      <c r="M29" s="51">
        <f>'Infos - Release Operacional'!M22</f>
        <v>470</v>
      </c>
      <c r="N29" s="51">
        <f>'Infos - Release Operacional'!N22</f>
        <v>447</v>
      </c>
      <c r="O29" s="51">
        <f>'Infos - Release Operacional'!O22</f>
        <v>1405</v>
      </c>
      <c r="P29" s="51">
        <f>'Infos - Release Operacional'!P22</f>
        <v>1782</v>
      </c>
      <c r="Q29" s="51">
        <f>'Infos - Release Operacional'!Q22</f>
        <v>4104</v>
      </c>
      <c r="R29" s="51">
        <f>'Infos - Release Operacional'!R22</f>
        <v>907</v>
      </c>
      <c r="S29" s="51">
        <f>'Infos - Release Operacional'!S22</f>
        <v>1307</v>
      </c>
      <c r="T29" s="51">
        <f>'Infos - Release Operacional'!T22</f>
        <v>1498</v>
      </c>
      <c r="U29" s="51">
        <f>'Infos - Release Operacional'!U22</f>
        <v>1827</v>
      </c>
      <c r="V29" s="51">
        <f>'Infos - Release Operacional'!V22</f>
        <v>5539</v>
      </c>
      <c r="W29" s="51">
        <f>'Infos - Release Operacional'!W22</f>
        <v>1149</v>
      </c>
      <c r="X29" s="51">
        <f>'Infos - Release Operacional'!X22</f>
        <v>1844</v>
      </c>
      <c r="Y29" s="51">
        <f>'Infos - Release Operacional'!Y22</f>
        <v>1595</v>
      </c>
      <c r="Z29" s="51">
        <f>'Infos - Release Operacional'!Z22</f>
        <v>798</v>
      </c>
      <c r="AA29" s="51">
        <f>'Infos - Release Operacional'!AA22</f>
        <v>5386</v>
      </c>
      <c r="AB29" s="51">
        <f>'Infos - Release Operacional'!AB22</f>
        <v>1547</v>
      </c>
      <c r="AC29" s="51">
        <f>'Infos - Release Operacional'!AC22</f>
        <v>1602</v>
      </c>
      <c r="AD29" s="51">
        <f>'Infos - Release Operacional'!AD22</f>
        <v>1466</v>
      </c>
      <c r="AE29" s="51">
        <f>'Infos - Release Operacional'!AE22</f>
        <v>1843</v>
      </c>
      <c r="AF29" s="51">
        <f>SUM(AB29:AE29)</f>
        <v>6458</v>
      </c>
      <c r="AG29" s="51">
        <f t="shared" ref="AG29:BL29" ca="1" si="81">AG10</f>
        <v>5842</v>
      </c>
      <c r="AH29" s="51">
        <f t="shared" ca="1" si="81"/>
        <v>6560</v>
      </c>
      <c r="AI29" s="51">
        <f t="shared" ca="1" si="81"/>
        <v>6471</v>
      </c>
      <c r="AJ29" s="51">
        <f t="shared" ca="1" si="81"/>
        <v>6274</v>
      </c>
      <c r="AK29" s="51">
        <f t="shared" ca="1" si="81"/>
        <v>5606</v>
      </c>
      <c r="AL29" s="51">
        <f t="shared" ca="1" si="81"/>
        <v>4983</v>
      </c>
      <c r="AM29" s="51">
        <f t="shared" ca="1" si="81"/>
        <v>4466</v>
      </c>
      <c r="AN29" s="51">
        <f t="shared" ca="1" si="81"/>
        <v>3990</v>
      </c>
      <c r="AO29" s="51">
        <f t="shared" ca="1" si="81"/>
        <v>3590</v>
      </c>
      <c r="AP29" s="51">
        <f t="shared" ca="1" si="81"/>
        <v>3208</v>
      </c>
      <c r="AQ29" s="51">
        <f t="shared" ca="1" si="81"/>
        <v>2896</v>
      </c>
      <c r="AR29" s="51">
        <f t="shared" ca="1" si="81"/>
        <v>2603</v>
      </c>
      <c r="AS29" s="51">
        <f t="shared" ca="1" si="81"/>
        <v>2352</v>
      </c>
      <c r="AT29" s="51">
        <f t="shared" ca="1" si="81"/>
        <v>2120</v>
      </c>
      <c r="AU29" s="51">
        <f t="shared" ca="1" si="81"/>
        <v>1907</v>
      </c>
      <c r="AV29" s="51">
        <f t="shared" ca="1" si="81"/>
        <v>1731</v>
      </c>
      <c r="AW29" s="51">
        <f t="shared" ca="1" si="81"/>
        <v>0</v>
      </c>
      <c r="AX29" s="51">
        <f t="shared" ca="1" si="81"/>
        <v>0</v>
      </c>
      <c r="AY29" s="51">
        <f t="shared" ca="1" si="81"/>
        <v>0</v>
      </c>
      <c r="AZ29" s="51">
        <f t="shared" ca="1" si="81"/>
        <v>0</v>
      </c>
      <c r="BA29" s="51">
        <f t="shared" ca="1" si="81"/>
        <v>0</v>
      </c>
      <c r="BB29" s="51">
        <f t="shared" ca="1" si="81"/>
        <v>0</v>
      </c>
      <c r="BC29" s="51">
        <f t="shared" ca="1" si="81"/>
        <v>0</v>
      </c>
      <c r="BD29" s="51">
        <f t="shared" ca="1" si="81"/>
        <v>0</v>
      </c>
      <c r="BE29" s="51">
        <f t="shared" ca="1" si="81"/>
        <v>0</v>
      </c>
      <c r="BF29" s="51">
        <f t="shared" ca="1" si="81"/>
        <v>0</v>
      </c>
      <c r="BG29" s="51">
        <f t="shared" ca="1" si="81"/>
        <v>0</v>
      </c>
      <c r="BH29" s="51">
        <f t="shared" ca="1" si="81"/>
        <v>0</v>
      </c>
      <c r="BI29" s="51">
        <f t="shared" ca="1" si="81"/>
        <v>0</v>
      </c>
      <c r="BJ29" s="51">
        <f t="shared" ca="1" si="81"/>
        <v>0</v>
      </c>
      <c r="BK29" s="51">
        <f t="shared" ca="1" si="81"/>
        <v>0</v>
      </c>
      <c r="BL29" s="51">
        <f t="shared" ca="1" si="81"/>
        <v>0</v>
      </c>
      <c r="BM29" s="51">
        <f t="shared" ref="BM29:BW29" ca="1" si="82">BM10</f>
        <v>0</v>
      </c>
      <c r="BN29" s="51">
        <f t="shared" ca="1" si="82"/>
        <v>0</v>
      </c>
      <c r="BO29" s="51">
        <f t="shared" ca="1" si="82"/>
        <v>0</v>
      </c>
      <c r="BP29" s="51">
        <f t="shared" ca="1" si="82"/>
        <v>0</v>
      </c>
      <c r="BQ29" s="51">
        <f t="shared" ca="1" si="82"/>
        <v>0</v>
      </c>
      <c r="BR29" s="51">
        <f t="shared" ca="1" si="82"/>
        <v>0</v>
      </c>
      <c r="BS29" s="51">
        <f t="shared" ca="1" si="82"/>
        <v>0</v>
      </c>
      <c r="BT29" s="51">
        <f t="shared" ca="1" si="82"/>
        <v>0</v>
      </c>
      <c r="BU29" s="51">
        <f t="shared" ca="1" si="82"/>
        <v>0</v>
      </c>
      <c r="BV29" s="51">
        <f t="shared" ca="1" si="82"/>
        <v>0</v>
      </c>
      <c r="BW29" s="51">
        <f t="shared" ca="1" si="82"/>
        <v>0</v>
      </c>
    </row>
    <row r="30" spans="1:75" x14ac:dyDescent="0.3">
      <c r="A30" s="5" t="s">
        <v>66</v>
      </c>
      <c r="B30" s="4"/>
      <c r="C30" s="51">
        <f>'Infos - Release Operacional'!C21</f>
        <v>0</v>
      </c>
      <c r="D30" s="51">
        <f>'Infos - Release Operacional'!D21</f>
        <v>0</v>
      </c>
      <c r="E30" s="51">
        <f>'Infos - Release Operacional'!E21</f>
        <v>0</v>
      </c>
      <c r="F30" s="51">
        <f>'Infos - Release Operacional'!F21</f>
        <v>0</v>
      </c>
      <c r="G30" s="51">
        <f>'Infos - Release Operacional'!G21</f>
        <v>0</v>
      </c>
      <c r="H30" s="51">
        <f>'Infos - Release Operacional'!H21</f>
        <v>0</v>
      </c>
      <c r="I30" s="51">
        <f>'Infos - Release Operacional'!I21</f>
        <v>0</v>
      </c>
      <c r="J30" s="51">
        <f>'Infos - Release Operacional'!J21</f>
        <v>0</v>
      </c>
      <c r="K30" s="51">
        <f>'Infos - Release Operacional'!K21</f>
        <v>0</v>
      </c>
      <c r="L30" s="51">
        <f>'Infos - Release Operacional'!L21</f>
        <v>0</v>
      </c>
      <c r="M30" s="51">
        <f>'Infos - Release Operacional'!M21</f>
        <v>0</v>
      </c>
      <c r="N30" s="51">
        <f>'Infos - Release Operacional'!N21</f>
        <v>0</v>
      </c>
      <c r="O30" s="51">
        <f>'Infos - Release Operacional'!O21</f>
        <v>0</v>
      </c>
      <c r="P30" s="51">
        <f>'Infos - Release Operacional'!P21</f>
        <v>0</v>
      </c>
      <c r="Q30" s="51">
        <f>'Infos - Release Operacional'!Q21</f>
        <v>0</v>
      </c>
      <c r="R30" s="51">
        <f>'Infos - Release Operacional'!R21</f>
        <v>0</v>
      </c>
      <c r="S30" s="51">
        <f>'Infos - Release Operacional'!S21</f>
        <v>0</v>
      </c>
      <c r="T30" s="51">
        <f>'Infos - Release Operacional'!T21</f>
        <v>0</v>
      </c>
      <c r="U30" s="51">
        <f>'Infos - Release Operacional'!U21</f>
        <v>0</v>
      </c>
      <c r="V30" s="51">
        <f>'Infos - Release Operacional'!V21</f>
        <v>0</v>
      </c>
      <c r="W30" s="51">
        <f>'Infos - Release Operacional'!W21</f>
        <v>0</v>
      </c>
      <c r="X30" s="51">
        <f>'Infos - Release Operacional'!X21</f>
        <v>0</v>
      </c>
      <c r="Y30" s="51">
        <f>'Infos - Release Operacional'!Y21</f>
        <v>0</v>
      </c>
      <c r="Z30" s="51">
        <f>'Infos - Release Operacional'!Z21</f>
        <v>0</v>
      </c>
      <c r="AA30" s="51">
        <f>'Infos - Release Operacional'!AA21</f>
        <v>0</v>
      </c>
      <c r="AB30" s="51">
        <f>'Infos - Release Operacional'!AB21</f>
        <v>1409</v>
      </c>
      <c r="AC30" s="51">
        <f>'Infos - Release Operacional'!AC21</f>
        <v>1428</v>
      </c>
      <c r="AD30" s="51">
        <f>'Infos - Release Operacional'!AD21</f>
        <v>3028</v>
      </c>
      <c r="AE30" s="51">
        <f>'Infos - Release Operacional'!AE21</f>
        <v>1828</v>
      </c>
      <c r="AF30" s="51">
        <f>SUM(AB30:AE30)</f>
        <v>7693</v>
      </c>
      <c r="AG30" s="51">
        <f t="shared" ref="AG30:BL30" ca="1" si="83">AG11</f>
        <v>12152</v>
      </c>
      <c r="AH30" s="51">
        <f t="shared" ca="1" si="83"/>
        <v>19285</v>
      </c>
      <c r="AI30" s="51">
        <f t="shared" ca="1" si="83"/>
        <v>25622</v>
      </c>
      <c r="AJ30" s="51">
        <f t="shared" ca="1" si="83"/>
        <v>31100</v>
      </c>
      <c r="AK30" s="51">
        <f t="shared" ca="1" si="83"/>
        <v>32732</v>
      </c>
      <c r="AL30" s="51">
        <f t="shared" ca="1" si="83"/>
        <v>36603</v>
      </c>
      <c r="AM30" s="51">
        <f t="shared" ca="1" si="83"/>
        <v>34837</v>
      </c>
      <c r="AN30" s="51">
        <f t="shared" ca="1" si="83"/>
        <v>29559</v>
      </c>
      <c r="AO30" s="51">
        <f t="shared" ca="1" si="83"/>
        <v>25246</v>
      </c>
      <c r="AP30" s="51">
        <f t="shared" ca="1" si="83"/>
        <v>21518</v>
      </c>
      <c r="AQ30" s="51">
        <f t="shared" ca="1" si="83"/>
        <v>18419</v>
      </c>
      <c r="AR30" s="51">
        <f t="shared" ca="1" si="83"/>
        <v>15635</v>
      </c>
      <c r="AS30" s="51">
        <f t="shared" ca="1" si="83"/>
        <v>13398</v>
      </c>
      <c r="AT30" s="51">
        <f t="shared" ca="1" si="83"/>
        <v>11439</v>
      </c>
      <c r="AU30" s="51">
        <f t="shared" ca="1" si="83"/>
        <v>10012</v>
      </c>
      <c r="AV30" s="51">
        <f t="shared" ca="1" si="83"/>
        <v>8857</v>
      </c>
      <c r="AW30" s="51">
        <f t="shared" ca="1" si="83"/>
        <v>7778</v>
      </c>
      <c r="AX30" s="51">
        <f t="shared" ca="1" si="83"/>
        <v>6687</v>
      </c>
      <c r="AY30" s="51">
        <f t="shared" ca="1" si="83"/>
        <v>5743</v>
      </c>
      <c r="AZ30" s="51">
        <f t="shared" ca="1" si="83"/>
        <v>4870</v>
      </c>
      <c r="BA30" s="51">
        <f t="shared" ca="1" si="83"/>
        <v>4204</v>
      </c>
      <c r="BB30" s="51">
        <f t="shared" ca="1" si="83"/>
        <v>3517</v>
      </c>
      <c r="BC30" s="51">
        <f t="shared" ca="1" si="83"/>
        <v>3127</v>
      </c>
      <c r="BD30" s="51">
        <f t="shared" ca="1" si="83"/>
        <v>2825</v>
      </c>
      <c r="BE30" s="51">
        <f t="shared" ca="1" si="83"/>
        <v>2569</v>
      </c>
      <c r="BF30" s="51">
        <f t="shared" ca="1" si="83"/>
        <v>2117</v>
      </c>
      <c r="BG30" s="51">
        <f t="shared" ca="1" si="83"/>
        <v>1871</v>
      </c>
      <c r="BH30" s="51">
        <f t="shared" ca="1" si="83"/>
        <v>1723</v>
      </c>
      <c r="BI30" s="51">
        <f t="shared" ca="1" si="83"/>
        <v>977</v>
      </c>
      <c r="BJ30" s="51">
        <f t="shared" ca="1" si="83"/>
        <v>0</v>
      </c>
      <c r="BK30" s="51">
        <f t="shared" ca="1" si="83"/>
        <v>0</v>
      </c>
      <c r="BL30" s="51">
        <f t="shared" ca="1" si="83"/>
        <v>0</v>
      </c>
      <c r="BM30" s="51">
        <f t="shared" ref="BM30:BW30" ca="1" si="84">BM11</f>
        <v>0</v>
      </c>
      <c r="BN30" s="51">
        <f t="shared" ca="1" si="84"/>
        <v>0</v>
      </c>
      <c r="BO30" s="51">
        <f t="shared" ca="1" si="84"/>
        <v>0</v>
      </c>
      <c r="BP30" s="51">
        <f t="shared" ca="1" si="84"/>
        <v>0</v>
      </c>
      <c r="BQ30" s="51">
        <f t="shared" ca="1" si="84"/>
        <v>0</v>
      </c>
      <c r="BR30" s="51">
        <f t="shared" ca="1" si="84"/>
        <v>0</v>
      </c>
      <c r="BS30" s="51">
        <f t="shared" ca="1" si="84"/>
        <v>0</v>
      </c>
      <c r="BT30" s="51">
        <f t="shared" ca="1" si="84"/>
        <v>0</v>
      </c>
      <c r="BU30" s="51">
        <f t="shared" ca="1" si="84"/>
        <v>0</v>
      </c>
      <c r="BV30" s="51">
        <f t="shared" ca="1" si="84"/>
        <v>0</v>
      </c>
      <c r="BW30" s="51">
        <f t="shared" ca="1" si="84"/>
        <v>0</v>
      </c>
    </row>
    <row r="31" spans="1:75" x14ac:dyDescent="0.3">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row>
    <row r="32" spans="1:75" x14ac:dyDescent="0.3">
      <c r="A32" s="4" t="s">
        <v>684</v>
      </c>
      <c r="C32" s="72"/>
      <c r="D32" s="72"/>
      <c r="E32" s="72"/>
      <c r="F32" s="72"/>
      <c r="G32" s="72"/>
      <c r="H32" s="51">
        <f t="shared" ref="H32:AC32" si="85">H26*H14/1000</f>
        <v>97.918332400000011</v>
      </c>
      <c r="I32" s="51">
        <f t="shared" si="85"/>
        <v>137.22</v>
      </c>
      <c r="J32" s="51">
        <f t="shared" si="85"/>
        <v>93.651930000000007</v>
      </c>
      <c r="K32" s="51">
        <f t="shared" si="85"/>
        <v>146.38464000000002</v>
      </c>
      <c r="L32" s="48">
        <f t="shared" si="85"/>
        <v>475.17490240000006</v>
      </c>
      <c r="M32" s="51">
        <f t="shared" si="85"/>
        <v>46.159080000000003</v>
      </c>
      <c r="N32" s="51">
        <f t="shared" si="85"/>
        <v>49.02073</v>
      </c>
      <c r="O32" s="51">
        <f t="shared" si="85"/>
        <v>102.41858000000001</v>
      </c>
      <c r="P32" s="51">
        <f t="shared" si="85"/>
        <v>172.3185</v>
      </c>
      <c r="Q32" s="48">
        <f t="shared" si="85"/>
        <v>369.91689000000002</v>
      </c>
      <c r="R32" s="51">
        <f t="shared" si="85"/>
        <v>119.90231999999999</v>
      </c>
      <c r="S32" s="51">
        <f t="shared" si="85"/>
        <v>189.65344999999999</v>
      </c>
      <c r="T32" s="51">
        <f t="shared" si="85"/>
        <v>184.83444</v>
      </c>
      <c r="U32" s="51">
        <f t="shared" si="85"/>
        <v>318.36813000000001</v>
      </c>
      <c r="V32" s="48">
        <f t="shared" si="85"/>
        <v>812.75834000000009</v>
      </c>
      <c r="W32" s="51">
        <f t="shared" si="85"/>
        <v>308.56344000000001</v>
      </c>
      <c r="X32" s="51">
        <f t="shared" si="85"/>
        <v>362.71439000000004</v>
      </c>
      <c r="Y32" s="51">
        <f t="shared" si="85"/>
        <v>363.00291999999996</v>
      </c>
      <c r="Z32" s="51">
        <f>Z26*Z14/1000</f>
        <v>195.63875999999999</v>
      </c>
      <c r="AA32" s="48">
        <f t="shared" si="85"/>
        <v>1229.9195099999999</v>
      </c>
      <c r="AB32" s="51">
        <f t="shared" si="85"/>
        <v>604.55970000000002</v>
      </c>
      <c r="AC32" s="51">
        <f t="shared" si="85"/>
        <v>555.80651999999998</v>
      </c>
      <c r="AD32" s="51">
        <f>AD26*AD14/1000</f>
        <v>845.08256000000006</v>
      </c>
      <c r="AE32" s="51">
        <f>AE26*AE14/1000</f>
        <v>645.66476999999998</v>
      </c>
      <c r="AF32" s="48">
        <f>AF26*AF14/1000</f>
        <v>2651.1135500000005</v>
      </c>
    </row>
    <row r="33" spans="1:75" x14ac:dyDescent="0.3">
      <c r="A33" s="4" t="s">
        <v>681</v>
      </c>
      <c r="B33" s="4"/>
      <c r="C33" s="72"/>
      <c r="D33" s="72"/>
      <c r="E33" s="72"/>
      <c r="F33" s="72"/>
      <c r="G33" s="72"/>
      <c r="H33" s="51">
        <f t="shared" ref="H33:U33" si="86">H40/H17</f>
        <v>35.751538461538466</v>
      </c>
      <c r="I33" s="51">
        <f t="shared" si="86"/>
        <v>142.30519480519482</v>
      </c>
      <c r="J33" s="51">
        <f t="shared" si="86"/>
        <v>95.92427884615384</v>
      </c>
      <c r="K33" s="51">
        <f t="shared" si="86"/>
        <v>138.80472636815921</v>
      </c>
      <c r="L33" s="48">
        <f t="shared" si="86"/>
        <v>412.8929064657878</v>
      </c>
      <c r="M33" s="51">
        <f t="shared" si="86"/>
        <v>42.915769230769229</v>
      </c>
      <c r="N33" s="51">
        <f t="shared" si="86"/>
        <v>57.091956124314443</v>
      </c>
      <c r="O33" s="51">
        <f t="shared" si="86"/>
        <v>87.111408199643492</v>
      </c>
      <c r="P33" s="51">
        <f t="shared" si="86"/>
        <v>169.56358381502889</v>
      </c>
      <c r="Q33" s="48">
        <f t="shared" si="86"/>
        <v>354.76199347927337</v>
      </c>
      <c r="R33" s="51">
        <f t="shared" si="86"/>
        <v>114.97087719298244</v>
      </c>
      <c r="S33" s="51">
        <f t="shared" si="86"/>
        <v>204.56739999999999</v>
      </c>
      <c r="T33" s="51">
        <f t="shared" si="86"/>
        <v>172.70533088235294</v>
      </c>
      <c r="U33" s="51">
        <f t="shared" si="86"/>
        <v>318.69444444444446</v>
      </c>
      <c r="V33" s="48">
        <f>'Infos - Release Operacional'!V42/1000</f>
        <v>810.88199999999995</v>
      </c>
      <c r="W33" s="51">
        <f>'Infos - Release Operacional'!W42/1000</f>
        <v>309.67599999999999</v>
      </c>
      <c r="X33" s="51">
        <f>'Infos - Release Operacional'!X42/1000</f>
        <v>377.33699999999999</v>
      </c>
      <c r="Y33" s="51">
        <f>'Infos - Release Operacional'!Y42/1000</f>
        <v>378.15499999999997</v>
      </c>
      <c r="Z33" s="51">
        <f>'Infos - Release Operacional'!Z42/1000</f>
        <v>184.49100000000001</v>
      </c>
      <c r="AA33" s="48">
        <f>'Infos - Release Operacional'!AA42/1000</f>
        <v>1249.6590000000001</v>
      </c>
      <c r="AB33" s="51">
        <f>'Infos - Release Operacional'!AB42/1000</f>
        <v>564.71600000000001</v>
      </c>
      <c r="AC33" s="51">
        <f>'Infos - Release Operacional'!AC42/1000</f>
        <v>532.49</v>
      </c>
      <c r="AD33" s="51">
        <f>'Infos - Release Operacional'!AD42/1000</f>
        <v>835.25300000000004</v>
      </c>
      <c r="AE33" s="51">
        <f>'Infos - Release Operacional'!AE42/1000</f>
        <v>690.65200000000004</v>
      </c>
      <c r="AF33" s="48">
        <f>'Infos - Release Operacional'!AF42/1000</f>
        <v>2623.1109999999999</v>
      </c>
      <c r="AG33" s="48">
        <f ca="1">SUM(AG34:AG37)</f>
        <v>3300.5760942812876</v>
      </c>
      <c r="AH33" s="48">
        <f t="shared" ref="AH33:BL33" ca="1" si="87">SUM(AH34:AH37)</f>
        <v>4025.6464044158993</v>
      </c>
      <c r="AI33" s="48">
        <f t="shared" ca="1" si="87"/>
        <v>4067.6030985793632</v>
      </c>
      <c r="AJ33" s="48">
        <f t="shared" ca="1" si="87"/>
        <v>4128.783355902835</v>
      </c>
      <c r="AK33" s="48">
        <f t="shared" ca="1" si="87"/>
        <v>3971.5146001792955</v>
      </c>
      <c r="AL33" s="48">
        <f t="shared" ca="1" si="87"/>
        <v>3967.5819786624984</v>
      </c>
      <c r="AM33" s="48">
        <f t="shared" ca="1" si="87"/>
        <v>3585.6719397649913</v>
      </c>
      <c r="AN33" s="48">
        <f t="shared" ca="1" si="87"/>
        <v>3043.2056401281088</v>
      </c>
      <c r="AO33" s="48">
        <f t="shared" ca="1" si="87"/>
        <v>2690.1163967718467</v>
      </c>
      <c r="AP33" s="48">
        <f t="shared" ca="1" si="87"/>
        <v>2401.066287523412</v>
      </c>
      <c r="AQ33" s="48">
        <f t="shared" ca="1" si="87"/>
        <v>2159.054234258248</v>
      </c>
      <c r="AR33" s="48">
        <f t="shared" ca="1" si="87"/>
        <v>1917.5069758563204</v>
      </c>
      <c r="AS33" s="48">
        <f t="shared" ca="1" si="87"/>
        <v>1678.4003364100836</v>
      </c>
      <c r="AT33" s="48">
        <f t="shared" ca="1" si="87"/>
        <v>1475.3872247060262</v>
      </c>
      <c r="AU33" s="48">
        <f t="shared" ca="1" si="87"/>
        <v>1327.9643383554874</v>
      </c>
      <c r="AV33" s="48">
        <f t="shared" ca="1" si="87"/>
        <v>1207.4587861701248</v>
      </c>
      <c r="AW33" s="48">
        <f t="shared" ca="1" si="87"/>
        <v>971.26783990088416</v>
      </c>
      <c r="AX33" s="48">
        <f t="shared" ca="1" si="87"/>
        <v>868.04175795398737</v>
      </c>
      <c r="AY33" s="48">
        <f t="shared" ca="1" si="87"/>
        <v>778.11846778937866</v>
      </c>
      <c r="AZ33" s="48">
        <f t="shared" ca="1" si="87"/>
        <v>694.2255719190415</v>
      </c>
      <c r="BA33" s="48">
        <f t="shared" ca="1" si="87"/>
        <v>628.99515093308639</v>
      </c>
      <c r="BB33" s="48">
        <f t="shared" ca="1" si="87"/>
        <v>557.43779803591178</v>
      </c>
      <c r="BC33" s="48">
        <f t="shared" ca="1" si="87"/>
        <v>515.25763622306044</v>
      </c>
      <c r="BD33" s="48">
        <f t="shared" ca="1" si="87"/>
        <v>481.82758464931192</v>
      </c>
      <c r="BE33" s="48">
        <f t="shared" ca="1" si="87"/>
        <v>453.41149760923429</v>
      </c>
      <c r="BF33" s="48">
        <f t="shared" ca="1" si="87"/>
        <v>405.27722030098857</v>
      </c>
      <c r="BG33" s="48">
        <f t="shared" ca="1" si="87"/>
        <v>376.91804373119436</v>
      </c>
      <c r="BH33" s="48">
        <f t="shared" ca="1" si="87"/>
        <v>357.99007388270348</v>
      </c>
      <c r="BI33" s="48">
        <f t="shared" ca="1" si="87"/>
        <v>229.0822361215188</v>
      </c>
      <c r="BJ33" s="48">
        <f t="shared" ca="1" si="87"/>
        <v>0</v>
      </c>
      <c r="BK33" s="48">
        <f t="shared" ca="1" si="87"/>
        <v>0</v>
      </c>
      <c r="BL33" s="48">
        <f t="shared" ca="1" si="87"/>
        <v>0</v>
      </c>
      <c r="BM33" s="48">
        <f t="shared" ref="BM33:BW33" ca="1" si="88">SUM(BM34:BM37)</f>
        <v>0</v>
      </c>
      <c r="BN33" s="48">
        <f t="shared" ca="1" si="88"/>
        <v>0</v>
      </c>
      <c r="BO33" s="48">
        <f t="shared" ca="1" si="88"/>
        <v>0</v>
      </c>
      <c r="BP33" s="48">
        <f t="shared" ca="1" si="88"/>
        <v>0</v>
      </c>
      <c r="BQ33" s="48">
        <f t="shared" ca="1" si="88"/>
        <v>0</v>
      </c>
      <c r="BR33" s="48">
        <f t="shared" ca="1" si="88"/>
        <v>0</v>
      </c>
      <c r="BS33" s="48">
        <f t="shared" ca="1" si="88"/>
        <v>0</v>
      </c>
      <c r="BT33" s="48">
        <f t="shared" ca="1" si="88"/>
        <v>0</v>
      </c>
      <c r="BU33" s="48">
        <f t="shared" ca="1" si="88"/>
        <v>0</v>
      </c>
      <c r="BV33" s="48">
        <f t="shared" ca="1" si="88"/>
        <v>0</v>
      </c>
      <c r="BW33" s="48">
        <f t="shared" ca="1" si="88"/>
        <v>0</v>
      </c>
    </row>
    <row r="34" spans="1:75" x14ac:dyDescent="0.3">
      <c r="A34" s="5" t="s">
        <v>64</v>
      </c>
      <c r="B34" s="5"/>
      <c r="C34" s="116"/>
      <c r="D34" s="116"/>
      <c r="E34" s="116"/>
      <c r="F34" s="116"/>
      <c r="G34" s="116"/>
      <c r="H34" s="11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51">
        <f ca="1">AG20*AG27/10^3</f>
        <v>1871.4151444444444</v>
      </c>
      <c r="AH34" s="51">
        <f ca="1">AH20*AH27/10^3</f>
        <v>2121.5819449999999</v>
      </c>
      <c r="AI34" s="51">
        <f t="shared" ref="AI34:BL34" ca="1" si="89">AI20*AI27/10^3</f>
        <v>1824.8280659999998</v>
      </c>
      <c r="AJ34" s="51">
        <f t="shared" ca="1" si="89"/>
        <v>1607.9170985173334</v>
      </c>
      <c r="AK34" s="51">
        <f t="shared" ca="1" si="89"/>
        <v>1436.6181002399999</v>
      </c>
      <c r="AL34" s="51">
        <f t="shared" ca="1" si="89"/>
        <v>1235.6175814987871</v>
      </c>
      <c r="AM34" s="51">
        <f t="shared" ca="1" si="89"/>
        <v>1006.5278708150912</v>
      </c>
      <c r="AN34" s="51">
        <f t="shared" ca="1" si="89"/>
        <v>842.69017537363027</v>
      </c>
      <c r="AO34" s="51">
        <f t="shared" ca="1" si="89"/>
        <v>760.61878639174961</v>
      </c>
      <c r="AP34" s="51">
        <f t="shared" ca="1" si="89"/>
        <v>713.31098289368833</v>
      </c>
      <c r="AQ34" s="51">
        <f t="shared" ca="1" si="89"/>
        <v>674.88182051685033</v>
      </c>
      <c r="AR34" s="51">
        <f t="shared" ca="1" si="89"/>
        <v>621.67853118541848</v>
      </c>
      <c r="AS34" s="51">
        <f t="shared" ca="1" si="89"/>
        <v>536.79350840647623</v>
      </c>
      <c r="AT34" s="51">
        <f t="shared" ca="1" si="89"/>
        <v>472.74378256749185</v>
      </c>
      <c r="AU34" s="51">
        <f t="shared" ca="1" si="89"/>
        <v>429.0537229662188</v>
      </c>
      <c r="AV34" s="51">
        <f t="shared" ca="1" si="89"/>
        <v>393.08468101205131</v>
      </c>
      <c r="AW34" s="51">
        <f t="shared" ca="1" si="89"/>
        <v>362.73452478126546</v>
      </c>
      <c r="AX34" s="51">
        <f t="shared" ca="1" si="89"/>
        <v>334.49747714914696</v>
      </c>
      <c r="AY34" s="51">
        <f t="shared" ca="1" si="89"/>
        <v>310.77149330484696</v>
      </c>
      <c r="AZ34" s="51">
        <f t="shared" ca="1" si="89"/>
        <v>290.00931268831039</v>
      </c>
      <c r="BA34" s="51">
        <f t="shared" ca="1" si="89"/>
        <v>273.10783972094043</v>
      </c>
      <c r="BB34" s="51">
        <f t="shared" ca="1" si="89"/>
        <v>253.74779594424891</v>
      </c>
      <c r="BC34" s="51">
        <f t="shared" ca="1" si="89"/>
        <v>239.94559989523853</v>
      </c>
      <c r="BD34" s="51">
        <f t="shared" ca="1" si="89"/>
        <v>228.22745124711091</v>
      </c>
      <c r="BE34" s="51">
        <f t="shared" ca="1" si="89"/>
        <v>218.36466718841928</v>
      </c>
      <c r="BF34" s="51">
        <f t="shared" ca="1" si="89"/>
        <v>207.92113962723403</v>
      </c>
      <c r="BG34" s="51">
        <f t="shared" ca="1" si="89"/>
        <v>198.90932475352759</v>
      </c>
      <c r="BH34" s="51">
        <f t="shared" ca="1" si="89"/>
        <v>190.63919021898462</v>
      </c>
      <c r="BI34" s="51">
        <f t="shared" ca="1" si="89"/>
        <v>132.28779372677582</v>
      </c>
      <c r="BJ34" s="51">
        <f t="shared" ca="1" si="89"/>
        <v>0</v>
      </c>
      <c r="BK34" s="51">
        <f t="shared" ca="1" si="89"/>
        <v>0</v>
      </c>
      <c r="BL34" s="51">
        <f t="shared" ca="1" si="89"/>
        <v>0</v>
      </c>
      <c r="BM34" s="51">
        <f t="shared" ref="BM34:BW34" ca="1" si="90">BM20*BM27/10^3</f>
        <v>0</v>
      </c>
      <c r="BN34" s="51">
        <f t="shared" ca="1" si="90"/>
        <v>0</v>
      </c>
      <c r="BO34" s="51">
        <f t="shared" ca="1" si="90"/>
        <v>0</v>
      </c>
      <c r="BP34" s="51">
        <f t="shared" ca="1" si="90"/>
        <v>0</v>
      </c>
      <c r="BQ34" s="51">
        <f t="shared" ca="1" si="90"/>
        <v>0</v>
      </c>
      <c r="BR34" s="51">
        <f t="shared" ca="1" si="90"/>
        <v>0</v>
      </c>
      <c r="BS34" s="51">
        <f t="shared" ca="1" si="90"/>
        <v>0</v>
      </c>
      <c r="BT34" s="51">
        <f t="shared" ca="1" si="90"/>
        <v>0</v>
      </c>
      <c r="BU34" s="51">
        <f t="shared" ca="1" si="90"/>
        <v>0</v>
      </c>
      <c r="BV34" s="51">
        <f t="shared" ca="1" si="90"/>
        <v>0</v>
      </c>
      <c r="BW34" s="51">
        <f t="shared" ca="1" si="90"/>
        <v>0</v>
      </c>
    </row>
    <row r="35" spans="1:75" x14ac:dyDescent="0.3">
      <c r="A35" s="5" t="s">
        <v>65</v>
      </c>
      <c r="B35" s="5"/>
      <c r="C35" s="116"/>
      <c r="D35" s="116"/>
      <c r="E35" s="116"/>
      <c r="F35" s="116"/>
      <c r="G35" s="116"/>
      <c r="H35" s="116"/>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row>
    <row r="36" spans="1:75" x14ac:dyDescent="0.3">
      <c r="A36" s="5" t="s">
        <v>67</v>
      </c>
      <c r="B36" s="5"/>
      <c r="C36" s="116"/>
      <c r="D36" s="116"/>
      <c r="E36" s="116"/>
      <c r="F36" s="116"/>
      <c r="G36" s="116"/>
      <c r="H36" s="11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51">
        <f t="shared" ref="AG36:BL36" ca="1" si="91">AG22*AG29/10^3</f>
        <v>468.51541777777777</v>
      </c>
      <c r="AH36" s="51">
        <f t="shared" ca="1" si="91"/>
        <v>490.3490666666666</v>
      </c>
      <c r="AI36" s="51">
        <f t="shared" ca="1" si="91"/>
        <v>459.56265480000002</v>
      </c>
      <c r="AJ36" s="51">
        <f t="shared" ca="1" si="91"/>
        <v>430.48868635733339</v>
      </c>
      <c r="AK36" s="51">
        <f t="shared" ca="1" si="91"/>
        <v>376.78040093311995</v>
      </c>
      <c r="AL36" s="51">
        <f t="shared" ca="1" si="91"/>
        <v>332.04348857296316</v>
      </c>
      <c r="AM36" s="51">
        <f t="shared" ca="1" si="91"/>
        <v>297.06274590670085</v>
      </c>
      <c r="AN36" s="51">
        <f t="shared" ca="1" si="91"/>
        <v>265.23103255823816</v>
      </c>
      <c r="AO36" s="51">
        <f t="shared" ca="1" si="91"/>
        <v>243.41428446660558</v>
      </c>
      <c r="AP36" s="51">
        <f t="shared" ca="1" si="91"/>
        <v>221.86364486357886</v>
      </c>
      <c r="AQ36" s="51">
        <f t="shared" ca="1" si="91"/>
        <v>204.29160156964551</v>
      </c>
      <c r="AR36" s="51">
        <f t="shared" ca="1" si="91"/>
        <v>187.29504822634772</v>
      </c>
      <c r="AS36" s="51">
        <f t="shared" ca="1" si="91"/>
        <v>172.61940549248453</v>
      </c>
      <c r="AT36" s="51">
        <f t="shared" ca="1" si="91"/>
        <v>158.7041677027843</v>
      </c>
      <c r="AU36" s="51">
        <f t="shared" ca="1" si="91"/>
        <v>145.61406828556312</v>
      </c>
      <c r="AV36" s="51">
        <f t="shared" ca="1" si="91"/>
        <v>134.81862152404611</v>
      </c>
      <c r="AW36" s="51">
        <f t="shared" ca="1" si="91"/>
        <v>0</v>
      </c>
      <c r="AX36" s="51">
        <f t="shared" ca="1" si="91"/>
        <v>0</v>
      </c>
      <c r="AY36" s="51">
        <f t="shared" ca="1" si="91"/>
        <v>0</v>
      </c>
      <c r="AZ36" s="51">
        <f t="shared" ca="1" si="91"/>
        <v>0</v>
      </c>
      <c r="BA36" s="51">
        <f t="shared" ca="1" si="91"/>
        <v>0</v>
      </c>
      <c r="BB36" s="51">
        <f t="shared" ca="1" si="91"/>
        <v>0</v>
      </c>
      <c r="BC36" s="51">
        <f t="shared" ca="1" si="91"/>
        <v>0</v>
      </c>
      <c r="BD36" s="51">
        <f t="shared" ca="1" si="91"/>
        <v>0</v>
      </c>
      <c r="BE36" s="51">
        <f t="shared" ca="1" si="91"/>
        <v>0</v>
      </c>
      <c r="BF36" s="51">
        <f t="shared" ca="1" si="91"/>
        <v>0</v>
      </c>
      <c r="BG36" s="51">
        <f t="shared" ca="1" si="91"/>
        <v>0</v>
      </c>
      <c r="BH36" s="51">
        <f t="shared" ca="1" si="91"/>
        <v>0</v>
      </c>
      <c r="BI36" s="51">
        <f t="shared" ca="1" si="91"/>
        <v>0</v>
      </c>
      <c r="BJ36" s="51">
        <f t="shared" ca="1" si="91"/>
        <v>0</v>
      </c>
      <c r="BK36" s="51">
        <f t="shared" ca="1" si="91"/>
        <v>0</v>
      </c>
      <c r="BL36" s="51">
        <f t="shared" ca="1" si="91"/>
        <v>0</v>
      </c>
      <c r="BM36" s="51">
        <f t="shared" ref="BM36:BW36" ca="1" si="92">BM22*BM29/10^3</f>
        <v>0</v>
      </c>
      <c r="BN36" s="51">
        <f t="shared" ca="1" si="92"/>
        <v>0</v>
      </c>
      <c r="BO36" s="51">
        <f t="shared" ca="1" si="92"/>
        <v>0</v>
      </c>
      <c r="BP36" s="51">
        <f t="shared" ca="1" si="92"/>
        <v>0</v>
      </c>
      <c r="BQ36" s="51">
        <f t="shared" ca="1" si="92"/>
        <v>0</v>
      </c>
      <c r="BR36" s="51">
        <f t="shared" ca="1" si="92"/>
        <v>0</v>
      </c>
      <c r="BS36" s="51">
        <f t="shared" ca="1" si="92"/>
        <v>0</v>
      </c>
      <c r="BT36" s="51">
        <f t="shared" ca="1" si="92"/>
        <v>0</v>
      </c>
      <c r="BU36" s="51">
        <f t="shared" ca="1" si="92"/>
        <v>0</v>
      </c>
      <c r="BV36" s="51">
        <f t="shared" ca="1" si="92"/>
        <v>0</v>
      </c>
      <c r="BW36" s="51">
        <f t="shared" ca="1" si="92"/>
        <v>0</v>
      </c>
    </row>
    <row r="37" spans="1:75" x14ac:dyDescent="0.3">
      <c r="A37" s="5" t="s">
        <v>66</v>
      </c>
      <c r="B37" s="5"/>
      <c r="C37" s="116"/>
      <c r="D37" s="116"/>
      <c r="E37" s="116"/>
      <c r="F37" s="116"/>
      <c r="G37" s="116"/>
      <c r="H37" s="116"/>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51">
        <f ca="1">AG23*AG30/10^3</f>
        <v>960.64553205906554</v>
      </c>
      <c r="AH37" s="51">
        <f t="shared" ref="AH37:BL37" ca="1" si="93">AH23*AH30/10^3</f>
        <v>1413.7153927492327</v>
      </c>
      <c r="AI37" s="51">
        <f t="shared" ca="1" si="93"/>
        <v>1783.2123777793629</v>
      </c>
      <c r="AJ37" s="51">
        <f t="shared" ca="1" si="93"/>
        <v>2090.3775710281679</v>
      </c>
      <c r="AK37" s="51">
        <f t="shared" ca="1" si="93"/>
        <v>2158.1160990061758</v>
      </c>
      <c r="AL37" s="51">
        <f t="shared" ca="1" si="93"/>
        <v>2399.9209085907482</v>
      </c>
      <c r="AM37" s="51">
        <f t="shared" ca="1" si="93"/>
        <v>2282.0813230431995</v>
      </c>
      <c r="AN37" s="51">
        <f t="shared" ca="1" si="93"/>
        <v>1935.2844321962402</v>
      </c>
      <c r="AO37" s="51">
        <f t="shared" ca="1" si="93"/>
        <v>1686.0833259134918</v>
      </c>
      <c r="AP37" s="51">
        <f t="shared" ca="1" si="93"/>
        <v>1465.8916597661446</v>
      </c>
      <c r="AQ37" s="51">
        <f t="shared" ca="1" si="93"/>
        <v>1279.880812171752</v>
      </c>
      <c r="AR37" s="51">
        <f t="shared" ca="1" si="93"/>
        <v>1108.5333964445542</v>
      </c>
      <c r="AS37" s="51">
        <f t="shared" ca="1" si="93"/>
        <v>968.98742251112276</v>
      </c>
      <c r="AT37" s="51">
        <f t="shared" ca="1" si="93"/>
        <v>843.93927443575024</v>
      </c>
      <c r="AU37" s="51">
        <f t="shared" ca="1" si="93"/>
        <v>753.29654710370551</v>
      </c>
      <c r="AV37" s="51">
        <f t="shared" ca="1" si="93"/>
        <v>679.55548363402727</v>
      </c>
      <c r="AW37" s="51">
        <f t="shared" ca="1" si="93"/>
        <v>608.53331511961869</v>
      </c>
      <c r="AX37" s="51">
        <f t="shared" ca="1" si="93"/>
        <v>533.54428080484035</v>
      </c>
      <c r="AY37" s="51">
        <f t="shared" ca="1" si="93"/>
        <v>467.34697448453176</v>
      </c>
      <c r="AZ37" s="51">
        <f t="shared" ca="1" si="93"/>
        <v>404.21625923073111</v>
      </c>
      <c r="BA37" s="51">
        <f t="shared" ca="1" si="93"/>
        <v>355.88731121214596</v>
      </c>
      <c r="BB37" s="51">
        <f t="shared" ca="1" si="93"/>
        <v>303.6900020916629</v>
      </c>
      <c r="BC37" s="51">
        <f t="shared" ca="1" si="93"/>
        <v>275.31203632782194</v>
      </c>
      <c r="BD37" s="51">
        <f t="shared" ca="1" si="93"/>
        <v>253.60013340220098</v>
      </c>
      <c r="BE37" s="51">
        <f t="shared" ca="1" si="93"/>
        <v>235.04683042081501</v>
      </c>
      <c r="BF37" s="51">
        <f t="shared" ca="1" si="93"/>
        <v>197.35608067375452</v>
      </c>
      <c r="BG37" s="51">
        <f t="shared" ca="1" si="93"/>
        <v>178.00871897766677</v>
      </c>
      <c r="BH37" s="51">
        <f t="shared" ca="1" si="93"/>
        <v>167.35088366371886</v>
      </c>
      <c r="BI37" s="51">
        <f t="shared" ca="1" si="93"/>
        <v>96.794442394742987</v>
      </c>
      <c r="BJ37" s="51">
        <f t="shared" ca="1" si="93"/>
        <v>0</v>
      </c>
      <c r="BK37" s="51">
        <f t="shared" ca="1" si="93"/>
        <v>0</v>
      </c>
      <c r="BL37" s="51">
        <f t="shared" ca="1" si="93"/>
        <v>0</v>
      </c>
      <c r="BM37" s="51">
        <f t="shared" ref="BM37:BW37" ca="1" si="94">BM23*BM30/10^3</f>
        <v>0</v>
      </c>
      <c r="BN37" s="51">
        <f t="shared" ca="1" si="94"/>
        <v>0</v>
      </c>
      <c r="BO37" s="51">
        <f t="shared" ca="1" si="94"/>
        <v>0</v>
      </c>
      <c r="BP37" s="51">
        <f t="shared" ca="1" si="94"/>
        <v>0</v>
      </c>
      <c r="BQ37" s="51">
        <f t="shared" ca="1" si="94"/>
        <v>0</v>
      </c>
      <c r="BR37" s="51">
        <f t="shared" ca="1" si="94"/>
        <v>0</v>
      </c>
      <c r="BS37" s="51">
        <f t="shared" ca="1" si="94"/>
        <v>0</v>
      </c>
      <c r="BT37" s="51">
        <f t="shared" ca="1" si="94"/>
        <v>0</v>
      </c>
      <c r="BU37" s="51">
        <f t="shared" ca="1" si="94"/>
        <v>0</v>
      </c>
      <c r="BV37" s="51">
        <f t="shared" ca="1" si="94"/>
        <v>0</v>
      </c>
      <c r="BW37" s="51">
        <f t="shared" ca="1" si="94"/>
        <v>0</v>
      </c>
    </row>
    <row r="39" spans="1:75" x14ac:dyDescent="0.3">
      <c r="A39" s="4" t="s">
        <v>683</v>
      </c>
      <c r="C39" s="72"/>
      <c r="D39" s="72"/>
      <c r="E39" s="72"/>
      <c r="F39" s="72"/>
      <c r="G39" s="72"/>
      <c r="H39" s="51">
        <f t="shared" ref="H39:U39" si="95">H32*H17</f>
        <v>381.88149636000003</v>
      </c>
      <c r="I39" s="51">
        <f t="shared" si="95"/>
        <v>528.29700000000003</v>
      </c>
      <c r="J39" s="51">
        <f t="shared" si="95"/>
        <v>389.59202880000004</v>
      </c>
      <c r="K39" s="51">
        <f t="shared" si="95"/>
        <v>588.46625280000001</v>
      </c>
      <c r="L39" s="51">
        <f t="shared" si="95"/>
        <v>1892.3840488080002</v>
      </c>
      <c r="M39" s="51">
        <f t="shared" si="95"/>
        <v>240.02721600000001</v>
      </c>
      <c r="N39" s="51">
        <f t="shared" si="95"/>
        <v>268.14339309999997</v>
      </c>
      <c r="O39" s="51">
        <f t="shared" si="95"/>
        <v>574.56823380000003</v>
      </c>
      <c r="P39" s="51">
        <f t="shared" si="95"/>
        <v>894.33301500000005</v>
      </c>
      <c r="Q39" s="51">
        <f t="shared" si="95"/>
        <v>1985.5289070750005</v>
      </c>
      <c r="R39" s="51">
        <f t="shared" si="95"/>
        <v>683.44322399999999</v>
      </c>
      <c r="S39" s="51">
        <f t="shared" si="95"/>
        <v>948.26724999999999</v>
      </c>
      <c r="T39" s="51">
        <f t="shared" si="95"/>
        <v>1005.4993536000001</v>
      </c>
      <c r="U39" s="51">
        <f t="shared" si="95"/>
        <v>1776.4941654000002</v>
      </c>
      <c r="V39" s="51">
        <f t="shared" ref="V39:AC39" si="96">V33*V17</f>
        <v>4403.0892599999997</v>
      </c>
      <c r="W39" s="51">
        <f t="shared" si="96"/>
        <v>1467.8642400000001</v>
      </c>
      <c r="X39" s="51">
        <f t="shared" si="96"/>
        <v>2018.7529499999998</v>
      </c>
      <c r="Y39" s="51">
        <f t="shared" si="96"/>
        <v>2045.81855</v>
      </c>
      <c r="Z39" s="51">
        <f>Z33*Z17</f>
        <v>975.95739000000003</v>
      </c>
      <c r="AA39" s="51">
        <f t="shared" si="96"/>
        <v>6495.1026525000007</v>
      </c>
      <c r="AB39" s="51">
        <f t="shared" si="96"/>
        <v>2857.4629599999998</v>
      </c>
      <c r="AC39" s="51">
        <f t="shared" si="96"/>
        <v>2550.6271000000002</v>
      </c>
      <c r="AD39" s="51">
        <f>AD33*AD17</f>
        <v>4201.3225900000007</v>
      </c>
      <c r="AE39" s="51">
        <f>AE33*AE17</f>
        <v>3349.6621999999998</v>
      </c>
      <c r="AF39" s="51">
        <f>AF33*AF17</f>
        <v>12938.495007499998</v>
      </c>
    </row>
    <row r="40" spans="1:75" x14ac:dyDescent="0.3">
      <c r="A40" s="4" t="s">
        <v>682</v>
      </c>
      <c r="B40" s="4"/>
      <c r="C40" s="72"/>
      <c r="D40" s="72"/>
      <c r="E40" s="72"/>
      <c r="F40" s="72"/>
      <c r="G40" s="72"/>
      <c r="H40" s="51">
        <f>'Fluxo de Caixa dos Acionistas'!H16/10^3</f>
        <v>139.43100000000001</v>
      </c>
      <c r="I40" s="51">
        <f>'Fluxo de Caixa dos Acionistas'!I16/10^3</f>
        <v>547.875</v>
      </c>
      <c r="J40" s="51">
        <f>'Fluxo de Caixa dos Acionistas'!J16/10^3</f>
        <v>399.04500000000002</v>
      </c>
      <c r="K40" s="51">
        <f>'Fluxo de Caixa dos Acionistas'!K16/10^3</f>
        <v>557.995</v>
      </c>
      <c r="L40" s="48">
        <f>'Fluxo de Caixa dos Acionistas'!L16/10^3</f>
        <v>1644.346</v>
      </c>
      <c r="M40" s="51">
        <f>'Fluxo de Caixa dos Acionistas'!M16/10^3</f>
        <v>223.16200000000001</v>
      </c>
      <c r="N40" s="51">
        <f>'Fluxo de Caixa dos Acionistas'!N16/10^3</f>
        <v>312.29300000000001</v>
      </c>
      <c r="O40" s="51">
        <f>'Fluxo de Caixa dos Acionistas'!O16/10^3</f>
        <v>488.69499999999999</v>
      </c>
      <c r="P40" s="51">
        <f>'Fluxo de Caixa dos Acionistas'!P16/10^3</f>
        <v>880.03499999999997</v>
      </c>
      <c r="Q40" s="48">
        <f>'Fluxo de Caixa dos Acionistas'!Q16/10^3</f>
        <v>1904.1849999999999</v>
      </c>
      <c r="R40" s="51">
        <f>'Fluxo de Caixa dos Acionistas'!R16/10^3</f>
        <v>655.33399999999995</v>
      </c>
      <c r="S40" s="51">
        <f>'Fluxo de Caixa dos Acionistas'!S16/10^3</f>
        <v>1022.837</v>
      </c>
      <c r="T40" s="51">
        <f>'Fluxo de Caixa dos Acionistas'!T16/10^3</f>
        <v>939.51700000000005</v>
      </c>
      <c r="U40" s="51">
        <f>'Fluxo de Caixa dos Acionistas'!U16/10^3</f>
        <v>1778.3150000000001</v>
      </c>
      <c r="V40" s="48">
        <f>'Fluxo de Caixa dos Acionistas'!V16/10^3</f>
        <v>4396.0029999999997</v>
      </c>
      <c r="W40" s="51">
        <f>'Fluxo de Caixa dos Acionistas'!W16/10^3</f>
        <v>1529.9949999999999</v>
      </c>
      <c r="X40" s="51">
        <f>'Fluxo de Caixa dos Acionistas'!X16/10^3</f>
        <v>1873.9849999999999</v>
      </c>
      <c r="Y40" s="51">
        <f>'Fluxo de Caixa dos Acionistas'!Y16/10^3</f>
        <v>1985.7860000000001</v>
      </c>
      <c r="Z40" s="51">
        <f>'Fluxo de Caixa dos Acionistas'!Z16/10^3</f>
        <v>973.70899999999995</v>
      </c>
      <c r="AA40" s="48">
        <f>'Fluxo de Caixa dos Acionistas'!AA16/10^3</f>
        <v>6363.4750000000004</v>
      </c>
      <c r="AB40" s="51">
        <f>'Fluxo de Caixa dos Acionistas'!AB16/10^3-AB79</f>
        <v>2814.9549999999999</v>
      </c>
      <c r="AC40" s="51">
        <f>'Fluxo de Caixa dos Acionistas'!AC16/10^3-AC79</f>
        <v>2311.2060000000001</v>
      </c>
      <c r="AD40" s="51">
        <f>'Fluxo de Caixa dos Acionistas'!AD16/10^3-AD79</f>
        <v>3783.6819999999998</v>
      </c>
      <c r="AE40" s="51">
        <f>'Fluxo de Caixa dos Acionistas'!AE16/10^3-AE79</f>
        <v>2995.1979999999999</v>
      </c>
      <c r="AF40" s="48">
        <f>'Fluxo de Caixa dos Acionistas'!AF16/10^3</f>
        <v>11905.040999999999</v>
      </c>
      <c r="AG40" s="48">
        <f t="shared" ref="AG40:BL40" ca="1" si="97">AG33*AG$17</f>
        <v>16280.751700261306</v>
      </c>
      <c r="AH40" s="48">
        <f t="shared" ca="1" si="97"/>
        <v>20128.232022079497</v>
      </c>
      <c r="AI40" s="48">
        <f t="shared" ca="1" si="97"/>
        <v>20500.71961683999</v>
      </c>
      <c r="AJ40" s="48">
        <f t="shared" ca="1" si="97"/>
        <v>21056.795115104458</v>
      </c>
      <c r="AK40" s="48">
        <f t="shared" ca="1" si="97"/>
        <v>20254.724460914407</v>
      </c>
      <c r="AL40" s="48">
        <f t="shared" ca="1" si="97"/>
        <v>20433.047190111869</v>
      </c>
      <c r="AM40" s="48">
        <f t="shared" ca="1" si="97"/>
        <v>18647.251769101371</v>
      </c>
      <c r="AN40" s="48">
        <f t="shared" ca="1" si="97"/>
        <v>15981.319538255808</v>
      </c>
      <c r="AO40" s="48">
        <f t="shared" ca="1" si="97"/>
        <v>14265.580849805927</v>
      </c>
      <c r="AP40" s="48">
        <f t="shared" ca="1" si="97"/>
        <v>12857.590529283802</v>
      </c>
      <c r="AQ40" s="48">
        <f t="shared" ca="1" si="97"/>
        <v>11674.977317215993</v>
      </c>
      <c r="AR40" s="48">
        <f t="shared" ca="1" si="97"/>
        <v>10470.477774941293</v>
      </c>
      <c r="AS40" s="48">
        <f t="shared" ca="1" si="97"/>
        <v>9254.6960001087336</v>
      </c>
      <c r="AT40" s="48">
        <f t="shared" ca="1" si="97"/>
        <v>8215.0397879029697</v>
      </c>
      <c r="AU40" s="48">
        <f t="shared" ca="1" si="97"/>
        <v>7466.6727597434983</v>
      </c>
      <c r="AV40" s="48">
        <f t="shared" ca="1" si="97"/>
        <v>6855.6726835866129</v>
      </c>
      <c r="AW40" s="48">
        <f t="shared" ca="1" si="97"/>
        <v>5568.6999780870374</v>
      </c>
      <c r="AX40" s="48">
        <f t="shared" ca="1" si="97"/>
        <v>5025.6528041598413</v>
      </c>
      <c r="AY40" s="48">
        <f t="shared" ca="1" si="97"/>
        <v>4549.1959123823272</v>
      </c>
      <c r="AZ40" s="48">
        <f t="shared" ca="1" si="97"/>
        <v>4098.5154558692993</v>
      </c>
      <c r="BA40" s="48">
        <f t="shared" ca="1" si="97"/>
        <v>3749.8191320893975</v>
      </c>
      <c r="BB40" s="48">
        <f t="shared" ca="1" si="97"/>
        <v>3355.8032444751461</v>
      </c>
      <c r="BC40" s="48">
        <f t="shared" ca="1" si="97"/>
        <v>3132.2871289879899</v>
      </c>
      <c r="BD40" s="48">
        <f t="shared" ca="1" si="97"/>
        <v>2957.7798214273548</v>
      </c>
      <c r="BE40" s="48">
        <f t="shared" ca="1" si="97"/>
        <v>2810.6305580406165</v>
      </c>
      <c r="BF40" s="48">
        <f t="shared" ca="1" si="97"/>
        <v>2536.8832537542439</v>
      </c>
      <c r="BG40" s="48">
        <f t="shared" ca="1" si="97"/>
        <v>2382.4964886306102</v>
      </c>
      <c r="BH40" s="48">
        <f t="shared" ca="1" si="97"/>
        <v>2285.0377475453388</v>
      </c>
      <c r="BI40" s="48">
        <f t="shared" ca="1" si="97"/>
        <v>1476.5591882033877</v>
      </c>
      <c r="BJ40" s="48">
        <f t="shared" ca="1" si="97"/>
        <v>0</v>
      </c>
      <c r="BK40" s="48">
        <f t="shared" ca="1" si="97"/>
        <v>0</v>
      </c>
      <c r="BL40" s="48">
        <f t="shared" ca="1" si="97"/>
        <v>0</v>
      </c>
      <c r="BM40" s="48">
        <f t="shared" ref="BM40:BW40" ca="1" si="98">BM33*BM$17</f>
        <v>0</v>
      </c>
      <c r="BN40" s="48">
        <f t="shared" ca="1" si="98"/>
        <v>0</v>
      </c>
      <c r="BO40" s="48">
        <f t="shared" ca="1" si="98"/>
        <v>0</v>
      </c>
      <c r="BP40" s="48">
        <f t="shared" ca="1" si="98"/>
        <v>0</v>
      </c>
      <c r="BQ40" s="48">
        <f t="shared" ca="1" si="98"/>
        <v>0</v>
      </c>
      <c r="BR40" s="48">
        <f t="shared" ca="1" si="98"/>
        <v>0</v>
      </c>
      <c r="BS40" s="48">
        <f t="shared" ca="1" si="98"/>
        <v>0</v>
      </c>
      <c r="BT40" s="48">
        <f t="shared" ca="1" si="98"/>
        <v>0</v>
      </c>
      <c r="BU40" s="48">
        <f t="shared" ca="1" si="98"/>
        <v>0</v>
      </c>
      <c r="BV40" s="48">
        <f t="shared" ca="1" si="98"/>
        <v>0</v>
      </c>
      <c r="BW40" s="48">
        <f t="shared" ca="1" si="98"/>
        <v>0</v>
      </c>
    </row>
    <row r="41" spans="1:75" x14ac:dyDescent="0.3">
      <c r="A41" s="5" t="s">
        <v>64</v>
      </c>
      <c r="B41" s="5"/>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v>4</v>
      </c>
      <c r="AD41" s="72">
        <v>5</v>
      </c>
      <c r="AE41" s="72">
        <v>5</v>
      </c>
      <c r="AF41" s="72">
        <v>5</v>
      </c>
      <c r="AG41" s="72">
        <v>5</v>
      </c>
      <c r="AH41" s="51">
        <f ca="1">AH34*AH$17</f>
        <v>10607.909725</v>
      </c>
      <c r="AI41" s="51">
        <f ca="1">AI34*AI$17</f>
        <v>9197.1334526399987</v>
      </c>
      <c r="AJ41" s="51">
        <f t="shared" ref="AJ41:BL41" ca="1" si="99">AJ34*AJ$17</f>
        <v>8200.3772024383998</v>
      </c>
      <c r="AK41" s="51">
        <f t="shared" ca="1" si="99"/>
        <v>7326.7523112239987</v>
      </c>
      <c r="AL41" s="51">
        <f t="shared" ca="1" si="99"/>
        <v>6363.4305447187544</v>
      </c>
      <c r="AM41" s="51">
        <f t="shared" ca="1" si="99"/>
        <v>5234.4383242535805</v>
      </c>
      <c r="AN41" s="51">
        <f t="shared" ca="1" si="99"/>
        <v>4425.3667208069064</v>
      </c>
      <c r="AO41" s="51">
        <f t="shared" ca="1" si="99"/>
        <v>4033.531339451938</v>
      </c>
      <c r="AP41" s="51">
        <f t="shared" ca="1" si="99"/>
        <v>3819.7448299305142</v>
      </c>
      <c r="AQ41" s="51">
        <f t="shared" ca="1" si="99"/>
        <v>3649.3895434926876</v>
      </c>
      <c r="AR41" s="51">
        <f t="shared" ca="1" si="99"/>
        <v>3394.6532272865193</v>
      </c>
      <c r="AS41" s="51">
        <f t="shared" ca="1" si="99"/>
        <v>2959.87830040565</v>
      </c>
      <c r="AT41" s="51">
        <f t="shared" ca="1" si="99"/>
        <v>2632.2642071470509</v>
      </c>
      <c r="AU41" s="51">
        <f t="shared" ca="1" si="99"/>
        <v>2412.4170003734057</v>
      </c>
      <c r="AV41" s="51">
        <f t="shared" ca="1" si="99"/>
        <v>2231.8442176385684</v>
      </c>
      <c r="AW41" s="51">
        <f t="shared" ca="1" si="99"/>
        <v>2079.7144281097349</v>
      </c>
      <c r="AX41" s="51">
        <f t="shared" ca="1" si="99"/>
        <v>1936.6213302702793</v>
      </c>
      <c r="AY41" s="51">
        <f t="shared" ca="1" si="99"/>
        <v>1816.896096867911</v>
      </c>
      <c r="AZ41" s="51">
        <f t="shared" ca="1" si="99"/>
        <v>1712.1346410697824</v>
      </c>
      <c r="BA41" s="51">
        <f t="shared" ca="1" si="99"/>
        <v>1628.1604094880108</v>
      </c>
      <c r="BB41" s="51">
        <f t="shared" ca="1" si="99"/>
        <v>1527.5743408653279</v>
      </c>
      <c r="BC41" s="51">
        <f t="shared" ca="1" si="99"/>
        <v>1458.6460468948612</v>
      </c>
      <c r="BD41" s="51">
        <f t="shared" ca="1" si="99"/>
        <v>1401.0126682261632</v>
      </c>
      <c r="BE41" s="51">
        <f t="shared" ca="1" si="99"/>
        <v>1353.6101524383591</v>
      </c>
      <c r="BF41" s="51">
        <f t="shared" ca="1" si="99"/>
        <v>1301.508278284402</v>
      </c>
      <c r="BG41" s="51">
        <f t="shared" ca="1" si="99"/>
        <v>1257.3045405041307</v>
      </c>
      <c r="BH41" s="51">
        <f t="shared" ca="1" si="99"/>
        <v>1216.8430847459404</v>
      </c>
      <c r="BI41" s="51">
        <f t="shared" ca="1" si="99"/>
        <v>852.66653853863329</v>
      </c>
      <c r="BJ41" s="51">
        <f t="shared" ca="1" si="99"/>
        <v>0</v>
      </c>
      <c r="BK41" s="51">
        <f t="shared" ca="1" si="99"/>
        <v>0</v>
      </c>
      <c r="BL41" s="51">
        <f t="shared" ca="1" si="99"/>
        <v>0</v>
      </c>
      <c r="BM41" s="51">
        <f t="shared" ref="BM41:BW41" ca="1" si="100">BM34*BM$17</f>
        <v>0</v>
      </c>
      <c r="BN41" s="51">
        <f t="shared" ca="1" si="100"/>
        <v>0</v>
      </c>
      <c r="BO41" s="51">
        <f t="shared" ca="1" si="100"/>
        <v>0</v>
      </c>
      <c r="BP41" s="51">
        <f t="shared" ca="1" si="100"/>
        <v>0</v>
      </c>
      <c r="BQ41" s="51">
        <f t="shared" ca="1" si="100"/>
        <v>0</v>
      </c>
      <c r="BR41" s="51">
        <f t="shared" ca="1" si="100"/>
        <v>0</v>
      </c>
      <c r="BS41" s="51">
        <f t="shared" ca="1" si="100"/>
        <v>0</v>
      </c>
      <c r="BT41" s="51">
        <f t="shared" ca="1" si="100"/>
        <v>0</v>
      </c>
      <c r="BU41" s="51">
        <f t="shared" ca="1" si="100"/>
        <v>0</v>
      </c>
      <c r="BV41" s="51">
        <f t="shared" ca="1" si="100"/>
        <v>0</v>
      </c>
      <c r="BW41" s="51">
        <f t="shared" ca="1" si="100"/>
        <v>0</v>
      </c>
    </row>
    <row r="42" spans="1:75" x14ac:dyDescent="0.3">
      <c r="A42" s="5" t="s">
        <v>65</v>
      </c>
      <c r="B42" s="5"/>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row>
    <row r="43" spans="1:75" x14ac:dyDescent="0.3">
      <c r="A43" s="5" t="s">
        <v>67</v>
      </c>
      <c r="B43" s="5"/>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51">
        <f t="shared" ref="AH43:BL43" ca="1" si="101">AH36*AH$17</f>
        <v>2451.7453333333328</v>
      </c>
      <c r="AI43" s="51">
        <f t="shared" ca="1" si="101"/>
        <v>2316.1957801920003</v>
      </c>
      <c r="AJ43" s="51">
        <f t="shared" ca="1" si="101"/>
        <v>2195.4923004224001</v>
      </c>
      <c r="AK43" s="51">
        <f t="shared" ca="1" si="101"/>
        <v>1921.5800447589115</v>
      </c>
      <c r="AL43" s="51">
        <f t="shared" ca="1" si="101"/>
        <v>1710.0239661507603</v>
      </c>
      <c r="AM43" s="51">
        <f t="shared" ca="1" si="101"/>
        <v>1544.8718977079361</v>
      </c>
      <c r="AN43" s="51">
        <f t="shared" ca="1" si="101"/>
        <v>1392.8542412258073</v>
      </c>
      <c r="AO43" s="51">
        <f t="shared" ca="1" si="101"/>
        <v>1290.8163227520467</v>
      </c>
      <c r="AP43" s="51">
        <f t="shared" ca="1" si="101"/>
        <v>1188.0687816964407</v>
      </c>
      <c r="AQ43" s="51">
        <f t="shared" ca="1" si="101"/>
        <v>1104.6965734247751</v>
      </c>
      <c r="AR43" s="51">
        <f t="shared" ca="1" si="101"/>
        <v>1022.7178646558808</v>
      </c>
      <c r="AS43" s="51">
        <f t="shared" ca="1" si="101"/>
        <v>951.82304656194799</v>
      </c>
      <c r="AT43" s="51">
        <f t="shared" ca="1" si="101"/>
        <v>883.67381142545503</v>
      </c>
      <c r="AU43" s="51">
        <f t="shared" ca="1" si="101"/>
        <v>818.7362911037701</v>
      </c>
      <c r="AV43" s="51">
        <f t="shared" ca="1" si="101"/>
        <v>765.46905899194792</v>
      </c>
      <c r="AW43" s="51">
        <f t="shared" ca="1" si="101"/>
        <v>0</v>
      </c>
      <c r="AX43" s="51">
        <f t="shared" ca="1" si="101"/>
        <v>0</v>
      </c>
      <c r="AY43" s="51">
        <f t="shared" ca="1" si="101"/>
        <v>0</v>
      </c>
      <c r="AZ43" s="51">
        <f t="shared" ca="1" si="101"/>
        <v>0</v>
      </c>
      <c r="BA43" s="51">
        <f t="shared" ca="1" si="101"/>
        <v>0</v>
      </c>
      <c r="BB43" s="51">
        <f t="shared" ca="1" si="101"/>
        <v>0</v>
      </c>
      <c r="BC43" s="51">
        <f t="shared" ca="1" si="101"/>
        <v>0</v>
      </c>
      <c r="BD43" s="51">
        <f t="shared" ca="1" si="101"/>
        <v>0</v>
      </c>
      <c r="BE43" s="51">
        <f t="shared" ca="1" si="101"/>
        <v>0</v>
      </c>
      <c r="BF43" s="51">
        <f t="shared" ca="1" si="101"/>
        <v>0</v>
      </c>
      <c r="BG43" s="51">
        <f t="shared" ca="1" si="101"/>
        <v>0</v>
      </c>
      <c r="BH43" s="51">
        <f t="shared" ca="1" si="101"/>
        <v>0</v>
      </c>
      <c r="BI43" s="51">
        <f t="shared" ca="1" si="101"/>
        <v>0</v>
      </c>
      <c r="BJ43" s="51">
        <f t="shared" ca="1" si="101"/>
        <v>0</v>
      </c>
      <c r="BK43" s="51">
        <f t="shared" ca="1" si="101"/>
        <v>0</v>
      </c>
      <c r="BL43" s="51">
        <f t="shared" ca="1" si="101"/>
        <v>0</v>
      </c>
      <c r="BM43" s="51">
        <f t="shared" ref="BM43:BW43" ca="1" si="102">BM36*BM$17</f>
        <v>0</v>
      </c>
      <c r="BN43" s="51">
        <f t="shared" ca="1" si="102"/>
        <v>0</v>
      </c>
      <c r="BO43" s="51">
        <f t="shared" ca="1" si="102"/>
        <v>0</v>
      </c>
      <c r="BP43" s="51">
        <f t="shared" ca="1" si="102"/>
        <v>0</v>
      </c>
      <c r="BQ43" s="51">
        <f t="shared" ca="1" si="102"/>
        <v>0</v>
      </c>
      <c r="BR43" s="51">
        <f t="shared" ca="1" si="102"/>
        <v>0</v>
      </c>
      <c r="BS43" s="51">
        <f t="shared" ca="1" si="102"/>
        <v>0</v>
      </c>
      <c r="BT43" s="51">
        <f t="shared" ca="1" si="102"/>
        <v>0</v>
      </c>
      <c r="BU43" s="51">
        <f t="shared" ca="1" si="102"/>
        <v>0</v>
      </c>
      <c r="BV43" s="51">
        <f t="shared" ca="1" si="102"/>
        <v>0</v>
      </c>
      <c r="BW43" s="51">
        <f t="shared" ca="1" si="102"/>
        <v>0</v>
      </c>
    </row>
    <row r="44" spans="1:75" x14ac:dyDescent="0.3">
      <c r="A44" s="5" t="s">
        <v>66</v>
      </c>
      <c r="B44" s="5"/>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51">
        <f t="shared" ref="AH44:BL44" ca="1" si="103">AH37*AH$17</f>
        <v>7068.5769637461635</v>
      </c>
      <c r="AI44" s="51">
        <f t="shared" ca="1" si="103"/>
        <v>8987.3903840079893</v>
      </c>
      <c r="AJ44" s="51">
        <f t="shared" ca="1" si="103"/>
        <v>10660.925612243656</v>
      </c>
      <c r="AK44" s="51">
        <f t="shared" ca="1" si="103"/>
        <v>11006.392104931496</v>
      </c>
      <c r="AL44" s="51">
        <f t="shared" ca="1" si="103"/>
        <v>12359.592679242354</v>
      </c>
      <c r="AM44" s="51">
        <f t="shared" ca="1" si="103"/>
        <v>11867.941547139857</v>
      </c>
      <c r="AN44" s="51">
        <f t="shared" ca="1" si="103"/>
        <v>10163.098576223094</v>
      </c>
      <c r="AO44" s="51">
        <f t="shared" ca="1" si="103"/>
        <v>8941.2331876019434</v>
      </c>
      <c r="AP44" s="51">
        <f t="shared" ca="1" si="103"/>
        <v>7849.7769176568445</v>
      </c>
      <c r="AQ44" s="51">
        <f t="shared" ca="1" si="103"/>
        <v>6920.8912002985289</v>
      </c>
      <c r="AR44" s="51">
        <f t="shared" ca="1" si="103"/>
        <v>6053.106682998894</v>
      </c>
      <c r="AS44" s="51">
        <f t="shared" ca="1" si="103"/>
        <v>5342.9946531411351</v>
      </c>
      <c r="AT44" s="51">
        <f t="shared" ca="1" si="103"/>
        <v>4699.1017693304648</v>
      </c>
      <c r="AU44" s="51">
        <f t="shared" ca="1" si="103"/>
        <v>4235.5194682663232</v>
      </c>
      <c r="AV44" s="51">
        <f t="shared" ca="1" si="103"/>
        <v>3858.3594069560963</v>
      </c>
      <c r="AW44" s="51">
        <f t="shared" ca="1" si="103"/>
        <v>3488.9855499773025</v>
      </c>
      <c r="AX44" s="51">
        <f t="shared" ca="1" si="103"/>
        <v>3089.0314738895613</v>
      </c>
      <c r="AY44" s="51">
        <f t="shared" ca="1" si="103"/>
        <v>2732.299815514416</v>
      </c>
      <c r="AZ44" s="51">
        <f t="shared" ca="1" si="103"/>
        <v>2386.3808147995169</v>
      </c>
      <c r="BA44" s="51">
        <f t="shared" ca="1" si="103"/>
        <v>2121.6587226013867</v>
      </c>
      <c r="BB44" s="51">
        <f t="shared" ca="1" si="103"/>
        <v>1828.2289036098182</v>
      </c>
      <c r="BC44" s="51">
        <f t="shared" ca="1" si="103"/>
        <v>1673.6410820931287</v>
      </c>
      <c r="BD44" s="51">
        <f t="shared" ca="1" si="103"/>
        <v>1556.7671532011914</v>
      </c>
      <c r="BE44" s="51">
        <f t="shared" ca="1" si="103"/>
        <v>1457.0204056022574</v>
      </c>
      <c r="BF44" s="51">
        <f t="shared" ca="1" si="103"/>
        <v>1235.3749754698417</v>
      </c>
      <c r="BG44" s="51">
        <f t="shared" ca="1" si="103"/>
        <v>1125.1919481264795</v>
      </c>
      <c r="BH44" s="51">
        <f t="shared" ca="1" si="103"/>
        <v>1068.1946627993984</v>
      </c>
      <c r="BI44" s="51">
        <f t="shared" ca="1" si="103"/>
        <v>623.89264966475446</v>
      </c>
      <c r="BJ44" s="51">
        <f t="shared" ca="1" si="103"/>
        <v>0</v>
      </c>
      <c r="BK44" s="51">
        <f t="shared" ca="1" si="103"/>
        <v>0</v>
      </c>
      <c r="BL44" s="51">
        <f t="shared" ca="1" si="103"/>
        <v>0</v>
      </c>
      <c r="BM44" s="51">
        <f t="shared" ref="BM44:BW44" ca="1" si="104">BM37*BM$17</f>
        <v>0</v>
      </c>
      <c r="BN44" s="51">
        <f t="shared" ca="1" si="104"/>
        <v>0</v>
      </c>
      <c r="BO44" s="51">
        <f t="shared" ca="1" si="104"/>
        <v>0</v>
      </c>
      <c r="BP44" s="51">
        <f t="shared" ca="1" si="104"/>
        <v>0</v>
      </c>
      <c r="BQ44" s="51">
        <f t="shared" ca="1" si="104"/>
        <v>0</v>
      </c>
      <c r="BR44" s="51">
        <f t="shared" ca="1" si="104"/>
        <v>0</v>
      </c>
      <c r="BS44" s="51">
        <f t="shared" ca="1" si="104"/>
        <v>0</v>
      </c>
      <c r="BT44" s="51">
        <f t="shared" ca="1" si="104"/>
        <v>0</v>
      </c>
      <c r="BU44" s="51">
        <f t="shared" ca="1" si="104"/>
        <v>0</v>
      </c>
      <c r="BV44" s="51">
        <f t="shared" ca="1" si="104"/>
        <v>0</v>
      </c>
      <c r="BW44" s="51">
        <f t="shared" ca="1" si="104"/>
        <v>0</v>
      </c>
    </row>
    <row r="45" spans="1:75" s="5" customFormat="1" ht="13.8" x14ac:dyDescent="0.3"/>
    <row r="46" spans="1:75" s="201" customFormat="1" x14ac:dyDescent="0.3">
      <c r="A46" s="201" t="s">
        <v>1185</v>
      </c>
    </row>
    <row r="48" spans="1:75" x14ac:dyDescent="0.3">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row>
    <row r="49" spans="1:75" x14ac:dyDescent="0.3">
      <c r="A49" s="4" t="s">
        <v>0</v>
      </c>
      <c r="B49" s="4"/>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48">
        <f t="shared" ref="AG49:BL49" ca="1" si="105">SUM(AG50:AG53)</f>
        <v>12700</v>
      </c>
      <c r="AH49" s="48">
        <f t="shared" ca="1" si="105"/>
        <v>21942</v>
      </c>
      <c r="AI49" s="48">
        <f t="shared" ca="1" si="105"/>
        <v>24515</v>
      </c>
      <c r="AJ49" s="48">
        <f t="shared" ca="1" si="105"/>
        <v>28630</v>
      </c>
      <c r="AK49" s="48">
        <f t="shared" ca="1" si="105"/>
        <v>31459</v>
      </c>
      <c r="AL49" s="48">
        <f t="shared" ca="1" si="105"/>
        <v>35441</v>
      </c>
      <c r="AM49" s="48">
        <f t="shared" ca="1" si="105"/>
        <v>31241</v>
      </c>
      <c r="AN49" s="48">
        <f t="shared" ca="1" si="105"/>
        <v>23464</v>
      </c>
      <c r="AO49" s="48">
        <f t="shared" ca="1" si="105"/>
        <v>17553</v>
      </c>
      <c r="AP49" s="48">
        <f t="shared" ca="1" si="105"/>
        <v>13666</v>
      </c>
      <c r="AQ49" s="48">
        <f t="shared" ca="1" si="105"/>
        <v>10927</v>
      </c>
      <c r="AR49" s="48">
        <f t="shared" ca="1" si="105"/>
        <v>8540</v>
      </c>
      <c r="AS49" s="48">
        <f t="shared" ca="1" si="105"/>
        <v>6399</v>
      </c>
      <c r="AT49" s="48">
        <f t="shared" ca="1" si="105"/>
        <v>4804</v>
      </c>
      <c r="AU49" s="48">
        <f t="shared" ca="1" si="105"/>
        <v>3775</v>
      </c>
      <c r="AV49" s="48">
        <f t="shared" ca="1" si="105"/>
        <v>393</v>
      </c>
      <c r="AW49" s="48">
        <f t="shared" ca="1" si="105"/>
        <v>0</v>
      </c>
      <c r="AX49" s="48">
        <f t="shared" ca="1" si="105"/>
        <v>0</v>
      </c>
      <c r="AY49" s="48">
        <f t="shared" ca="1" si="105"/>
        <v>0</v>
      </c>
      <c r="AZ49" s="48">
        <f t="shared" ca="1" si="105"/>
        <v>0</v>
      </c>
      <c r="BA49" s="48">
        <f t="shared" ca="1" si="105"/>
        <v>0</v>
      </c>
      <c r="BB49" s="48">
        <f t="shared" ca="1" si="105"/>
        <v>0</v>
      </c>
      <c r="BC49" s="48">
        <f t="shared" ca="1" si="105"/>
        <v>0</v>
      </c>
      <c r="BD49" s="48">
        <f t="shared" ca="1" si="105"/>
        <v>0</v>
      </c>
      <c r="BE49" s="48">
        <f t="shared" ca="1" si="105"/>
        <v>0</v>
      </c>
      <c r="BF49" s="48">
        <f t="shared" ca="1" si="105"/>
        <v>0</v>
      </c>
      <c r="BG49" s="48">
        <f t="shared" ca="1" si="105"/>
        <v>0</v>
      </c>
      <c r="BH49" s="48">
        <f t="shared" ca="1" si="105"/>
        <v>0</v>
      </c>
      <c r="BI49" s="48">
        <f t="shared" ca="1" si="105"/>
        <v>0</v>
      </c>
      <c r="BJ49" s="48">
        <f t="shared" ca="1" si="105"/>
        <v>0</v>
      </c>
      <c r="BK49" s="48">
        <f t="shared" ca="1" si="105"/>
        <v>0</v>
      </c>
      <c r="BL49" s="48">
        <f t="shared" ca="1" si="105"/>
        <v>0</v>
      </c>
      <c r="BM49" s="48">
        <f t="shared" ref="BM49:BW49" ca="1" si="106">SUM(BM50:BM53)</f>
        <v>0</v>
      </c>
      <c r="BN49" s="48">
        <f t="shared" ca="1" si="106"/>
        <v>0</v>
      </c>
      <c r="BO49" s="48">
        <f t="shared" ca="1" si="106"/>
        <v>0</v>
      </c>
      <c r="BP49" s="48">
        <f t="shared" ca="1" si="106"/>
        <v>0</v>
      </c>
      <c r="BQ49" s="48">
        <f t="shared" ca="1" si="106"/>
        <v>0</v>
      </c>
      <c r="BR49" s="48">
        <f t="shared" ca="1" si="106"/>
        <v>0</v>
      </c>
      <c r="BS49" s="48">
        <f t="shared" ca="1" si="106"/>
        <v>0</v>
      </c>
      <c r="BT49" s="48">
        <f t="shared" ca="1" si="106"/>
        <v>0</v>
      </c>
      <c r="BU49" s="48">
        <f t="shared" ca="1" si="106"/>
        <v>0</v>
      </c>
      <c r="BV49" s="48">
        <f t="shared" ca="1" si="106"/>
        <v>0</v>
      </c>
      <c r="BW49" s="48">
        <f t="shared" ca="1" si="106"/>
        <v>0</v>
      </c>
    </row>
    <row r="50" spans="1:75" x14ac:dyDescent="0.3">
      <c r="A50" s="5" t="s">
        <v>64</v>
      </c>
      <c r="B50" s="5"/>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196">
        <f ca="1">SUMIFS(INDIRECT("'"&amp;$A50&amp;$B$3&amp;"'!"&amp;"$i:$i"),INDIRECT("'"&amp;$A50&amp;$B$3&amp;"'!"&amp;"$A:$A"),'Receita Líquida - O&amp;G'!AG$1)</f>
        <v>9805</v>
      </c>
      <c r="AH50" s="196">
        <f ca="1">SUMIFS(INDIRECT("'"&amp;$A50&amp;$B$3&amp;"'!"&amp;"$i:$i"),INDIRECT("'"&amp;$A50&amp;$B$3&amp;"'!"&amp;"$A:$A"),'Receita Líquida - O&amp;G'!AH$1)</f>
        <v>15113</v>
      </c>
      <c r="AI50" s="196">
        <f ca="1">SUMIFS(INDIRECT("'"&amp;$A50&amp;$B$3&amp;"'!"&amp;"$i:$i"),INDIRECT("'"&amp;$A50&amp;$B$3&amp;"'!"&amp;"$A:$A"),'Receita Líquida - O&amp;G'!AI$1)</f>
        <v>14433</v>
      </c>
      <c r="AJ50" s="196">
        <f ca="1">SUMIFS(INDIRECT("'"&amp;$A50&amp;$B$3&amp;"'!"&amp;"$i:$i"),INDIRECT("'"&amp;$A50&amp;$B$3&amp;"'!"&amp;"$A:$A"),'Receita Líquida - O&amp;G'!AJ$1)</f>
        <v>15765</v>
      </c>
      <c r="AK50" s="196">
        <f ca="1">SUMIFS(INDIRECT("'"&amp;$A50&amp;$B$3&amp;"'!"&amp;"$i:$i"),INDIRECT("'"&amp;$A50&amp;$B$3&amp;"'!"&amp;"$A:$A"),'Receita Líquida - O&amp;G'!AK$1)</f>
        <v>18183</v>
      </c>
      <c r="AL50" s="196">
        <f ca="1">SUMIFS(INDIRECT("'"&amp;$A50&amp;$B$3&amp;"'!"&amp;"$i:$i"),INDIRECT("'"&amp;$A50&amp;$B$3&amp;"'!"&amp;"$A:$A"),'Receita Líquida - O&amp;G'!AL$1)</f>
        <v>21084</v>
      </c>
      <c r="AM50" s="196">
        <f ca="1">SUMIFS(INDIRECT("'"&amp;$A50&amp;$B$3&amp;"'!"&amp;"$i:$i"),INDIRECT("'"&amp;$A50&amp;$B$3&amp;"'!"&amp;"$A:$A"),'Receita Líquida - O&amp;G'!AM$1)</f>
        <v>17990</v>
      </c>
      <c r="AN50" s="196">
        <f ca="1">SUMIFS(INDIRECT("'"&amp;$A50&amp;$B$3&amp;"'!"&amp;"$i:$i"),INDIRECT("'"&amp;$A50&amp;$B$3&amp;"'!"&amp;"$A:$A"),'Receita Líquida - O&amp;G'!AN$1)</f>
        <v>12810</v>
      </c>
      <c r="AO50" s="196">
        <f ca="1">SUMIFS(INDIRECT("'"&amp;$A50&amp;$B$3&amp;"'!"&amp;"$i:$i"),INDIRECT("'"&amp;$A50&amp;$B$3&amp;"'!"&amp;"$A:$A"),'Receita Líquida - O&amp;G'!AO$1)</f>
        <v>9021</v>
      </c>
      <c r="AP50" s="196">
        <f ca="1">SUMIFS(INDIRECT("'"&amp;$A50&amp;$B$3&amp;"'!"&amp;"$i:$i"),INDIRECT("'"&amp;$A50&amp;$B$3&amp;"'!"&amp;"$A:$A"),'Receita Líquida - O&amp;G'!AP$1)</f>
        <v>6973</v>
      </c>
      <c r="AQ50" s="196">
        <f ca="1">SUMIFS(INDIRECT("'"&amp;$A50&amp;$B$3&amp;"'!"&amp;"$i:$i"),INDIRECT("'"&amp;$A50&amp;$B$3&amp;"'!"&amp;"$A:$A"),'Receita Líquida - O&amp;G'!AQ$1)</f>
        <v>5765</v>
      </c>
      <c r="AR50" s="196">
        <f ca="1">SUMIFS(INDIRECT("'"&amp;$A50&amp;$B$3&amp;"'!"&amp;"$i:$i"),INDIRECT("'"&amp;$A50&amp;$B$3&amp;"'!"&amp;"$A:$A"),'Receita Líquida - O&amp;G'!AR$1)</f>
        <v>4771</v>
      </c>
      <c r="AS50" s="196">
        <f ca="1">SUMIFS(INDIRECT("'"&amp;$A50&amp;$B$3&amp;"'!"&amp;"$i:$i"),INDIRECT("'"&amp;$A50&amp;$B$3&amp;"'!"&amp;"$A:$A"),'Receita Líquida - O&amp;G'!AS$1)</f>
        <v>3743</v>
      </c>
      <c r="AT50" s="196">
        <f ca="1">SUMIFS(INDIRECT("'"&amp;$A50&amp;$B$3&amp;"'!"&amp;"$i:$i"),INDIRECT("'"&amp;$A50&amp;$B$3&amp;"'!"&amp;"$A:$A"),'Receita Líquida - O&amp;G'!AT$1)</f>
        <v>3128</v>
      </c>
      <c r="AU50" s="196">
        <f ca="1">SUMIFS(INDIRECT("'"&amp;$A50&amp;$B$3&amp;"'!"&amp;"$i:$i"),INDIRECT("'"&amp;$A50&amp;$B$3&amp;"'!"&amp;"$A:$A"),'Receita Líquida - O&amp;G'!AU$1)</f>
        <v>2808</v>
      </c>
      <c r="AV50" s="196">
        <f ca="1">SUMIFS(INDIRECT("'"&amp;$A50&amp;$B$3&amp;"'!"&amp;"$i:$i"),INDIRECT("'"&amp;$A50&amp;$B$3&amp;"'!"&amp;"$A:$A"),'Receita Líquida - O&amp;G'!AV$1)</f>
        <v>0</v>
      </c>
      <c r="AW50" s="196">
        <f ca="1">SUMIFS(INDIRECT("'"&amp;$A50&amp;$B$3&amp;"'!"&amp;"$i:$i"),INDIRECT("'"&amp;$A50&amp;$B$3&amp;"'!"&amp;"$A:$A"),'Receita Líquida - O&amp;G'!AW$1)</f>
        <v>0</v>
      </c>
      <c r="AX50" s="196">
        <f ca="1">SUMIFS(INDIRECT("'"&amp;$A50&amp;$B$3&amp;"'!"&amp;"$i:$i"),INDIRECT("'"&amp;$A50&amp;$B$3&amp;"'!"&amp;"$A:$A"),'Receita Líquida - O&amp;G'!AX$1)</f>
        <v>0</v>
      </c>
      <c r="AY50" s="196">
        <f ca="1">SUMIFS(INDIRECT("'"&amp;$A50&amp;$B$3&amp;"'!"&amp;"$i:$i"),INDIRECT("'"&amp;$A50&amp;$B$3&amp;"'!"&amp;"$A:$A"),'Receita Líquida - O&amp;G'!AY$1)</f>
        <v>0</v>
      </c>
      <c r="AZ50" s="196">
        <f ca="1">SUMIFS(INDIRECT("'"&amp;$A50&amp;$B$3&amp;"'!"&amp;"$i:$i"),INDIRECT("'"&amp;$A50&amp;$B$3&amp;"'!"&amp;"$A:$A"),'Receita Líquida - O&amp;G'!AZ$1)</f>
        <v>0</v>
      </c>
      <c r="BA50" s="196">
        <f ca="1">SUMIFS(INDIRECT("'"&amp;$A50&amp;$B$3&amp;"'!"&amp;"$i:$i"),INDIRECT("'"&amp;$A50&amp;$B$3&amp;"'!"&amp;"$A:$A"),'Receita Líquida - O&amp;G'!BA$1)</f>
        <v>0</v>
      </c>
      <c r="BB50" s="196">
        <f ca="1">SUMIFS(INDIRECT("'"&amp;$A50&amp;$B$3&amp;"'!"&amp;"$i:$i"),INDIRECT("'"&amp;$A50&amp;$B$3&amp;"'!"&amp;"$A:$A"),'Receita Líquida - O&amp;G'!BB$1)</f>
        <v>0</v>
      </c>
      <c r="BC50" s="196">
        <f ca="1">SUMIFS(INDIRECT("'"&amp;$A50&amp;$B$3&amp;"'!"&amp;"$i:$i"),INDIRECT("'"&amp;$A50&amp;$B$3&amp;"'!"&amp;"$A:$A"),'Receita Líquida - O&amp;G'!BC$1)</f>
        <v>0</v>
      </c>
      <c r="BD50" s="196">
        <f ca="1">SUMIFS(INDIRECT("'"&amp;$A50&amp;$B$3&amp;"'!"&amp;"$i:$i"),INDIRECT("'"&amp;$A50&amp;$B$3&amp;"'!"&amp;"$A:$A"),'Receita Líquida - O&amp;G'!BD$1)</f>
        <v>0</v>
      </c>
      <c r="BE50" s="196">
        <f ca="1">SUMIFS(INDIRECT("'"&amp;$A50&amp;$B$3&amp;"'!"&amp;"$i:$i"),INDIRECT("'"&amp;$A50&amp;$B$3&amp;"'!"&amp;"$A:$A"),'Receita Líquida - O&amp;G'!BE$1)</f>
        <v>0</v>
      </c>
      <c r="BF50" s="196">
        <f ca="1">SUMIFS(INDIRECT("'"&amp;$A50&amp;$B$3&amp;"'!"&amp;"$i:$i"),INDIRECT("'"&amp;$A50&amp;$B$3&amp;"'!"&amp;"$A:$A"),'Receita Líquida - O&amp;G'!BF$1)</f>
        <v>0</v>
      </c>
      <c r="BG50" s="196">
        <f ca="1">SUMIFS(INDIRECT("'"&amp;$A50&amp;$B$3&amp;"'!"&amp;"$i:$i"),INDIRECT("'"&amp;$A50&amp;$B$3&amp;"'!"&amp;"$A:$A"),'Receita Líquida - O&amp;G'!BG$1)</f>
        <v>0</v>
      </c>
      <c r="BH50" s="196">
        <f ca="1">SUMIFS(INDIRECT("'"&amp;$A50&amp;$B$3&amp;"'!"&amp;"$i:$i"),INDIRECT("'"&amp;$A50&amp;$B$3&amp;"'!"&amp;"$A:$A"),'Receita Líquida - O&amp;G'!BH$1)</f>
        <v>0</v>
      </c>
      <c r="BI50" s="196">
        <f ca="1">SUMIFS(INDIRECT("'"&amp;$A50&amp;$B$3&amp;"'!"&amp;"$i:$i"),INDIRECT("'"&amp;$A50&amp;$B$3&amp;"'!"&amp;"$A:$A"),'Receita Líquida - O&amp;G'!BI$1)</f>
        <v>0</v>
      </c>
      <c r="BJ50" s="196">
        <f ca="1">SUMIFS(INDIRECT("'"&amp;$A50&amp;$B$3&amp;"'!"&amp;"$i:$i"),INDIRECT("'"&amp;$A50&amp;$B$3&amp;"'!"&amp;"$A:$A"),'Receita Líquida - O&amp;G'!BJ$1)</f>
        <v>0</v>
      </c>
      <c r="BK50" s="196">
        <f ca="1">SUMIFS(INDIRECT("'"&amp;$A50&amp;$B$3&amp;"'!"&amp;"$i:$i"),INDIRECT("'"&amp;$A50&amp;$B$3&amp;"'!"&amp;"$A:$A"),'Receita Líquida - O&amp;G'!BK$1)</f>
        <v>0</v>
      </c>
      <c r="BL50" s="196">
        <f ca="1">SUMIFS(INDIRECT("'"&amp;$A50&amp;$B$3&amp;"'!"&amp;"$i:$i"),INDIRECT("'"&amp;$A50&amp;$B$3&amp;"'!"&amp;"$A:$A"),'Receita Líquida - O&amp;G'!BL$1)</f>
        <v>0</v>
      </c>
      <c r="BM50" s="196">
        <f ca="1">SUMIFS(INDIRECT("'"&amp;$A50&amp;$B$3&amp;"'!"&amp;"$i:$i"),INDIRECT("'"&amp;$A50&amp;$B$3&amp;"'!"&amp;"$A:$A"),'Receita Líquida - O&amp;G'!BM$1)</f>
        <v>0</v>
      </c>
      <c r="BN50" s="196">
        <f ca="1">SUMIFS(INDIRECT("'"&amp;$A50&amp;$B$3&amp;"'!"&amp;"$i:$i"),INDIRECT("'"&amp;$A50&amp;$B$3&amp;"'!"&amp;"$A:$A"),'Receita Líquida - O&amp;G'!BN$1)</f>
        <v>0</v>
      </c>
      <c r="BO50" s="196">
        <f ca="1">SUMIFS(INDIRECT("'"&amp;$A50&amp;$B$3&amp;"'!"&amp;"$i:$i"),INDIRECT("'"&amp;$A50&amp;$B$3&amp;"'!"&amp;"$A:$A"),'Receita Líquida - O&amp;G'!BO$1)</f>
        <v>0</v>
      </c>
      <c r="BP50" s="196">
        <f ca="1">SUMIFS(INDIRECT("'"&amp;$A50&amp;$B$3&amp;"'!"&amp;"$i:$i"),INDIRECT("'"&amp;$A50&amp;$B$3&amp;"'!"&amp;"$A:$A"),'Receita Líquida - O&amp;G'!BP$1)</f>
        <v>0</v>
      </c>
      <c r="BQ50" s="196">
        <f ca="1">SUMIFS(INDIRECT("'"&amp;$A50&amp;$B$3&amp;"'!"&amp;"$i:$i"),INDIRECT("'"&amp;$A50&amp;$B$3&amp;"'!"&amp;"$A:$A"),'Receita Líquida - O&amp;G'!BQ$1)</f>
        <v>0</v>
      </c>
      <c r="BR50" s="196">
        <f ca="1">SUMIFS(INDIRECT("'"&amp;$A50&amp;$B$3&amp;"'!"&amp;"$i:$i"),INDIRECT("'"&amp;$A50&amp;$B$3&amp;"'!"&amp;"$A:$A"),'Receita Líquida - O&amp;G'!BR$1)</f>
        <v>0</v>
      </c>
      <c r="BS50" s="196">
        <f ca="1">SUMIFS(INDIRECT("'"&amp;$A50&amp;$B$3&amp;"'!"&amp;"$i:$i"),INDIRECT("'"&amp;$A50&amp;$B$3&amp;"'!"&amp;"$A:$A"),'Receita Líquida - O&amp;G'!BS$1)</f>
        <v>0</v>
      </c>
      <c r="BT50" s="196">
        <f ca="1">SUMIFS(INDIRECT("'"&amp;$A50&amp;$B$3&amp;"'!"&amp;"$i:$i"),INDIRECT("'"&amp;$A50&amp;$B$3&amp;"'!"&amp;"$A:$A"),'Receita Líquida - O&amp;G'!BT$1)</f>
        <v>0</v>
      </c>
      <c r="BU50" s="196">
        <f ca="1">SUMIFS(INDIRECT("'"&amp;$A50&amp;$B$3&amp;"'!"&amp;"$i:$i"),INDIRECT("'"&amp;$A50&amp;$B$3&amp;"'!"&amp;"$A:$A"),'Receita Líquida - O&amp;G'!BU$1)</f>
        <v>0</v>
      </c>
      <c r="BV50" s="196">
        <f ca="1">SUMIFS(INDIRECT("'"&amp;$A50&amp;$B$3&amp;"'!"&amp;"$i:$i"),INDIRECT("'"&amp;$A50&amp;$B$3&amp;"'!"&amp;"$A:$A"),'Receita Líquida - O&amp;G'!BV$1)</f>
        <v>0</v>
      </c>
      <c r="BW50" s="196">
        <f ca="1">SUMIFS(INDIRECT("'"&amp;$A50&amp;$B$3&amp;"'!"&amp;"$i:$i"),INDIRECT("'"&amp;$A50&amp;$B$3&amp;"'!"&amp;"$A:$A"),'Receita Líquida - O&amp;G'!BW$1)</f>
        <v>0</v>
      </c>
    </row>
    <row r="51" spans="1:75" x14ac:dyDescent="0.3">
      <c r="A51" s="5" t="s">
        <v>65</v>
      </c>
      <c r="B51" s="5"/>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116"/>
      <c r="AF51" s="72"/>
      <c r="AG51" s="197"/>
      <c r="AH51" s="197"/>
      <c r="AI51" s="197"/>
      <c r="AJ51" s="197"/>
      <c r="AK51" s="197"/>
      <c r="AL51" s="197"/>
      <c r="AM51" s="197"/>
      <c r="AN51" s="197"/>
      <c r="AO51" s="197"/>
      <c r="AP51" s="197"/>
      <c r="AQ51" s="197"/>
      <c r="AR51" s="197"/>
      <c r="AS51" s="197"/>
      <c r="AT51" s="197"/>
      <c r="AU51" s="197"/>
      <c r="AV51" s="197"/>
      <c r="AW51" s="197"/>
      <c r="AX51" s="197"/>
      <c r="AY51" s="197"/>
      <c r="AZ51" s="197"/>
      <c r="BA51" s="197"/>
      <c r="BB51" s="197"/>
      <c r="BC51" s="197"/>
      <c r="BD51" s="197"/>
      <c r="BE51" s="197"/>
      <c r="BF51" s="197"/>
      <c r="BG51" s="197"/>
      <c r="BH51" s="197"/>
      <c r="BI51" s="197"/>
      <c r="BJ51" s="197"/>
      <c r="BK51" s="197"/>
      <c r="BL51" s="197"/>
      <c r="BM51" s="197"/>
      <c r="BN51" s="197"/>
      <c r="BO51" s="197"/>
      <c r="BP51" s="197"/>
      <c r="BQ51" s="197"/>
      <c r="BR51" s="197"/>
      <c r="BS51" s="197"/>
      <c r="BT51" s="197"/>
      <c r="BU51" s="197"/>
      <c r="BV51" s="197"/>
      <c r="BW51" s="197"/>
    </row>
    <row r="52" spans="1:75" x14ac:dyDescent="0.3">
      <c r="A52" s="5" t="s">
        <v>67</v>
      </c>
      <c r="B52" s="5"/>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196">
        <f ca="1">SUMIFS(INDIRECT("'"&amp;$A52&amp;$B$3&amp;"'!"&amp;"$i:$i"),INDIRECT("'"&amp;$A52&amp;$B$3&amp;"'!"&amp;"$A:$A"),'Receita Líquida - O&amp;G'!AG$1)</f>
        <v>0</v>
      </c>
      <c r="AH52" s="196">
        <f ca="1">SUMIFS(INDIRECT("'"&amp;$A52&amp;$B$3&amp;"'!"&amp;"$i:$i"),INDIRECT("'"&amp;$A52&amp;$B$3&amp;"'!"&amp;"$A:$A"),'Receita Líquida - O&amp;G'!AH$1)</f>
        <v>0</v>
      </c>
      <c r="AI52" s="196">
        <f ca="1">SUMIFS(INDIRECT("'"&amp;$A52&amp;$B$3&amp;"'!"&amp;"$i:$i"),INDIRECT("'"&amp;$A52&amp;$B$3&amp;"'!"&amp;"$A:$A"),'Receita Líquida - O&amp;G'!AI$1)</f>
        <v>0</v>
      </c>
      <c r="AJ52" s="196">
        <f ca="1">SUMIFS(INDIRECT("'"&amp;$A52&amp;$B$3&amp;"'!"&amp;"$i:$i"),INDIRECT("'"&amp;$A52&amp;$B$3&amp;"'!"&amp;"$A:$A"),'Receita Líquida - O&amp;G'!AJ$1)</f>
        <v>0</v>
      </c>
      <c r="AK52" s="196">
        <f ca="1">SUMIFS(INDIRECT("'"&amp;$A52&amp;$B$3&amp;"'!"&amp;"$i:$i"),INDIRECT("'"&amp;$A52&amp;$B$3&amp;"'!"&amp;"$A:$A"),'Receita Líquida - O&amp;G'!AK$1)</f>
        <v>0</v>
      </c>
      <c r="AL52" s="196">
        <f ca="1">SUMIFS(INDIRECT("'"&amp;$A52&amp;$B$3&amp;"'!"&amp;"$i:$i"),INDIRECT("'"&amp;$A52&amp;$B$3&amp;"'!"&amp;"$A:$A"),'Receita Líquida - O&amp;G'!AL$1)</f>
        <v>0</v>
      </c>
      <c r="AM52" s="196">
        <f ca="1">SUMIFS(INDIRECT("'"&amp;$A52&amp;$B$3&amp;"'!"&amp;"$i:$i"),INDIRECT("'"&amp;$A52&amp;$B$3&amp;"'!"&amp;"$A:$A"),'Receita Líquida - O&amp;G'!AM$1)</f>
        <v>0</v>
      </c>
      <c r="AN52" s="196">
        <f ca="1">SUMIFS(INDIRECT("'"&amp;$A52&amp;$B$3&amp;"'!"&amp;"$i:$i"),INDIRECT("'"&amp;$A52&amp;$B$3&amp;"'!"&amp;"$A:$A"),'Receita Líquida - O&amp;G'!AN$1)</f>
        <v>0</v>
      </c>
      <c r="AO52" s="196">
        <f ca="1">SUMIFS(INDIRECT("'"&amp;$A52&amp;$B$3&amp;"'!"&amp;"$i:$i"),INDIRECT("'"&amp;$A52&amp;$B$3&amp;"'!"&amp;"$A:$A"),'Receita Líquida - O&amp;G'!AO$1)</f>
        <v>0</v>
      </c>
      <c r="AP52" s="196">
        <f ca="1">SUMIFS(INDIRECT("'"&amp;$A52&amp;$B$3&amp;"'!"&amp;"$i:$i"),INDIRECT("'"&amp;$A52&amp;$B$3&amp;"'!"&amp;"$A:$A"),'Receita Líquida - O&amp;G'!AP$1)</f>
        <v>0</v>
      </c>
      <c r="AQ52" s="196">
        <f ca="1">SUMIFS(INDIRECT("'"&amp;$A52&amp;$B$3&amp;"'!"&amp;"$i:$i"),INDIRECT("'"&amp;$A52&amp;$B$3&amp;"'!"&amp;"$A:$A"),'Receita Líquida - O&amp;G'!AQ$1)</f>
        <v>0</v>
      </c>
      <c r="AR52" s="196">
        <f ca="1">SUMIFS(INDIRECT("'"&amp;$A52&amp;$B$3&amp;"'!"&amp;"$i:$i"),INDIRECT("'"&amp;$A52&amp;$B$3&amp;"'!"&amp;"$A:$A"),'Receita Líquida - O&amp;G'!AR$1)</f>
        <v>0</v>
      </c>
      <c r="AS52" s="196">
        <f ca="1">SUMIFS(INDIRECT("'"&amp;$A52&amp;$B$3&amp;"'!"&amp;"$i:$i"),INDIRECT("'"&amp;$A52&amp;$B$3&amp;"'!"&amp;"$A:$A"),'Receita Líquida - O&amp;G'!AS$1)</f>
        <v>0</v>
      </c>
      <c r="AT52" s="196">
        <f ca="1">SUMIFS(INDIRECT("'"&amp;$A52&amp;$B$3&amp;"'!"&amp;"$i:$i"),INDIRECT("'"&amp;$A52&amp;$B$3&amp;"'!"&amp;"$A:$A"),'Receita Líquida - O&amp;G'!AT$1)</f>
        <v>0</v>
      </c>
      <c r="AU52" s="196">
        <f ca="1">SUMIFS(INDIRECT("'"&amp;$A52&amp;$B$3&amp;"'!"&amp;"$i:$i"),INDIRECT("'"&amp;$A52&amp;$B$3&amp;"'!"&amp;"$A:$A"),'Receita Líquida - O&amp;G'!AU$1)</f>
        <v>0</v>
      </c>
      <c r="AV52" s="196">
        <f ca="1">SUMIFS(INDIRECT("'"&amp;$A52&amp;$B$3&amp;"'!"&amp;"$i:$i"),INDIRECT("'"&amp;$A52&amp;$B$3&amp;"'!"&amp;"$A:$A"),'Receita Líquida - O&amp;G'!AV$1)</f>
        <v>0</v>
      </c>
      <c r="AW52" s="196">
        <f ca="1">SUMIFS(INDIRECT("'"&amp;$A52&amp;$B$3&amp;"'!"&amp;"$i:$i"),INDIRECT("'"&amp;$A52&amp;$B$3&amp;"'!"&amp;"$A:$A"),'Receita Líquida - O&amp;G'!AW$1)</f>
        <v>0</v>
      </c>
      <c r="AX52" s="196">
        <f ca="1">SUMIFS(INDIRECT("'"&amp;$A52&amp;$B$3&amp;"'!"&amp;"$i:$i"),INDIRECT("'"&amp;$A52&amp;$B$3&amp;"'!"&amp;"$A:$A"),'Receita Líquida - O&amp;G'!AX$1)</f>
        <v>0</v>
      </c>
      <c r="AY52" s="196">
        <f ca="1">SUMIFS(INDIRECT("'"&amp;$A52&amp;$B$3&amp;"'!"&amp;"$i:$i"),INDIRECT("'"&amp;$A52&amp;$B$3&amp;"'!"&amp;"$A:$A"),'Receita Líquida - O&amp;G'!AY$1)</f>
        <v>0</v>
      </c>
      <c r="AZ52" s="196">
        <f ca="1">SUMIFS(INDIRECT("'"&amp;$A52&amp;$B$3&amp;"'!"&amp;"$i:$i"),INDIRECT("'"&amp;$A52&amp;$B$3&amp;"'!"&amp;"$A:$A"),'Receita Líquida - O&amp;G'!AZ$1)</f>
        <v>0</v>
      </c>
      <c r="BA52" s="196">
        <f ca="1">SUMIFS(INDIRECT("'"&amp;$A52&amp;$B$3&amp;"'!"&amp;"$i:$i"),INDIRECT("'"&amp;$A52&amp;$B$3&amp;"'!"&amp;"$A:$A"),'Receita Líquida - O&amp;G'!BA$1)</f>
        <v>0</v>
      </c>
      <c r="BB52" s="196">
        <f ca="1">SUMIFS(INDIRECT("'"&amp;$A52&amp;$B$3&amp;"'!"&amp;"$i:$i"),INDIRECT("'"&amp;$A52&amp;$B$3&amp;"'!"&amp;"$A:$A"),'Receita Líquida - O&amp;G'!BB$1)</f>
        <v>0</v>
      </c>
      <c r="BC52" s="196">
        <f ca="1">SUMIFS(INDIRECT("'"&amp;$A52&amp;$B$3&amp;"'!"&amp;"$i:$i"),INDIRECT("'"&amp;$A52&amp;$B$3&amp;"'!"&amp;"$A:$A"),'Receita Líquida - O&amp;G'!BC$1)</f>
        <v>0</v>
      </c>
      <c r="BD52" s="196">
        <f ca="1">SUMIFS(INDIRECT("'"&amp;$A52&amp;$B$3&amp;"'!"&amp;"$i:$i"),INDIRECT("'"&amp;$A52&amp;$B$3&amp;"'!"&amp;"$A:$A"),'Receita Líquida - O&amp;G'!BD$1)</f>
        <v>0</v>
      </c>
      <c r="BE52" s="196">
        <f ca="1">SUMIFS(INDIRECT("'"&amp;$A52&amp;$B$3&amp;"'!"&amp;"$i:$i"),INDIRECT("'"&amp;$A52&amp;$B$3&amp;"'!"&amp;"$A:$A"),'Receita Líquida - O&amp;G'!BE$1)</f>
        <v>0</v>
      </c>
      <c r="BF52" s="196">
        <f ca="1">SUMIFS(INDIRECT("'"&amp;$A52&amp;$B$3&amp;"'!"&amp;"$i:$i"),INDIRECT("'"&amp;$A52&amp;$B$3&amp;"'!"&amp;"$A:$A"),'Receita Líquida - O&amp;G'!BF$1)</f>
        <v>0</v>
      </c>
      <c r="BG52" s="196">
        <f ca="1">SUMIFS(INDIRECT("'"&amp;$A52&amp;$B$3&amp;"'!"&amp;"$i:$i"),INDIRECT("'"&amp;$A52&amp;$B$3&amp;"'!"&amp;"$A:$A"),'Receita Líquida - O&amp;G'!BG$1)</f>
        <v>0</v>
      </c>
      <c r="BH52" s="196">
        <f ca="1">SUMIFS(INDIRECT("'"&amp;$A52&amp;$B$3&amp;"'!"&amp;"$i:$i"),INDIRECT("'"&amp;$A52&amp;$B$3&amp;"'!"&amp;"$A:$A"),'Receita Líquida - O&amp;G'!BH$1)</f>
        <v>0</v>
      </c>
      <c r="BI52" s="196">
        <f ca="1">SUMIFS(INDIRECT("'"&amp;$A52&amp;$B$3&amp;"'!"&amp;"$i:$i"),INDIRECT("'"&amp;$A52&amp;$B$3&amp;"'!"&amp;"$A:$A"),'Receita Líquida - O&amp;G'!BI$1)</f>
        <v>0</v>
      </c>
      <c r="BJ52" s="196">
        <f ca="1">SUMIFS(INDIRECT("'"&amp;$A52&amp;$B$3&amp;"'!"&amp;"$i:$i"),INDIRECT("'"&amp;$A52&amp;$B$3&amp;"'!"&amp;"$A:$A"),'Receita Líquida - O&amp;G'!BJ$1)</f>
        <v>0</v>
      </c>
      <c r="BK52" s="196">
        <f ca="1">SUMIFS(INDIRECT("'"&amp;$A52&amp;$B$3&amp;"'!"&amp;"$i:$i"),INDIRECT("'"&amp;$A52&amp;$B$3&amp;"'!"&amp;"$A:$A"),'Receita Líquida - O&amp;G'!BK$1)</f>
        <v>0</v>
      </c>
      <c r="BL52" s="196">
        <f ca="1">SUMIFS(INDIRECT("'"&amp;$A52&amp;$B$3&amp;"'!"&amp;"$i:$i"),INDIRECT("'"&amp;$A52&amp;$B$3&amp;"'!"&amp;"$A:$A"),'Receita Líquida - O&amp;G'!BL$1)</f>
        <v>0</v>
      </c>
      <c r="BM52" s="196">
        <f ca="1">SUMIFS(INDIRECT("'"&amp;$A52&amp;$B$3&amp;"'!"&amp;"$i:$i"),INDIRECT("'"&amp;$A52&amp;$B$3&amp;"'!"&amp;"$A:$A"),'Receita Líquida - O&amp;G'!BM$1)</f>
        <v>0</v>
      </c>
      <c r="BN52" s="196">
        <f ca="1">SUMIFS(INDIRECT("'"&amp;$A52&amp;$B$3&amp;"'!"&amp;"$i:$i"),INDIRECT("'"&amp;$A52&amp;$B$3&amp;"'!"&amp;"$A:$A"),'Receita Líquida - O&amp;G'!BN$1)</f>
        <v>0</v>
      </c>
      <c r="BO52" s="196">
        <f ca="1">SUMIFS(INDIRECT("'"&amp;$A52&amp;$B$3&amp;"'!"&amp;"$i:$i"),INDIRECT("'"&amp;$A52&amp;$B$3&amp;"'!"&amp;"$A:$A"),'Receita Líquida - O&amp;G'!BO$1)</f>
        <v>0</v>
      </c>
      <c r="BP52" s="196">
        <f ca="1">SUMIFS(INDIRECT("'"&amp;$A52&amp;$B$3&amp;"'!"&amp;"$i:$i"),INDIRECT("'"&amp;$A52&amp;$B$3&amp;"'!"&amp;"$A:$A"),'Receita Líquida - O&amp;G'!BP$1)</f>
        <v>0</v>
      </c>
      <c r="BQ52" s="196">
        <f ca="1">SUMIFS(INDIRECT("'"&amp;$A52&amp;$B$3&amp;"'!"&amp;"$i:$i"),INDIRECT("'"&amp;$A52&amp;$B$3&amp;"'!"&amp;"$A:$A"),'Receita Líquida - O&amp;G'!BQ$1)</f>
        <v>0</v>
      </c>
      <c r="BR52" s="196">
        <f ca="1">SUMIFS(INDIRECT("'"&amp;$A52&amp;$B$3&amp;"'!"&amp;"$i:$i"),INDIRECT("'"&amp;$A52&amp;$B$3&amp;"'!"&amp;"$A:$A"),'Receita Líquida - O&amp;G'!BR$1)</f>
        <v>0</v>
      </c>
      <c r="BS52" s="196">
        <f ca="1">SUMIFS(INDIRECT("'"&amp;$A52&amp;$B$3&amp;"'!"&amp;"$i:$i"),INDIRECT("'"&amp;$A52&amp;$B$3&amp;"'!"&amp;"$A:$A"),'Receita Líquida - O&amp;G'!BS$1)</f>
        <v>0</v>
      </c>
      <c r="BT52" s="196">
        <f ca="1">SUMIFS(INDIRECT("'"&amp;$A52&amp;$B$3&amp;"'!"&amp;"$i:$i"),INDIRECT("'"&amp;$A52&amp;$B$3&amp;"'!"&amp;"$A:$A"),'Receita Líquida - O&amp;G'!BT$1)</f>
        <v>0</v>
      </c>
      <c r="BU52" s="196">
        <f ca="1">SUMIFS(INDIRECT("'"&amp;$A52&amp;$B$3&amp;"'!"&amp;"$i:$i"),INDIRECT("'"&amp;$A52&amp;$B$3&amp;"'!"&amp;"$A:$A"),'Receita Líquida - O&amp;G'!BU$1)</f>
        <v>0</v>
      </c>
      <c r="BV52" s="196">
        <f ca="1">SUMIFS(INDIRECT("'"&amp;$A52&amp;$B$3&amp;"'!"&amp;"$i:$i"),INDIRECT("'"&amp;$A52&amp;$B$3&amp;"'!"&amp;"$A:$A"),'Receita Líquida - O&amp;G'!BV$1)</f>
        <v>0</v>
      </c>
      <c r="BW52" s="196">
        <f ca="1">SUMIFS(INDIRECT("'"&amp;$A52&amp;$B$3&amp;"'!"&amp;"$i:$i"),INDIRECT("'"&amp;$A52&amp;$B$3&amp;"'!"&amp;"$A:$A"),'Receita Líquida - O&amp;G'!BW$1)</f>
        <v>0</v>
      </c>
    </row>
    <row r="53" spans="1:75" x14ac:dyDescent="0.3">
      <c r="A53" s="5" t="s">
        <v>66</v>
      </c>
      <c r="B53" s="5"/>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196">
        <f ca="1">SUMIFS(INDIRECT("'"&amp;$A53&amp;$B$3&amp;"'!"&amp;"$i:$i"),INDIRECT("'"&amp;$A53&amp;$B$3&amp;"'!"&amp;"$A:$A"),'Receita Líquida - O&amp;G'!AG$1)</f>
        <v>2895</v>
      </c>
      <c r="AH53" s="196">
        <f ca="1">SUMIFS(INDIRECT("'"&amp;$A53&amp;$B$3&amp;"'!"&amp;"$i:$i"),INDIRECT("'"&amp;$A53&amp;$B$3&amp;"'!"&amp;"$A:$A"),'Receita Líquida - O&amp;G'!AH$1)</f>
        <v>6829</v>
      </c>
      <c r="AI53" s="196">
        <f ca="1">SUMIFS(INDIRECT("'"&amp;$A53&amp;$B$3&amp;"'!"&amp;"$i:$i"),INDIRECT("'"&amp;$A53&amp;$B$3&amp;"'!"&amp;"$A:$A"),'Receita Líquida - O&amp;G'!AI$1)</f>
        <v>10082</v>
      </c>
      <c r="AJ53" s="196">
        <f ca="1">SUMIFS(INDIRECT("'"&amp;$A53&amp;$B$3&amp;"'!"&amp;"$i:$i"),INDIRECT("'"&amp;$A53&amp;$B$3&amp;"'!"&amp;"$A:$A"),'Receita Líquida - O&amp;G'!AJ$1)</f>
        <v>12865</v>
      </c>
      <c r="AK53" s="196">
        <f ca="1">SUMIFS(INDIRECT("'"&amp;$A53&amp;$B$3&amp;"'!"&amp;"$i:$i"),INDIRECT("'"&amp;$A53&amp;$B$3&amp;"'!"&amp;"$A:$A"),'Receita Líquida - O&amp;G'!AK$1)</f>
        <v>13276</v>
      </c>
      <c r="AL53" s="196">
        <f ca="1">SUMIFS(INDIRECT("'"&amp;$A53&amp;$B$3&amp;"'!"&amp;"$i:$i"),INDIRECT("'"&amp;$A53&amp;$B$3&amp;"'!"&amp;"$A:$A"),'Receita Líquida - O&amp;G'!AL$1)</f>
        <v>14357</v>
      </c>
      <c r="AM53" s="196">
        <f ca="1">SUMIFS(INDIRECT("'"&amp;$A53&amp;$B$3&amp;"'!"&amp;"$i:$i"),INDIRECT("'"&amp;$A53&amp;$B$3&amp;"'!"&amp;"$A:$A"),'Receita Líquida - O&amp;G'!AM$1)</f>
        <v>13251</v>
      </c>
      <c r="AN53" s="196">
        <f ca="1">SUMIFS(INDIRECT("'"&amp;$A53&amp;$B$3&amp;"'!"&amp;"$i:$i"),INDIRECT("'"&amp;$A53&amp;$B$3&amp;"'!"&amp;"$A:$A"),'Receita Líquida - O&amp;G'!AN$1)</f>
        <v>10654</v>
      </c>
      <c r="AO53" s="196">
        <f ca="1">SUMIFS(INDIRECT("'"&amp;$A53&amp;$B$3&amp;"'!"&amp;"$i:$i"),INDIRECT("'"&amp;$A53&amp;$B$3&amp;"'!"&amp;"$A:$A"),'Receita Líquida - O&amp;G'!AO$1)</f>
        <v>8532</v>
      </c>
      <c r="AP53" s="196">
        <f ca="1">SUMIFS(INDIRECT("'"&amp;$A53&amp;$B$3&amp;"'!"&amp;"$i:$i"),INDIRECT("'"&amp;$A53&amp;$B$3&amp;"'!"&amp;"$A:$A"),'Receita Líquida - O&amp;G'!AP$1)</f>
        <v>6693</v>
      </c>
      <c r="AQ53" s="196">
        <f ca="1">SUMIFS(INDIRECT("'"&amp;$A53&amp;$B$3&amp;"'!"&amp;"$i:$i"),INDIRECT("'"&amp;$A53&amp;$B$3&amp;"'!"&amp;"$A:$A"),'Receita Líquida - O&amp;G'!AQ$1)</f>
        <v>5162</v>
      </c>
      <c r="AR53" s="196">
        <f ca="1">SUMIFS(INDIRECT("'"&amp;$A53&amp;$B$3&amp;"'!"&amp;"$i:$i"),INDIRECT("'"&amp;$A53&amp;$B$3&amp;"'!"&amp;"$A:$A"),'Receita Líquida - O&amp;G'!AR$1)</f>
        <v>3769</v>
      </c>
      <c r="AS53" s="196">
        <f ca="1">SUMIFS(INDIRECT("'"&amp;$A53&amp;$B$3&amp;"'!"&amp;"$i:$i"),INDIRECT("'"&amp;$A53&amp;$B$3&amp;"'!"&amp;"$A:$A"),'Receita Líquida - O&amp;G'!AS$1)</f>
        <v>2656</v>
      </c>
      <c r="AT53" s="196">
        <f ca="1">SUMIFS(INDIRECT("'"&amp;$A53&amp;$B$3&amp;"'!"&amp;"$i:$i"),INDIRECT("'"&amp;$A53&amp;$B$3&amp;"'!"&amp;"$A:$A"),'Receita Líquida - O&amp;G'!AT$1)</f>
        <v>1676</v>
      </c>
      <c r="AU53" s="196">
        <f ca="1">SUMIFS(INDIRECT("'"&amp;$A53&amp;$B$3&amp;"'!"&amp;"$i:$i"),INDIRECT("'"&amp;$A53&amp;$B$3&amp;"'!"&amp;"$A:$A"),'Receita Líquida - O&amp;G'!AU$1)</f>
        <v>967</v>
      </c>
      <c r="AV53" s="196">
        <f ca="1">SUMIFS(INDIRECT("'"&amp;$A53&amp;$B$3&amp;"'!"&amp;"$i:$i"),INDIRECT("'"&amp;$A53&amp;$B$3&amp;"'!"&amp;"$A:$A"),'Receita Líquida - O&amp;G'!AV$1)</f>
        <v>393</v>
      </c>
      <c r="AW53" s="196">
        <f ca="1">SUMIFS(INDIRECT("'"&amp;$A53&amp;$B$3&amp;"'!"&amp;"$i:$i"),INDIRECT("'"&amp;$A53&amp;$B$3&amp;"'!"&amp;"$A:$A"),'Receita Líquida - O&amp;G'!AW$1)</f>
        <v>0</v>
      </c>
      <c r="AX53" s="196">
        <f ca="1">SUMIFS(INDIRECT("'"&amp;$A53&amp;$B$3&amp;"'!"&amp;"$i:$i"),INDIRECT("'"&amp;$A53&amp;$B$3&amp;"'!"&amp;"$A:$A"),'Receita Líquida - O&amp;G'!AX$1)</f>
        <v>0</v>
      </c>
      <c r="AY53" s="196">
        <f ca="1">SUMIFS(INDIRECT("'"&amp;$A53&amp;$B$3&amp;"'!"&amp;"$i:$i"),INDIRECT("'"&amp;$A53&amp;$B$3&amp;"'!"&amp;"$A:$A"),'Receita Líquida - O&amp;G'!AY$1)</f>
        <v>0</v>
      </c>
      <c r="AZ53" s="196">
        <f ca="1">SUMIFS(INDIRECT("'"&amp;$A53&amp;$B$3&amp;"'!"&amp;"$i:$i"),INDIRECT("'"&amp;$A53&amp;$B$3&amp;"'!"&amp;"$A:$A"),'Receita Líquida - O&amp;G'!AZ$1)</f>
        <v>0</v>
      </c>
      <c r="BA53" s="196">
        <f ca="1">SUMIFS(INDIRECT("'"&amp;$A53&amp;$B$3&amp;"'!"&amp;"$i:$i"),INDIRECT("'"&amp;$A53&amp;$B$3&amp;"'!"&amp;"$A:$A"),'Receita Líquida - O&amp;G'!BA$1)</f>
        <v>0</v>
      </c>
      <c r="BB53" s="196">
        <f ca="1">SUMIFS(INDIRECT("'"&amp;$A53&amp;$B$3&amp;"'!"&amp;"$i:$i"),INDIRECT("'"&amp;$A53&amp;$B$3&amp;"'!"&amp;"$A:$A"),'Receita Líquida - O&amp;G'!BB$1)</f>
        <v>0</v>
      </c>
      <c r="BC53" s="196">
        <f ca="1">SUMIFS(INDIRECT("'"&amp;$A53&amp;$B$3&amp;"'!"&amp;"$i:$i"),INDIRECT("'"&amp;$A53&amp;$B$3&amp;"'!"&amp;"$A:$A"),'Receita Líquida - O&amp;G'!BC$1)</f>
        <v>0</v>
      </c>
      <c r="BD53" s="196">
        <f ca="1">SUMIFS(INDIRECT("'"&amp;$A53&amp;$B$3&amp;"'!"&amp;"$i:$i"),INDIRECT("'"&amp;$A53&amp;$B$3&amp;"'!"&amp;"$A:$A"),'Receita Líquida - O&amp;G'!BD$1)</f>
        <v>0</v>
      </c>
      <c r="BE53" s="196">
        <f ca="1">SUMIFS(INDIRECT("'"&amp;$A53&amp;$B$3&amp;"'!"&amp;"$i:$i"),INDIRECT("'"&amp;$A53&amp;$B$3&amp;"'!"&amp;"$A:$A"),'Receita Líquida - O&amp;G'!BE$1)</f>
        <v>0</v>
      </c>
      <c r="BF53" s="196">
        <f ca="1">SUMIFS(INDIRECT("'"&amp;$A53&amp;$B$3&amp;"'!"&amp;"$i:$i"),INDIRECT("'"&amp;$A53&amp;$B$3&amp;"'!"&amp;"$A:$A"),'Receita Líquida - O&amp;G'!BF$1)</f>
        <v>0</v>
      </c>
      <c r="BG53" s="196">
        <f ca="1">SUMIFS(INDIRECT("'"&amp;$A53&amp;$B$3&amp;"'!"&amp;"$i:$i"),INDIRECT("'"&amp;$A53&amp;$B$3&amp;"'!"&amp;"$A:$A"),'Receita Líquida - O&amp;G'!BG$1)</f>
        <v>0</v>
      </c>
      <c r="BH53" s="196">
        <f ca="1">SUMIFS(INDIRECT("'"&amp;$A53&amp;$B$3&amp;"'!"&amp;"$i:$i"),INDIRECT("'"&amp;$A53&amp;$B$3&amp;"'!"&amp;"$A:$A"),'Receita Líquida - O&amp;G'!BH$1)</f>
        <v>0</v>
      </c>
      <c r="BI53" s="196">
        <f ca="1">SUMIFS(INDIRECT("'"&amp;$A53&amp;$B$3&amp;"'!"&amp;"$i:$i"),INDIRECT("'"&amp;$A53&amp;$B$3&amp;"'!"&amp;"$A:$A"),'Receita Líquida - O&amp;G'!BI$1)</f>
        <v>0</v>
      </c>
      <c r="BJ53" s="196">
        <f ca="1">SUMIFS(INDIRECT("'"&amp;$A53&amp;$B$3&amp;"'!"&amp;"$i:$i"),INDIRECT("'"&amp;$A53&amp;$B$3&amp;"'!"&amp;"$A:$A"),'Receita Líquida - O&amp;G'!BJ$1)</f>
        <v>0</v>
      </c>
      <c r="BK53" s="196">
        <f ca="1">SUMIFS(INDIRECT("'"&amp;$A53&amp;$B$3&amp;"'!"&amp;"$i:$i"),INDIRECT("'"&amp;$A53&amp;$B$3&amp;"'!"&amp;"$A:$A"),'Receita Líquida - O&amp;G'!BK$1)</f>
        <v>0</v>
      </c>
      <c r="BL53" s="196">
        <f ca="1">SUMIFS(INDIRECT("'"&amp;$A53&amp;$B$3&amp;"'!"&amp;"$i:$i"),INDIRECT("'"&amp;$A53&amp;$B$3&amp;"'!"&amp;"$A:$A"),'Receita Líquida - O&amp;G'!BL$1)</f>
        <v>0</v>
      </c>
      <c r="BM53" s="196">
        <f ca="1">SUMIFS(INDIRECT("'"&amp;$A53&amp;$B$3&amp;"'!"&amp;"$i:$i"),INDIRECT("'"&amp;$A53&amp;$B$3&amp;"'!"&amp;"$A:$A"),'Receita Líquida - O&amp;G'!BM$1)</f>
        <v>0</v>
      </c>
      <c r="BN53" s="196">
        <f ca="1">SUMIFS(INDIRECT("'"&amp;$A53&amp;$B$3&amp;"'!"&amp;"$i:$i"),INDIRECT("'"&amp;$A53&amp;$B$3&amp;"'!"&amp;"$A:$A"),'Receita Líquida - O&amp;G'!BN$1)</f>
        <v>0</v>
      </c>
      <c r="BO53" s="196">
        <f ca="1">SUMIFS(INDIRECT("'"&amp;$A53&amp;$B$3&amp;"'!"&amp;"$i:$i"),INDIRECT("'"&amp;$A53&amp;$B$3&amp;"'!"&amp;"$A:$A"),'Receita Líquida - O&amp;G'!BO$1)</f>
        <v>0</v>
      </c>
      <c r="BP53" s="196">
        <f ca="1">SUMIFS(INDIRECT("'"&amp;$A53&amp;$B$3&amp;"'!"&amp;"$i:$i"),INDIRECT("'"&amp;$A53&amp;$B$3&amp;"'!"&amp;"$A:$A"),'Receita Líquida - O&amp;G'!BP$1)</f>
        <v>0</v>
      </c>
      <c r="BQ53" s="196">
        <f ca="1">SUMIFS(INDIRECT("'"&amp;$A53&amp;$B$3&amp;"'!"&amp;"$i:$i"),INDIRECT("'"&amp;$A53&amp;$B$3&amp;"'!"&amp;"$A:$A"),'Receita Líquida - O&amp;G'!BQ$1)</f>
        <v>0</v>
      </c>
      <c r="BR53" s="196">
        <f ca="1">SUMIFS(INDIRECT("'"&amp;$A53&amp;$B$3&amp;"'!"&amp;"$i:$i"),INDIRECT("'"&amp;$A53&amp;$B$3&amp;"'!"&amp;"$A:$A"),'Receita Líquida - O&amp;G'!BR$1)</f>
        <v>0</v>
      </c>
      <c r="BS53" s="196">
        <f ca="1">SUMIFS(INDIRECT("'"&amp;$A53&amp;$B$3&amp;"'!"&amp;"$i:$i"),INDIRECT("'"&amp;$A53&amp;$B$3&amp;"'!"&amp;"$A:$A"),'Receita Líquida - O&amp;G'!BS$1)</f>
        <v>0</v>
      </c>
      <c r="BT53" s="196">
        <f ca="1">SUMIFS(INDIRECT("'"&amp;$A53&amp;$B$3&amp;"'!"&amp;"$i:$i"),INDIRECT("'"&amp;$A53&amp;$B$3&amp;"'!"&amp;"$A:$A"),'Receita Líquida - O&amp;G'!BT$1)</f>
        <v>0</v>
      </c>
      <c r="BU53" s="196">
        <f ca="1">SUMIFS(INDIRECT("'"&amp;$A53&amp;$B$3&amp;"'!"&amp;"$i:$i"),INDIRECT("'"&amp;$A53&amp;$B$3&amp;"'!"&amp;"$A:$A"),'Receita Líquida - O&amp;G'!BU$1)</f>
        <v>0</v>
      </c>
      <c r="BV53" s="196">
        <f ca="1">SUMIFS(INDIRECT("'"&amp;$A53&amp;$B$3&amp;"'!"&amp;"$i:$i"),INDIRECT("'"&amp;$A53&amp;$B$3&amp;"'!"&amp;"$A:$A"),'Receita Líquida - O&amp;G'!BV$1)</f>
        <v>0</v>
      </c>
      <c r="BW53" s="196">
        <f ca="1">SUMIFS(INDIRECT("'"&amp;$A53&amp;$B$3&amp;"'!"&amp;"$i:$i"),INDIRECT("'"&amp;$A53&amp;$B$3&amp;"'!"&amp;"$A:$A"),'Receita Líquida - O&amp;G'!BW$1)</f>
        <v>0</v>
      </c>
    </row>
    <row r="54" spans="1:75" x14ac:dyDescent="0.3">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row>
    <row r="55" spans="1:75" x14ac:dyDescent="0.3">
      <c r="A55" s="4" t="s">
        <v>7</v>
      </c>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row>
    <row r="56" spans="1:75" x14ac:dyDescent="0.3">
      <c r="A56" s="5" t="s">
        <v>688</v>
      </c>
      <c r="B56" s="5"/>
      <c r="C56" s="72"/>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60">
        <v>35.314666719999998</v>
      </c>
      <c r="AH56" s="60">
        <v>35.314666719999998</v>
      </c>
      <c r="AI56" s="60">
        <v>35.314666719999998</v>
      </c>
      <c r="AJ56" s="60">
        <v>35.314666719999998</v>
      </c>
      <c r="AK56" s="60">
        <v>35.314666719999998</v>
      </c>
      <c r="AL56" s="60">
        <v>35.314666719999998</v>
      </c>
      <c r="AM56" s="60">
        <v>35.314666719999998</v>
      </c>
      <c r="AN56" s="60">
        <v>35.314666719999998</v>
      </c>
      <c r="AO56" s="60">
        <v>35.314666719999998</v>
      </c>
      <c r="AP56" s="60">
        <v>35.314666719999998</v>
      </c>
      <c r="AQ56" s="60">
        <v>35.314666719999998</v>
      </c>
      <c r="AR56" s="60">
        <v>35.314666719999998</v>
      </c>
      <c r="AS56" s="60">
        <v>35.314666719999998</v>
      </c>
      <c r="AT56" s="60">
        <v>35.314666719999998</v>
      </c>
      <c r="AU56" s="60">
        <v>35.314666719999998</v>
      </c>
      <c r="AV56" s="60">
        <v>35.314666719999998</v>
      </c>
      <c r="AW56" s="60">
        <v>35.314666719999998</v>
      </c>
      <c r="AX56" s="60">
        <v>35.314666719999998</v>
      </c>
      <c r="AY56" s="60">
        <v>35.314666719999998</v>
      </c>
      <c r="AZ56" s="60">
        <v>35.314666719999998</v>
      </c>
      <c r="BA56" s="60">
        <v>35.314666719999998</v>
      </c>
      <c r="BB56" s="60">
        <v>35.314666719999998</v>
      </c>
      <c r="BC56" s="60">
        <v>35.314666719999998</v>
      </c>
      <c r="BD56" s="60">
        <v>35.314666719999998</v>
      </c>
      <c r="BE56" s="60">
        <v>35.314666719999998</v>
      </c>
      <c r="BF56" s="60">
        <v>35.314666719999998</v>
      </c>
      <c r="BG56" s="60">
        <v>35.314666719999998</v>
      </c>
      <c r="BH56" s="60">
        <v>35.314666719999998</v>
      </c>
      <c r="BI56" s="60">
        <v>35.314666719999998</v>
      </c>
      <c r="BJ56" s="60">
        <v>35.314666719999998</v>
      </c>
      <c r="BK56" s="60">
        <v>35.314666719999998</v>
      </c>
      <c r="BL56" s="60">
        <v>35.314666719999998</v>
      </c>
      <c r="BM56" s="60">
        <v>35.314666719999998</v>
      </c>
      <c r="BN56" s="60">
        <v>35.314666719999998</v>
      </c>
      <c r="BO56" s="60">
        <v>35.314666719999998</v>
      </c>
      <c r="BP56" s="60">
        <v>35.314666719999998</v>
      </c>
      <c r="BQ56" s="60">
        <v>35.314666719999998</v>
      </c>
      <c r="BR56" s="60">
        <v>35.314666719999998</v>
      </c>
      <c r="BS56" s="60">
        <v>35.314666719999998</v>
      </c>
      <c r="BT56" s="60">
        <v>35.314666719999998</v>
      </c>
      <c r="BU56" s="60">
        <v>35.314666719999998</v>
      </c>
      <c r="BV56" s="60">
        <v>35.314666719999998</v>
      </c>
      <c r="BW56" s="60">
        <v>35.314666719999998</v>
      </c>
    </row>
    <row r="57" spans="1:75" x14ac:dyDescent="0.3">
      <c r="A57" s="5" t="s">
        <v>689</v>
      </c>
      <c r="B57" s="5"/>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60">
        <v>28.263681999999999</v>
      </c>
      <c r="AH57" s="60">
        <v>28.263681999999999</v>
      </c>
      <c r="AI57" s="60">
        <v>28.263681999999999</v>
      </c>
      <c r="AJ57" s="60">
        <v>28.263681999999999</v>
      </c>
      <c r="AK57" s="60">
        <v>28.263681999999999</v>
      </c>
      <c r="AL57" s="60">
        <v>28.263681999999999</v>
      </c>
      <c r="AM57" s="60">
        <v>28.263681999999999</v>
      </c>
      <c r="AN57" s="60">
        <v>28.263681999999999</v>
      </c>
      <c r="AO57" s="60">
        <v>28.263681999999999</v>
      </c>
      <c r="AP57" s="60">
        <v>28.263681999999999</v>
      </c>
      <c r="AQ57" s="60">
        <v>28.263681999999999</v>
      </c>
      <c r="AR57" s="60">
        <v>28.263681999999999</v>
      </c>
      <c r="AS57" s="60">
        <v>28.263681999999999</v>
      </c>
      <c r="AT57" s="60">
        <v>28.263681999999999</v>
      </c>
      <c r="AU57" s="60">
        <v>28.263681999999999</v>
      </c>
      <c r="AV57" s="60">
        <v>28.263681999999999</v>
      </c>
      <c r="AW57" s="60">
        <v>28.263681999999999</v>
      </c>
      <c r="AX57" s="60">
        <v>28.263681999999999</v>
      </c>
      <c r="AY57" s="60">
        <v>28.263681999999999</v>
      </c>
      <c r="AZ57" s="60">
        <v>28.263681999999999</v>
      </c>
      <c r="BA57" s="60">
        <v>28.263681999999999</v>
      </c>
      <c r="BB57" s="60">
        <v>28.263681999999999</v>
      </c>
      <c r="BC57" s="60">
        <v>28.263681999999999</v>
      </c>
      <c r="BD57" s="60">
        <v>28.263681999999999</v>
      </c>
      <c r="BE57" s="60">
        <v>28.263681999999999</v>
      </c>
      <c r="BF57" s="60">
        <v>28.263681999999999</v>
      </c>
      <c r="BG57" s="60">
        <v>28.263681999999999</v>
      </c>
      <c r="BH57" s="60">
        <v>28.263681999999999</v>
      </c>
      <c r="BI57" s="60">
        <v>28.263681999999999</v>
      </c>
      <c r="BJ57" s="60">
        <v>28.263681999999999</v>
      </c>
      <c r="BK57" s="60">
        <v>28.263681999999999</v>
      </c>
      <c r="BL57" s="60">
        <v>28.263681999999999</v>
      </c>
      <c r="BM57" s="60">
        <v>28.263681999999999</v>
      </c>
      <c r="BN57" s="60">
        <v>28.263681999999999</v>
      </c>
      <c r="BO57" s="60">
        <v>28.263681999999999</v>
      </c>
      <c r="BP57" s="60">
        <v>28.263681999999999</v>
      </c>
      <c r="BQ57" s="60">
        <v>28.263681999999999</v>
      </c>
      <c r="BR57" s="60">
        <v>28.263681999999999</v>
      </c>
      <c r="BS57" s="60">
        <v>28.263681999999999</v>
      </c>
      <c r="BT57" s="60">
        <v>28.263681999999999</v>
      </c>
      <c r="BU57" s="60">
        <v>28.263681999999999</v>
      </c>
      <c r="BV57" s="60">
        <v>28.263681999999999</v>
      </c>
      <c r="BW57" s="60">
        <v>28.263681999999999</v>
      </c>
    </row>
    <row r="58" spans="1:75" x14ac:dyDescent="0.3">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row>
    <row r="59" spans="1:75" x14ac:dyDescent="0.3">
      <c r="A59" s="4" t="s">
        <v>8</v>
      </c>
      <c r="B59" s="4"/>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48">
        <f t="shared" ref="AG59:BL59" ca="1" si="107">SUM(AG60:AG63)</f>
        <v>12723.888972907314</v>
      </c>
      <c r="AH59" s="48">
        <f t="shared" ca="1" si="107"/>
        <v>21983.273373506479</v>
      </c>
      <c r="AI59" s="48">
        <f t="shared" ca="1" si="107"/>
        <v>24561.113241797073</v>
      </c>
      <c r="AJ59" s="48">
        <f t="shared" ca="1" si="107"/>
        <v>28683.853645223338</v>
      </c>
      <c r="AK59" s="48">
        <f t="shared" ca="1" si="107"/>
        <v>31518.175055015054</v>
      </c>
      <c r="AL59" s="48">
        <f t="shared" ca="1" si="107"/>
        <v>35507.665282583315</v>
      </c>
      <c r="AM59" s="48">
        <f t="shared" ca="1" si="107"/>
        <v>31299.764992330503</v>
      </c>
      <c r="AN59" s="48">
        <f t="shared" ca="1" si="107"/>
        <v>23508.136288212383</v>
      </c>
      <c r="AO59" s="48">
        <f t="shared" ca="1" si="107"/>
        <v>17586.017570192293</v>
      </c>
      <c r="AP59" s="48">
        <f t="shared" ca="1" si="107"/>
        <v>13691.706039665462</v>
      </c>
      <c r="AQ59" s="48">
        <f t="shared" ca="1" si="107"/>
        <v>10947.553921807736</v>
      </c>
      <c r="AR59" s="48">
        <f t="shared" ca="1" si="107"/>
        <v>8556.0639235140516</v>
      </c>
      <c r="AS59" s="48">
        <f t="shared" ca="1" si="107"/>
        <v>6411.0366565066079</v>
      </c>
      <c r="AT59" s="48">
        <f t="shared" ca="1" si="107"/>
        <v>4813.0364272320276</v>
      </c>
      <c r="AU59" s="48">
        <f t="shared" ca="1" si="107"/>
        <v>3782.1008561200879</v>
      </c>
      <c r="AV59" s="48">
        <f t="shared" ca="1" si="107"/>
        <v>393.73924144508464</v>
      </c>
      <c r="AW59" s="48">
        <f t="shared" ca="1" si="107"/>
        <v>0</v>
      </c>
      <c r="AX59" s="48">
        <f t="shared" ca="1" si="107"/>
        <v>0</v>
      </c>
      <c r="AY59" s="48">
        <f t="shared" ca="1" si="107"/>
        <v>0</v>
      </c>
      <c r="AZ59" s="48">
        <f t="shared" ca="1" si="107"/>
        <v>0</v>
      </c>
      <c r="BA59" s="48">
        <f t="shared" ca="1" si="107"/>
        <v>0</v>
      </c>
      <c r="BB59" s="48">
        <f t="shared" ca="1" si="107"/>
        <v>0</v>
      </c>
      <c r="BC59" s="48">
        <f t="shared" ca="1" si="107"/>
        <v>0</v>
      </c>
      <c r="BD59" s="48">
        <f t="shared" ca="1" si="107"/>
        <v>0</v>
      </c>
      <c r="BE59" s="48">
        <f t="shared" ca="1" si="107"/>
        <v>0</v>
      </c>
      <c r="BF59" s="48">
        <f t="shared" ca="1" si="107"/>
        <v>0</v>
      </c>
      <c r="BG59" s="48">
        <f t="shared" ca="1" si="107"/>
        <v>0</v>
      </c>
      <c r="BH59" s="48">
        <f t="shared" ca="1" si="107"/>
        <v>0</v>
      </c>
      <c r="BI59" s="48">
        <f t="shared" ca="1" si="107"/>
        <v>0</v>
      </c>
      <c r="BJ59" s="48">
        <f t="shared" ca="1" si="107"/>
        <v>0</v>
      </c>
      <c r="BK59" s="48">
        <f t="shared" ca="1" si="107"/>
        <v>0</v>
      </c>
      <c r="BL59" s="48">
        <f t="shared" ca="1" si="107"/>
        <v>0</v>
      </c>
      <c r="BM59" s="48">
        <f t="shared" ref="BM59:BW59" ca="1" si="108">SUM(BM60:BM63)</f>
        <v>0</v>
      </c>
      <c r="BN59" s="48">
        <f t="shared" ca="1" si="108"/>
        <v>0</v>
      </c>
      <c r="BO59" s="48">
        <f t="shared" ca="1" si="108"/>
        <v>0</v>
      </c>
      <c r="BP59" s="48">
        <f t="shared" ca="1" si="108"/>
        <v>0</v>
      </c>
      <c r="BQ59" s="48">
        <f t="shared" ca="1" si="108"/>
        <v>0</v>
      </c>
      <c r="BR59" s="48">
        <f t="shared" ca="1" si="108"/>
        <v>0</v>
      </c>
      <c r="BS59" s="48">
        <f t="shared" ca="1" si="108"/>
        <v>0</v>
      </c>
      <c r="BT59" s="48">
        <f t="shared" ca="1" si="108"/>
        <v>0</v>
      </c>
      <c r="BU59" s="48">
        <f t="shared" ca="1" si="108"/>
        <v>0</v>
      </c>
      <c r="BV59" s="48">
        <f t="shared" ca="1" si="108"/>
        <v>0</v>
      </c>
      <c r="BW59" s="48">
        <f t="shared" ca="1" si="108"/>
        <v>0</v>
      </c>
    </row>
    <row r="60" spans="1:75" x14ac:dyDescent="0.3">
      <c r="A60" s="5" t="s">
        <v>64</v>
      </c>
      <c r="B60" s="5"/>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51">
        <f ca="1">((AG50)*(1/AG$56))/AG$57*10^3</f>
        <v>9823.4434156973402</v>
      </c>
      <c r="AH60" s="51">
        <f t="shared" ref="AH60:BW60" ca="1" si="109">((AH50)*(1/AH$56))/AH$57*10^3</f>
        <v>15141.427877759703</v>
      </c>
      <c r="AI60" s="51">
        <f t="shared" ca="1" si="109"/>
        <v>14460.148783147344</v>
      </c>
      <c r="AJ60" s="51">
        <f t="shared" ca="1" si="109"/>
        <v>15794.65430377038</v>
      </c>
      <c r="AK60" s="51">
        <f t="shared" ca="1" si="109"/>
        <v>18217.202613730213</v>
      </c>
      <c r="AL60" s="51">
        <f t="shared" ca="1" si="109"/>
        <v>21123.65945706912</v>
      </c>
      <c r="AM60" s="51">
        <f t="shared" ca="1" si="109"/>
        <v>18023.839576582879</v>
      </c>
      <c r="AN60" s="51">
        <f t="shared" ca="1" si="109"/>
        <v>12834.095885271081</v>
      </c>
      <c r="AO60" s="51">
        <f t="shared" ca="1" si="109"/>
        <v>9037.9686948501476</v>
      </c>
      <c r="AP60" s="51">
        <f t="shared" ca="1" si="109"/>
        <v>6986.1163628411578</v>
      </c>
      <c r="AQ60" s="51">
        <f t="shared" ca="1" si="109"/>
        <v>5775.8440888827299</v>
      </c>
      <c r="AR60" s="51">
        <f t="shared" ca="1" si="109"/>
        <v>4779.9743535228972</v>
      </c>
      <c r="AS60" s="51">
        <f t="shared" ca="1" si="109"/>
        <v>3750.0406634324477</v>
      </c>
      <c r="AT60" s="51">
        <f t="shared" ca="1" si="109"/>
        <v>3133.8838352168568</v>
      </c>
      <c r="AU60" s="51">
        <f t="shared" ca="1" si="109"/>
        <v>2813.281908340452</v>
      </c>
      <c r="AV60" s="51">
        <f t="shared" ca="1" si="109"/>
        <v>0</v>
      </c>
      <c r="AW60" s="51">
        <f t="shared" ca="1" si="109"/>
        <v>0</v>
      </c>
      <c r="AX60" s="51">
        <f t="shared" ca="1" si="109"/>
        <v>0</v>
      </c>
      <c r="AY60" s="51">
        <f t="shared" ca="1" si="109"/>
        <v>0</v>
      </c>
      <c r="AZ60" s="51">
        <f t="shared" ca="1" si="109"/>
        <v>0</v>
      </c>
      <c r="BA60" s="51">
        <f t="shared" ca="1" si="109"/>
        <v>0</v>
      </c>
      <c r="BB60" s="51">
        <f t="shared" ca="1" si="109"/>
        <v>0</v>
      </c>
      <c r="BC60" s="51">
        <f t="shared" ca="1" si="109"/>
        <v>0</v>
      </c>
      <c r="BD60" s="51">
        <f t="shared" ca="1" si="109"/>
        <v>0</v>
      </c>
      <c r="BE60" s="51">
        <f t="shared" ca="1" si="109"/>
        <v>0</v>
      </c>
      <c r="BF60" s="51">
        <f t="shared" ca="1" si="109"/>
        <v>0</v>
      </c>
      <c r="BG60" s="51">
        <f t="shared" ca="1" si="109"/>
        <v>0</v>
      </c>
      <c r="BH60" s="51">
        <f t="shared" ca="1" si="109"/>
        <v>0</v>
      </c>
      <c r="BI60" s="51">
        <f t="shared" ca="1" si="109"/>
        <v>0</v>
      </c>
      <c r="BJ60" s="51">
        <f t="shared" ca="1" si="109"/>
        <v>0</v>
      </c>
      <c r="BK60" s="51">
        <f t="shared" ca="1" si="109"/>
        <v>0</v>
      </c>
      <c r="BL60" s="51">
        <f t="shared" ca="1" si="109"/>
        <v>0</v>
      </c>
      <c r="BM60" s="51">
        <f t="shared" ca="1" si="109"/>
        <v>0</v>
      </c>
      <c r="BN60" s="51">
        <f t="shared" ca="1" si="109"/>
        <v>0</v>
      </c>
      <c r="BO60" s="51">
        <f t="shared" ca="1" si="109"/>
        <v>0</v>
      </c>
      <c r="BP60" s="51">
        <f t="shared" ca="1" si="109"/>
        <v>0</v>
      </c>
      <c r="BQ60" s="51">
        <f t="shared" ca="1" si="109"/>
        <v>0</v>
      </c>
      <c r="BR60" s="51">
        <f t="shared" ca="1" si="109"/>
        <v>0</v>
      </c>
      <c r="BS60" s="51">
        <f t="shared" ca="1" si="109"/>
        <v>0</v>
      </c>
      <c r="BT60" s="51">
        <f t="shared" ca="1" si="109"/>
        <v>0</v>
      </c>
      <c r="BU60" s="51">
        <f t="shared" ca="1" si="109"/>
        <v>0</v>
      </c>
      <c r="BV60" s="51">
        <f t="shared" ca="1" si="109"/>
        <v>0</v>
      </c>
      <c r="BW60" s="51">
        <f t="shared" ca="1" si="109"/>
        <v>0</v>
      </c>
    </row>
    <row r="61" spans="1:75" x14ac:dyDescent="0.3">
      <c r="A61" s="5" t="s">
        <v>65</v>
      </c>
      <c r="B61" s="5"/>
      <c r="C61" s="72"/>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row>
    <row r="62" spans="1:75" x14ac:dyDescent="0.3">
      <c r="A62" s="5" t="s">
        <v>67</v>
      </c>
      <c r="B62" s="5"/>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51">
        <f t="shared" ref="AG62:BW62" ca="1" si="110">((AG52)*(1/AG$56))/AG$57*10^3</f>
        <v>0</v>
      </c>
      <c r="AH62" s="51">
        <f t="shared" ca="1" si="110"/>
        <v>0</v>
      </c>
      <c r="AI62" s="51">
        <f t="shared" ca="1" si="110"/>
        <v>0</v>
      </c>
      <c r="AJ62" s="51">
        <f t="shared" ca="1" si="110"/>
        <v>0</v>
      </c>
      <c r="AK62" s="51">
        <f t="shared" ca="1" si="110"/>
        <v>0</v>
      </c>
      <c r="AL62" s="51">
        <f t="shared" ca="1" si="110"/>
        <v>0</v>
      </c>
      <c r="AM62" s="51">
        <f t="shared" ca="1" si="110"/>
        <v>0</v>
      </c>
      <c r="AN62" s="51">
        <f t="shared" ca="1" si="110"/>
        <v>0</v>
      </c>
      <c r="AO62" s="51">
        <f t="shared" ca="1" si="110"/>
        <v>0</v>
      </c>
      <c r="AP62" s="51">
        <f t="shared" ca="1" si="110"/>
        <v>0</v>
      </c>
      <c r="AQ62" s="51">
        <f t="shared" ca="1" si="110"/>
        <v>0</v>
      </c>
      <c r="AR62" s="51">
        <f t="shared" ca="1" si="110"/>
        <v>0</v>
      </c>
      <c r="AS62" s="51">
        <f t="shared" ca="1" si="110"/>
        <v>0</v>
      </c>
      <c r="AT62" s="51">
        <f t="shared" ca="1" si="110"/>
        <v>0</v>
      </c>
      <c r="AU62" s="51">
        <f t="shared" ca="1" si="110"/>
        <v>0</v>
      </c>
      <c r="AV62" s="51">
        <f t="shared" ca="1" si="110"/>
        <v>0</v>
      </c>
      <c r="AW62" s="51">
        <f t="shared" ca="1" si="110"/>
        <v>0</v>
      </c>
      <c r="AX62" s="51">
        <f t="shared" ca="1" si="110"/>
        <v>0</v>
      </c>
      <c r="AY62" s="51">
        <f t="shared" ca="1" si="110"/>
        <v>0</v>
      </c>
      <c r="AZ62" s="51">
        <f t="shared" ca="1" si="110"/>
        <v>0</v>
      </c>
      <c r="BA62" s="51">
        <f t="shared" ca="1" si="110"/>
        <v>0</v>
      </c>
      <c r="BB62" s="51">
        <f t="shared" ca="1" si="110"/>
        <v>0</v>
      </c>
      <c r="BC62" s="51">
        <f t="shared" ca="1" si="110"/>
        <v>0</v>
      </c>
      <c r="BD62" s="51">
        <f t="shared" ca="1" si="110"/>
        <v>0</v>
      </c>
      <c r="BE62" s="51">
        <f t="shared" ca="1" si="110"/>
        <v>0</v>
      </c>
      <c r="BF62" s="51">
        <f t="shared" ca="1" si="110"/>
        <v>0</v>
      </c>
      <c r="BG62" s="51">
        <f t="shared" ca="1" si="110"/>
        <v>0</v>
      </c>
      <c r="BH62" s="51">
        <f t="shared" ca="1" si="110"/>
        <v>0</v>
      </c>
      <c r="BI62" s="51">
        <f t="shared" ca="1" si="110"/>
        <v>0</v>
      </c>
      <c r="BJ62" s="51">
        <f t="shared" ca="1" si="110"/>
        <v>0</v>
      </c>
      <c r="BK62" s="51">
        <f t="shared" ca="1" si="110"/>
        <v>0</v>
      </c>
      <c r="BL62" s="51">
        <f t="shared" ca="1" si="110"/>
        <v>0</v>
      </c>
      <c r="BM62" s="51">
        <f t="shared" ca="1" si="110"/>
        <v>0</v>
      </c>
      <c r="BN62" s="51">
        <f t="shared" ca="1" si="110"/>
        <v>0</v>
      </c>
      <c r="BO62" s="51">
        <f t="shared" ca="1" si="110"/>
        <v>0</v>
      </c>
      <c r="BP62" s="51">
        <f t="shared" ca="1" si="110"/>
        <v>0</v>
      </c>
      <c r="BQ62" s="51">
        <f t="shared" ca="1" si="110"/>
        <v>0</v>
      </c>
      <c r="BR62" s="51">
        <f t="shared" ca="1" si="110"/>
        <v>0</v>
      </c>
      <c r="BS62" s="51">
        <f t="shared" ca="1" si="110"/>
        <v>0</v>
      </c>
      <c r="BT62" s="51">
        <f t="shared" ca="1" si="110"/>
        <v>0</v>
      </c>
      <c r="BU62" s="51">
        <f t="shared" ca="1" si="110"/>
        <v>0</v>
      </c>
      <c r="BV62" s="51">
        <f t="shared" ca="1" si="110"/>
        <v>0</v>
      </c>
      <c r="BW62" s="51">
        <f t="shared" ca="1" si="110"/>
        <v>0</v>
      </c>
    </row>
    <row r="63" spans="1:75" x14ac:dyDescent="0.3">
      <c r="A63" s="5" t="s">
        <v>66</v>
      </c>
      <c r="B63" s="5"/>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51">
        <f t="shared" ref="AG63:BW63" ca="1" si="111">((AG53)*(1/AG$56))/AG$57*10^3</f>
        <v>2900.4455572099746</v>
      </c>
      <c r="AH63" s="51">
        <f t="shared" ca="1" si="111"/>
        <v>6841.8454957467757</v>
      </c>
      <c r="AI63" s="51">
        <f t="shared" ca="1" si="111"/>
        <v>10100.964458649729</v>
      </c>
      <c r="AJ63" s="51">
        <f t="shared" ca="1" si="111"/>
        <v>12889.199341452961</v>
      </c>
      <c r="AK63" s="51">
        <f t="shared" ca="1" si="111"/>
        <v>13300.972441284843</v>
      </c>
      <c r="AL63" s="51">
        <f t="shared" ca="1" si="111"/>
        <v>14384.005825514198</v>
      </c>
      <c r="AM63" s="51">
        <f t="shared" ca="1" si="111"/>
        <v>13275.925415747624</v>
      </c>
      <c r="AN63" s="51">
        <f t="shared" ca="1" si="111"/>
        <v>10674.040402941302</v>
      </c>
      <c r="AO63" s="51">
        <f t="shared" ca="1" si="111"/>
        <v>8548.0488753421432</v>
      </c>
      <c r="AP63" s="51">
        <f t="shared" ca="1" si="111"/>
        <v>6705.5896768243038</v>
      </c>
      <c r="AQ63" s="51">
        <f t="shared" ca="1" si="111"/>
        <v>5171.7098329250057</v>
      </c>
      <c r="AR63" s="51">
        <f t="shared" ca="1" si="111"/>
        <v>3776.0895699911548</v>
      </c>
      <c r="AS63" s="51">
        <f t="shared" ca="1" si="111"/>
        <v>2660.9959930741602</v>
      </c>
      <c r="AT63" s="51">
        <f t="shared" ca="1" si="111"/>
        <v>1679.1525920151703</v>
      </c>
      <c r="AU63" s="51">
        <f t="shared" ca="1" si="111"/>
        <v>968.81894777963578</v>
      </c>
      <c r="AV63" s="51">
        <f t="shared" ca="1" si="111"/>
        <v>393.73924144508464</v>
      </c>
      <c r="AW63" s="51">
        <f t="shared" ca="1" si="111"/>
        <v>0</v>
      </c>
      <c r="AX63" s="51">
        <f t="shared" ca="1" si="111"/>
        <v>0</v>
      </c>
      <c r="AY63" s="51">
        <f t="shared" ca="1" si="111"/>
        <v>0</v>
      </c>
      <c r="AZ63" s="51">
        <f t="shared" ca="1" si="111"/>
        <v>0</v>
      </c>
      <c r="BA63" s="51">
        <f t="shared" ca="1" si="111"/>
        <v>0</v>
      </c>
      <c r="BB63" s="51">
        <f t="shared" ca="1" si="111"/>
        <v>0</v>
      </c>
      <c r="BC63" s="51">
        <f t="shared" ca="1" si="111"/>
        <v>0</v>
      </c>
      <c r="BD63" s="51">
        <f t="shared" ca="1" si="111"/>
        <v>0</v>
      </c>
      <c r="BE63" s="51">
        <f t="shared" ca="1" si="111"/>
        <v>0</v>
      </c>
      <c r="BF63" s="51">
        <f t="shared" ca="1" si="111"/>
        <v>0</v>
      </c>
      <c r="BG63" s="51">
        <f t="shared" ca="1" si="111"/>
        <v>0</v>
      </c>
      <c r="BH63" s="51">
        <f t="shared" ca="1" si="111"/>
        <v>0</v>
      </c>
      <c r="BI63" s="51">
        <f t="shared" ca="1" si="111"/>
        <v>0</v>
      </c>
      <c r="BJ63" s="51">
        <f t="shared" ca="1" si="111"/>
        <v>0</v>
      </c>
      <c r="BK63" s="51">
        <f t="shared" ca="1" si="111"/>
        <v>0</v>
      </c>
      <c r="BL63" s="51">
        <f t="shared" ca="1" si="111"/>
        <v>0</v>
      </c>
      <c r="BM63" s="51">
        <f t="shared" ca="1" si="111"/>
        <v>0</v>
      </c>
      <c r="BN63" s="51">
        <f t="shared" ca="1" si="111"/>
        <v>0</v>
      </c>
      <c r="BO63" s="51">
        <f t="shared" ca="1" si="111"/>
        <v>0</v>
      </c>
      <c r="BP63" s="51">
        <f t="shared" ca="1" si="111"/>
        <v>0</v>
      </c>
      <c r="BQ63" s="51">
        <f t="shared" ca="1" si="111"/>
        <v>0</v>
      </c>
      <c r="BR63" s="51">
        <f t="shared" ca="1" si="111"/>
        <v>0</v>
      </c>
      <c r="BS63" s="51">
        <f t="shared" ca="1" si="111"/>
        <v>0</v>
      </c>
      <c r="BT63" s="51">
        <f t="shared" ca="1" si="111"/>
        <v>0</v>
      </c>
      <c r="BU63" s="51">
        <f t="shared" ca="1" si="111"/>
        <v>0</v>
      </c>
      <c r="BV63" s="51">
        <f t="shared" ca="1" si="111"/>
        <v>0</v>
      </c>
      <c r="BW63" s="51">
        <f t="shared" ca="1" si="111"/>
        <v>0</v>
      </c>
    </row>
    <row r="64" spans="1:75" x14ac:dyDescent="0.3">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row>
    <row r="65" spans="1:75" x14ac:dyDescent="0.3">
      <c r="A65" s="22" t="s">
        <v>690</v>
      </c>
      <c r="AG65" s="60">
        <v>1</v>
      </c>
      <c r="AH65" s="70">
        <f t="shared" ref="AH65:BW65" si="112">AG65*(1+AH16)</f>
        <v>1.02</v>
      </c>
      <c r="AI65" s="70">
        <f t="shared" si="112"/>
        <v>1.0404</v>
      </c>
      <c r="AJ65" s="70">
        <f t="shared" si="112"/>
        <v>1.0612079999999999</v>
      </c>
      <c r="AK65" s="70">
        <f t="shared" si="112"/>
        <v>1.08243216</v>
      </c>
      <c r="AL65" s="70">
        <f t="shared" si="112"/>
        <v>1.1040808032</v>
      </c>
      <c r="AM65" s="70">
        <f t="shared" si="112"/>
        <v>1.1261624192640001</v>
      </c>
      <c r="AN65" s="70">
        <f t="shared" si="112"/>
        <v>1.14868566764928</v>
      </c>
      <c r="AO65" s="70">
        <f t="shared" si="112"/>
        <v>1.1716593810022657</v>
      </c>
      <c r="AP65" s="70">
        <f t="shared" si="112"/>
        <v>1.1950925686223111</v>
      </c>
      <c r="AQ65" s="70">
        <f t="shared" si="112"/>
        <v>1.2189944199947573</v>
      </c>
      <c r="AR65" s="70">
        <f t="shared" si="112"/>
        <v>1.2433743083946525</v>
      </c>
      <c r="AS65" s="70">
        <f t="shared" si="112"/>
        <v>1.2682417945625455</v>
      </c>
      <c r="AT65" s="70">
        <f t="shared" si="112"/>
        <v>1.2936066304537963</v>
      </c>
      <c r="AU65" s="70">
        <f t="shared" si="112"/>
        <v>1.3194787630628724</v>
      </c>
      <c r="AV65" s="70">
        <f t="shared" si="112"/>
        <v>1.3458683383241299</v>
      </c>
      <c r="AW65" s="70">
        <f t="shared" si="112"/>
        <v>1.3727857050906125</v>
      </c>
      <c r="AX65" s="70">
        <f t="shared" si="112"/>
        <v>1.4002414191924248</v>
      </c>
      <c r="AY65" s="70">
        <f t="shared" si="112"/>
        <v>1.4282462475762734</v>
      </c>
      <c r="AZ65" s="70">
        <f t="shared" si="112"/>
        <v>1.4568111725277988</v>
      </c>
      <c r="BA65" s="70">
        <f t="shared" si="112"/>
        <v>1.4859473959783549</v>
      </c>
      <c r="BB65" s="70">
        <f t="shared" si="112"/>
        <v>1.5156663438979221</v>
      </c>
      <c r="BC65" s="70">
        <f t="shared" si="112"/>
        <v>1.5459796707758806</v>
      </c>
      <c r="BD65" s="70">
        <f t="shared" si="112"/>
        <v>1.5768992641913981</v>
      </c>
      <c r="BE65" s="70">
        <f t="shared" si="112"/>
        <v>1.6084372494752261</v>
      </c>
      <c r="BF65" s="70">
        <f t="shared" si="112"/>
        <v>1.6406059944647307</v>
      </c>
      <c r="BG65" s="70">
        <f t="shared" si="112"/>
        <v>1.6734181143540252</v>
      </c>
      <c r="BH65" s="70">
        <f t="shared" si="112"/>
        <v>1.7068864766411058</v>
      </c>
      <c r="BI65" s="70">
        <f t="shared" si="112"/>
        <v>1.7410242061739281</v>
      </c>
      <c r="BJ65" s="70">
        <f t="shared" si="112"/>
        <v>1.7758446902974065</v>
      </c>
      <c r="BK65" s="70">
        <f t="shared" si="112"/>
        <v>1.8113615841033548</v>
      </c>
      <c r="BL65" s="70">
        <f t="shared" si="112"/>
        <v>1.8475888157854219</v>
      </c>
      <c r="BM65" s="70">
        <f t="shared" si="112"/>
        <v>1.8845405921011305</v>
      </c>
      <c r="BN65" s="70">
        <f t="shared" si="112"/>
        <v>1.9222314039431532</v>
      </c>
      <c r="BO65" s="70">
        <f t="shared" si="112"/>
        <v>1.9606760320220162</v>
      </c>
      <c r="BP65" s="70">
        <f t="shared" si="112"/>
        <v>1.9998895526624565</v>
      </c>
      <c r="BQ65" s="70">
        <f t="shared" si="112"/>
        <v>2.0398873437157055</v>
      </c>
      <c r="BR65" s="70">
        <f t="shared" si="112"/>
        <v>2.0806850905900198</v>
      </c>
      <c r="BS65" s="70">
        <f t="shared" si="112"/>
        <v>2.1222987924018204</v>
      </c>
      <c r="BT65" s="70">
        <f t="shared" si="112"/>
        <v>2.1647447682498568</v>
      </c>
      <c r="BU65" s="70">
        <f t="shared" si="112"/>
        <v>2.208039663614854</v>
      </c>
      <c r="BV65" s="70">
        <f t="shared" si="112"/>
        <v>2.252200456887151</v>
      </c>
      <c r="BW65" s="70">
        <f t="shared" si="112"/>
        <v>2.2972444660248938</v>
      </c>
    </row>
    <row r="66" spans="1:75" x14ac:dyDescent="0.3">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row>
    <row r="67" spans="1:75" x14ac:dyDescent="0.3">
      <c r="A67" s="4" t="s">
        <v>68</v>
      </c>
      <c r="B67" s="4"/>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61">
        <f t="shared" ref="AG67:BW67" ca="1" si="113">IFERROR(AG73/AG59*1000,0)</f>
        <v>1.7468071718599549</v>
      </c>
      <c r="AH67" s="61">
        <f t="shared" ca="1" si="113"/>
        <v>1.7751656419827564</v>
      </c>
      <c r="AI67" s="61">
        <f t="shared" ca="1" si="113"/>
        <v>1.7868069915642766</v>
      </c>
      <c r="AJ67" s="61">
        <f t="shared" ca="1" si="113"/>
        <v>1.8219171124538713</v>
      </c>
      <c r="AK67" s="61">
        <f t="shared" ca="1" si="113"/>
        <v>1.8571285027644902</v>
      </c>
      <c r="AL67" s="61">
        <f t="shared" ca="1" si="113"/>
        <v>1.903845144691219</v>
      </c>
      <c r="AM67" s="61">
        <f t="shared" ca="1" si="113"/>
        <v>1.9317693483657312</v>
      </c>
      <c r="AN67" s="61">
        <f t="shared" ca="1" si="113"/>
        <v>1.9711814732578927</v>
      </c>
      <c r="AO67" s="61">
        <f t="shared" ca="1" si="113"/>
        <v>1.9981837700218901</v>
      </c>
      <c r="AP67" s="61">
        <f t="shared" ca="1" si="113"/>
        <v>2.0435508871439727</v>
      </c>
      <c r="AQ67" s="61">
        <f t="shared" ca="1" si="113"/>
        <v>2.0815802184060872</v>
      </c>
      <c r="AR67" s="61">
        <f t="shared" ca="1" si="113"/>
        <v>2.1363644549004244</v>
      </c>
      <c r="AS67" s="61">
        <f t="shared" ca="1" si="113"/>
        <v>2.1773339014845536</v>
      </c>
      <c r="AT67" s="61">
        <f t="shared" ca="1" si="113"/>
        <v>2.2430447641388231</v>
      </c>
      <c r="AU67" s="61">
        <f t="shared" ca="1" si="113"/>
        <v>2.2989089715121338</v>
      </c>
      <c r="AV67" s="61">
        <f t="shared" ca="1" si="113"/>
        <v>2.1844079118550974</v>
      </c>
      <c r="AW67" s="61">
        <f t="shared" ca="1" si="113"/>
        <v>0</v>
      </c>
      <c r="AX67" s="61">
        <f t="shared" ca="1" si="113"/>
        <v>0</v>
      </c>
      <c r="AY67" s="61">
        <f t="shared" ca="1" si="113"/>
        <v>0</v>
      </c>
      <c r="AZ67" s="61">
        <f t="shared" ca="1" si="113"/>
        <v>0</v>
      </c>
      <c r="BA67" s="61">
        <f t="shared" ca="1" si="113"/>
        <v>0</v>
      </c>
      <c r="BB67" s="61">
        <f t="shared" ca="1" si="113"/>
        <v>0</v>
      </c>
      <c r="BC67" s="61">
        <f t="shared" ca="1" si="113"/>
        <v>0</v>
      </c>
      <c r="BD67" s="61">
        <f t="shared" ca="1" si="113"/>
        <v>0</v>
      </c>
      <c r="BE67" s="61">
        <f t="shared" ca="1" si="113"/>
        <v>0</v>
      </c>
      <c r="BF67" s="61">
        <f t="shared" ca="1" si="113"/>
        <v>0</v>
      </c>
      <c r="BG67" s="61">
        <f t="shared" ca="1" si="113"/>
        <v>0</v>
      </c>
      <c r="BH67" s="61">
        <f t="shared" ca="1" si="113"/>
        <v>0</v>
      </c>
      <c r="BI67" s="61">
        <f t="shared" ca="1" si="113"/>
        <v>0</v>
      </c>
      <c r="BJ67" s="61">
        <f t="shared" ca="1" si="113"/>
        <v>0</v>
      </c>
      <c r="BK67" s="61">
        <f t="shared" ca="1" si="113"/>
        <v>0</v>
      </c>
      <c r="BL67" s="61">
        <f t="shared" ca="1" si="113"/>
        <v>0</v>
      </c>
      <c r="BM67" s="61">
        <f t="shared" ca="1" si="113"/>
        <v>0</v>
      </c>
      <c r="BN67" s="61">
        <f t="shared" ca="1" si="113"/>
        <v>0</v>
      </c>
      <c r="BO67" s="61">
        <f t="shared" ca="1" si="113"/>
        <v>0</v>
      </c>
      <c r="BP67" s="61">
        <f t="shared" ca="1" si="113"/>
        <v>0</v>
      </c>
      <c r="BQ67" s="61">
        <f t="shared" ca="1" si="113"/>
        <v>0</v>
      </c>
      <c r="BR67" s="61">
        <f t="shared" ca="1" si="113"/>
        <v>0</v>
      </c>
      <c r="BS67" s="61">
        <f t="shared" ca="1" si="113"/>
        <v>0</v>
      </c>
      <c r="BT67" s="61">
        <f t="shared" ca="1" si="113"/>
        <v>0</v>
      </c>
      <c r="BU67" s="61">
        <f t="shared" ca="1" si="113"/>
        <v>0</v>
      </c>
      <c r="BV67" s="61">
        <f t="shared" ca="1" si="113"/>
        <v>0</v>
      </c>
      <c r="BW67" s="61">
        <f t="shared" ca="1" si="113"/>
        <v>0</v>
      </c>
    </row>
    <row r="68" spans="1:75" x14ac:dyDescent="0.3">
      <c r="A68" s="5" t="s">
        <v>64</v>
      </c>
      <c r="B68" s="5"/>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198">
        <f ca="1">SUMIFS(INDIRECT("'"&amp;$A68&amp;$B$3&amp;"'!"&amp;"$m:$m"),INDIRECT("'"&amp;$A68&amp;$B$3&amp;"'!"&amp;"$A:$A"),'Receita Líquida - O&amp;G'!AG$1)*(1/AG$56)/$AG$57*1000*AG$65</f>
        <v>1.7833482182500018</v>
      </c>
      <c r="AH68" s="198">
        <f ca="1">SUMIFS(INDIRECT("'"&amp;$A68&amp;$B$3&amp;"'!"&amp;"$m:$m"),INDIRECT("'"&amp;$A68&amp;$B$3&amp;"'!"&amp;"$A:$A"),'Receita Líquida - O&amp;G'!AH$1)*(1/AH$56)/$AG$57*1000*AH$65</f>
        <v>1.829234369034187</v>
      </c>
      <c r="AI68" s="198">
        <f ca="1">SUMIFS(INDIRECT("'"&amp;$A68&amp;$B$3&amp;"'!"&amp;"$m:$m"),INDIRECT("'"&amp;$A68&amp;$B$3&amp;"'!"&amp;"$A:$A"),'Receita Líquida - O&amp;G'!AI$1)*(1/AI$56)/$AG$57*1000*AI$65</f>
        <v>1.8553954862673019</v>
      </c>
      <c r="AJ68" s="198">
        <f ca="1">SUMIFS(INDIRECT("'"&amp;$A68&amp;$B$3&amp;"'!"&amp;"$m:$m"),INDIRECT("'"&amp;$A68&amp;$B$3&amp;"'!"&amp;"$A:$A"),'Receita Líquida - O&amp;G'!AJ$1)*(1/AJ$56)/$AG$57*1000*AJ$65</f>
        <v>1.9031354375431682</v>
      </c>
      <c r="AK68" s="198">
        <f ca="1">SUMIFS(INDIRECT("'"&amp;$A68&amp;$B$3&amp;"'!"&amp;"$m:$m"),INDIRECT("'"&amp;$A68&amp;$B$3&amp;"'!"&amp;"$A:$A"),'Receita Líquida - O&amp;G'!AK$1)*(1/AK$56)/$AG$57*1000*AK$65</f>
        <v>1.9303534639125008</v>
      </c>
      <c r="AL68" s="198">
        <f ca="1">SUMIFS(INDIRECT("'"&amp;$A68&amp;$B$3&amp;"'!"&amp;"$m:$m"),INDIRECT("'"&amp;$A68&amp;$B$3&amp;"'!"&amp;"$A:$A"),'Receita Líquida - O&amp;G'!AL$1)*(1/AL$56)/$AG$57*1000*AL$65</f>
        <v>1.9800221092199122</v>
      </c>
      <c r="AM68" s="198">
        <f ca="1">SUMIFS(INDIRECT("'"&amp;$A68&amp;$B$3&amp;"'!"&amp;"$m:$m"),INDIRECT("'"&amp;$A68&amp;$B$3&amp;"'!"&amp;"$A:$A"),'Receita Líquida - O&amp;G'!AM$1)*(1/AM$56)/$AG$57*1000*AM$65</f>
        <v>2.0083397438545658</v>
      </c>
      <c r="AN68" s="198">
        <f ca="1">SUMIFS(INDIRECT("'"&amp;$A68&amp;$B$3&amp;"'!"&amp;"$m:$m"),INDIRECT("'"&amp;$A68&amp;$B$3&amp;"'!"&amp;"$A:$A"),'Receita Líquida - O&amp;G'!AN$1)*(1/AN$56)/$AG$57*1000*AN$65</f>
        <v>2.0600150024323969</v>
      </c>
      <c r="AO68" s="198">
        <f ca="1">SUMIFS(INDIRECT("'"&amp;$A68&amp;$B$3&amp;"'!"&amp;"$m:$m"),INDIRECT("'"&amp;$A68&amp;$B$3&amp;"'!"&amp;"$A:$A"),'Receita Líquida - O&amp;G'!AO$1)*(1/AO$56)/$AG$57*1000*AO$65</f>
        <v>2.0894766695062907</v>
      </c>
      <c r="AP68" s="198">
        <f ca="1">SUMIFS(INDIRECT("'"&amp;$A68&amp;$B$3&amp;"'!"&amp;"$m:$m"),INDIRECT("'"&amp;$A68&amp;$B$3&amp;"'!"&amp;"$A:$A"),'Receita Líquida - O&amp;G'!AP$1)*(1/AP$56)/$AG$57*1000*AP$65</f>
        <v>2.1432396085306658</v>
      </c>
      <c r="AQ68" s="198">
        <f ca="1">SUMIFS(INDIRECT("'"&amp;$A68&amp;$B$3&amp;"'!"&amp;"$m:$m"),INDIRECT("'"&amp;$A68&amp;$B$3&amp;"'!"&amp;"$A:$A"),'Receita Líquida - O&amp;G'!AQ$1)*(1/AQ$56)/$AG$57*1000*AQ$65</f>
        <v>2.1738915269543448</v>
      </c>
      <c r="AR68" s="198">
        <f ca="1">SUMIFS(INDIRECT("'"&amp;$A68&amp;$B$3&amp;"'!"&amp;"$m:$m"),INDIRECT("'"&amp;$A68&amp;$B$3&amp;"'!"&amp;"$A:$A"),'Receita Líquida - O&amp;G'!AR$1)*(1/AR$56)/$AG$57*1000*AR$65</f>
        <v>2.2298264887153048</v>
      </c>
      <c r="AS68" s="198">
        <f ca="1">SUMIFS(INDIRECT("'"&amp;$A68&amp;$B$3&amp;"'!"&amp;"$m:$m"),INDIRECT("'"&amp;$A68&amp;$B$3&amp;"'!"&amp;"$A:$A"),'Receita Líquida - O&amp;G'!AS$1)*(1/AS$56)/$AG$57*1000*AS$65</f>
        <v>2.2617167446433002</v>
      </c>
      <c r="AT68" s="198">
        <f ca="1">SUMIFS(INDIRECT("'"&amp;$A68&amp;$B$3&amp;"'!"&amp;"$m:$m"),INDIRECT("'"&amp;$A68&amp;$B$3&amp;"'!"&amp;"$A:$A"),'Receita Líquida - O&amp;G'!AT$1)*(1/AT$56)/$AG$57*1000*AT$65</f>
        <v>2.3199114788594026</v>
      </c>
      <c r="AU68" s="198">
        <f ca="1">SUMIFS(INDIRECT("'"&amp;$A68&amp;$B$3&amp;"'!"&amp;"$m:$m"),INDIRECT("'"&amp;$A68&amp;$B$3&amp;"'!"&amp;"$A:$A"),'Receita Líquida - O&amp;G'!AU$1)*(1/AU$56)/$AG$57*1000*AU$65</f>
        <v>2.3530901011268899</v>
      </c>
      <c r="AV68" s="198">
        <f ca="1">SUMIFS(INDIRECT("'"&amp;$A68&amp;$B$3&amp;"'!"&amp;"$m:$m"),INDIRECT("'"&amp;$A68&amp;$B$3&amp;"'!"&amp;"$A:$A"),'Receita Líquida - O&amp;G'!AV$1)*(1/AV$56)/$AG$57*1000*AV$65</f>
        <v>2.4136359026053231</v>
      </c>
      <c r="AW68" s="198">
        <f ca="1">SUMIFS(INDIRECT("'"&amp;$A68&amp;$B$3&amp;"'!"&amp;"$m:$m"),INDIRECT("'"&amp;$A68&amp;$B$3&amp;"'!"&amp;"$A:$A"),'Receita Líquida - O&amp;G'!AW$1)*(1/AW$56)/$AG$57*1000*AW$65</f>
        <v>2.4481549412124162</v>
      </c>
      <c r="AX68" s="198">
        <f ca="1">SUMIFS(INDIRECT("'"&amp;$A68&amp;$B$3&amp;"'!"&amp;"$m:$m"),INDIRECT("'"&amp;$A68&amp;$B$3&amp;"'!"&amp;"$A:$A"),'Receita Líquida - O&amp;G'!AX$1)*(1/AX$56)/$AG$57*1000*AX$65</f>
        <v>2.5111467930705782</v>
      </c>
      <c r="AY68" s="198">
        <f ca="1">SUMIFS(INDIRECT("'"&amp;$A68&amp;$B$3&amp;"'!"&amp;"$m:$m"),INDIRECT("'"&amp;$A68&amp;$B$3&amp;"'!"&amp;"$A:$A"),'Receita Líquida - O&amp;G'!AY$1)*(1/AY$56)/$AG$57*1000*AY$65</f>
        <v>2.547060400837398</v>
      </c>
      <c r="AZ68" s="198">
        <f ca="1">SUMIFS(INDIRECT("'"&amp;$A68&amp;$B$3&amp;"'!"&amp;"$m:$m"),INDIRECT("'"&amp;$A68&amp;$B$3&amp;"'!"&amp;"$A:$A"),'Receita Líquida - O&amp;G'!AZ$1)*(1/AZ$56)/$AG$57*1000*AZ$65</f>
        <v>2.6125971235106298</v>
      </c>
      <c r="BA68" s="198">
        <f ca="1">SUMIFS(INDIRECT("'"&amp;$A68&amp;$B$3&amp;"'!"&amp;"$m:$m"),INDIRECT("'"&amp;$A68&amp;$B$3&amp;"'!"&amp;"$A:$A"),'Receita Líquida - O&amp;G'!BA$1)*(1/BA$56)/$AG$57*1000*BA$65</f>
        <v>2.6499616410312292</v>
      </c>
      <c r="BB68" s="198">
        <f ca="1">SUMIFS(INDIRECT("'"&amp;$A68&amp;$B$3&amp;"'!"&amp;"$m:$m"),INDIRECT("'"&amp;$A68&amp;$B$3&amp;"'!"&amp;"$A:$A"),'Receita Líquida - O&amp;G'!BB$1)*(1/BB$56)/$AG$57*1000*BB$65</f>
        <v>2.7181460473004595</v>
      </c>
      <c r="BC68" s="198">
        <f ca="1">SUMIFS(INDIRECT("'"&amp;$A68&amp;$B$3&amp;"'!"&amp;"$m:$m"),INDIRECT("'"&amp;$A68&amp;$B$3&amp;"'!"&amp;"$A:$A"),'Receita Líquida - O&amp;G'!BC$1)*(1/BC$56)/$AG$57*1000*BC$65</f>
        <v>2.7570200913288909</v>
      </c>
      <c r="BD68" s="198">
        <f ca="1">SUMIFS(INDIRECT("'"&amp;$A68&amp;$B$3&amp;"'!"&amp;"$m:$m"),INDIRECT("'"&amp;$A68&amp;$B$3&amp;"'!"&amp;"$A:$A"),'Receita Líquida - O&amp;G'!BD$1)*(1/BD$56)/$AG$57*1000*BD$65</f>
        <v>2.8279591476113981</v>
      </c>
      <c r="BE68" s="198">
        <f ca="1">SUMIFS(INDIRECT("'"&amp;$A68&amp;$B$3&amp;"'!"&amp;"$m:$m"),INDIRECT("'"&amp;$A68&amp;$B$3&amp;"'!"&amp;"$A:$A"),'Receita Líquida - O&amp;G'!BE$1)*(1/BE$56)/$AG$57*1000*BE$65</f>
        <v>2.8684037030185783</v>
      </c>
      <c r="BF68" s="198">
        <f ca="1">SUMIFS(INDIRECT("'"&amp;$A68&amp;$B$3&amp;"'!"&amp;"$m:$m"),INDIRECT("'"&amp;$A68&amp;$B$3&amp;"'!"&amp;"$A:$A"),'Receita Líquida - O&amp;G'!BF$1)*(1/BF$56)/$AG$57*1000*BF$65</f>
        <v>2.9422086971748986</v>
      </c>
      <c r="BG68" s="198">
        <f ca="1">SUMIFS(INDIRECT("'"&amp;$A68&amp;$B$3&amp;"'!"&amp;"$m:$m"),INDIRECT("'"&amp;$A68&amp;$B$3&amp;"'!"&amp;"$A:$A"),'Receita Líquida - O&amp;G'!BG$1)*(1/BG$56)/$AG$57*1000*BG$65</f>
        <v>2.9842872126205284</v>
      </c>
      <c r="BH68" s="198">
        <f ca="1">SUMIFS(INDIRECT("'"&amp;$A68&amp;$B$3&amp;"'!"&amp;"$m:$m"),INDIRECT("'"&amp;$A68&amp;$B$3&amp;"'!"&amp;"$A:$A"),'Receita Líquida - O&amp;G'!BH$1)*(1/BH$56)/$AG$57*1000*BH$65</f>
        <v>3.0439729568729392</v>
      </c>
      <c r="BI68" s="198">
        <f ca="1">SUMIFS(INDIRECT("'"&amp;$A68&amp;$B$3&amp;"'!"&amp;"$m:$m"),INDIRECT("'"&amp;$A68&amp;$B$3&amp;"'!"&amp;"$A:$A"),'Receita Líquida - O&amp;G'!BI$1)*(1/BI$56)/$AG$57*1000*BI$65</f>
        <v>3.1222954071115803</v>
      </c>
      <c r="BJ68" s="198">
        <f ca="1">SUMIFS(INDIRECT("'"&amp;$A68&amp;$B$3&amp;"'!"&amp;"$m:$m"),INDIRECT("'"&amp;$A68&amp;$B$3&amp;"'!"&amp;"$A:$A"),'Receita Líquida - O&amp;G'!BJ$1)*(1/BJ$56)/$AG$57*1000*BJ$65</f>
        <v>0</v>
      </c>
      <c r="BK68" s="198">
        <f ca="1">SUMIFS(INDIRECT("'"&amp;$A68&amp;$B$3&amp;"'!"&amp;"$m:$m"),INDIRECT("'"&amp;$A68&amp;$B$3&amp;"'!"&amp;"$A:$A"),'Receita Líquida - O&amp;G'!BK$1)*(1/BK$56)/$AG$57*1000*BK$65</f>
        <v>0</v>
      </c>
      <c r="BL68" s="198">
        <f ca="1">SUMIFS(INDIRECT("'"&amp;$A68&amp;$B$3&amp;"'!"&amp;"$m:$m"),INDIRECT("'"&amp;$A68&amp;$B$3&amp;"'!"&amp;"$A:$A"),'Receita Líquida - O&amp;G'!BL$1)*(1/BL$56)/$AG$57*1000*BL$65</f>
        <v>0</v>
      </c>
      <c r="BM68" s="198">
        <f ca="1">SUMIFS(INDIRECT("'"&amp;$A68&amp;$B$3&amp;"'!"&amp;"$m:$m"),INDIRECT("'"&amp;$A68&amp;$B$3&amp;"'!"&amp;"$A:$A"),'Receita Líquida - O&amp;G'!BM$1)*(1/BM$56)/$AG$57*1000*BM$65</f>
        <v>0</v>
      </c>
      <c r="BN68" s="198">
        <f ca="1">SUMIFS(INDIRECT("'"&amp;$A68&amp;$B$3&amp;"'!"&amp;"$m:$m"),INDIRECT("'"&amp;$A68&amp;$B$3&amp;"'!"&amp;"$A:$A"),'Receita Líquida - O&amp;G'!BN$1)*(1/BN$56)/$AG$57*1000*BN$65</f>
        <v>0</v>
      </c>
      <c r="BO68" s="198">
        <f ca="1">SUMIFS(INDIRECT("'"&amp;$A68&amp;$B$3&amp;"'!"&amp;"$m:$m"),INDIRECT("'"&amp;$A68&amp;$B$3&amp;"'!"&amp;"$A:$A"),'Receita Líquida - O&amp;G'!BO$1)*(1/BO$56)/$AG$57*1000*BO$65</f>
        <v>0</v>
      </c>
      <c r="BP68" s="198">
        <f ca="1">SUMIFS(INDIRECT("'"&amp;$A68&amp;$B$3&amp;"'!"&amp;"$m:$m"),INDIRECT("'"&amp;$A68&amp;$B$3&amp;"'!"&amp;"$A:$A"),'Receita Líquida - O&amp;G'!BP$1)*(1/BP$56)/$AG$57*1000*BP$65</f>
        <v>0</v>
      </c>
      <c r="BQ68" s="198">
        <f ca="1">SUMIFS(INDIRECT("'"&amp;$A68&amp;$B$3&amp;"'!"&amp;"$m:$m"),INDIRECT("'"&amp;$A68&amp;$B$3&amp;"'!"&amp;"$A:$A"),'Receita Líquida - O&amp;G'!BQ$1)*(1/BQ$56)/$AG$57*1000*BQ$65</f>
        <v>0</v>
      </c>
      <c r="BR68" s="198">
        <f ca="1">SUMIFS(INDIRECT("'"&amp;$A68&amp;$B$3&amp;"'!"&amp;"$m:$m"),INDIRECT("'"&amp;$A68&amp;$B$3&amp;"'!"&amp;"$A:$A"),'Receita Líquida - O&amp;G'!BR$1)*(1/BR$56)/$AG$57*1000*BR$65</f>
        <v>0</v>
      </c>
      <c r="BS68" s="198">
        <f ca="1">SUMIFS(INDIRECT("'"&amp;$A68&amp;$B$3&amp;"'!"&amp;"$m:$m"),INDIRECT("'"&amp;$A68&amp;$B$3&amp;"'!"&amp;"$A:$A"),'Receita Líquida - O&amp;G'!BS$1)*(1/BS$56)/$AG$57*1000*BS$65</f>
        <v>0</v>
      </c>
      <c r="BT68" s="198">
        <f ca="1">SUMIFS(INDIRECT("'"&amp;$A68&amp;$B$3&amp;"'!"&amp;"$m:$m"),INDIRECT("'"&amp;$A68&amp;$B$3&amp;"'!"&amp;"$A:$A"),'Receita Líquida - O&amp;G'!BT$1)*(1/BT$56)/$AG$57*1000*BT$65</f>
        <v>0</v>
      </c>
      <c r="BU68" s="198">
        <f ca="1">SUMIFS(INDIRECT("'"&amp;$A68&amp;$B$3&amp;"'!"&amp;"$m:$m"),INDIRECT("'"&amp;$A68&amp;$B$3&amp;"'!"&amp;"$A:$A"),'Receita Líquida - O&amp;G'!BU$1)*(1/BU$56)/$AG$57*1000*BU$65</f>
        <v>0</v>
      </c>
      <c r="BV68" s="198">
        <f ca="1">SUMIFS(INDIRECT("'"&amp;$A68&amp;$B$3&amp;"'!"&amp;"$m:$m"),INDIRECT("'"&amp;$A68&amp;$B$3&amp;"'!"&amp;"$A:$A"),'Receita Líquida - O&amp;G'!BV$1)*(1/BV$56)/$AG$57*1000*BV$65</f>
        <v>0</v>
      </c>
      <c r="BW68" s="198">
        <f ca="1">SUMIFS(INDIRECT("'"&amp;$A68&amp;$B$3&amp;"'!"&amp;"$m:$m"),INDIRECT("'"&amp;$A68&amp;$B$3&amp;"'!"&amp;"$A:$A"),'Receita Líquida - O&amp;G'!BW$1)*(1/BW$56)/$AG$57*1000*BW$65</f>
        <v>0</v>
      </c>
    </row>
    <row r="69" spans="1:75" x14ac:dyDescent="0.3">
      <c r="A69" s="5" t="s">
        <v>65</v>
      </c>
      <c r="B69" s="5"/>
      <c r="C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T69" s="72"/>
      <c r="BU69" s="72"/>
      <c r="BV69" s="72"/>
      <c r="BW69" s="72"/>
    </row>
    <row r="70" spans="1:75" x14ac:dyDescent="0.3">
      <c r="A70" s="5" t="s">
        <v>67</v>
      </c>
      <c r="B70" s="5"/>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198">
        <f ca="1">SUMIFS(INDIRECT("'"&amp;$A70&amp;$B$3&amp;"'!"&amp;"$m:$m"),INDIRECT("'"&amp;$A70&amp;$B$3&amp;"'!"&amp;"$A:$A"),'Receita Líquida - O&amp;G'!AG$1)*(1/AG$56)/$AG$57*1000*AG$65</f>
        <v>0</v>
      </c>
      <c r="AH70" s="198">
        <f ca="1">SUMIFS(INDIRECT("'"&amp;$A70&amp;$B$3&amp;"'!"&amp;"$m:$m"),INDIRECT("'"&amp;$A70&amp;$B$3&amp;"'!"&amp;"$A:$A"),'Receita Líquida - O&amp;G'!AH$1)*(1/AH$56)/$AG$57*1000*AH$65</f>
        <v>0</v>
      </c>
      <c r="AI70" s="198">
        <f ca="1">SUMIFS(INDIRECT("'"&amp;$A70&amp;$B$3&amp;"'!"&amp;"$m:$m"),INDIRECT("'"&amp;$A70&amp;$B$3&amp;"'!"&amp;"$A:$A"),'Receita Líquida - O&amp;G'!AI$1)*(1/AI$56)/$AG$57*1000*AI$65</f>
        <v>0</v>
      </c>
      <c r="AJ70" s="198">
        <f ca="1">SUMIFS(INDIRECT("'"&amp;$A70&amp;$B$3&amp;"'!"&amp;"$m:$m"),INDIRECT("'"&amp;$A70&amp;$B$3&amp;"'!"&amp;"$A:$A"),'Receita Líquida - O&amp;G'!AJ$1)*(1/AJ$56)/$AG$57*1000*AJ$65</f>
        <v>0</v>
      </c>
      <c r="AK70" s="198">
        <f ca="1">SUMIFS(INDIRECT("'"&amp;$A70&amp;$B$3&amp;"'!"&amp;"$m:$m"),INDIRECT("'"&amp;$A70&amp;$B$3&amp;"'!"&amp;"$A:$A"),'Receita Líquida - O&amp;G'!AK$1)*(1/AK$56)/$AG$57*1000*AK$65</f>
        <v>0</v>
      </c>
      <c r="AL70" s="198">
        <f ca="1">SUMIFS(INDIRECT("'"&amp;$A70&amp;$B$3&amp;"'!"&amp;"$m:$m"),INDIRECT("'"&amp;$A70&amp;$B$3&amp;"'!"&amp;"$A:$A"),'Receita Líquida - O&amp;G'!AL$1)*(1/AL$56)/$AG$57*1000*AL$65</f>
        <v>0</v>
      </c>
      <c r="AM70" s="198">
        <f ca="1">SUMIFS(INDIRECT("'"&amp;$A70&amp;$B$3&amp;"'!"&amp;"$m:$m"),INDIRECT("'"&amp;$A70&amp;$B$3&amp;"'!"&amp;"$A:$A"),'Receita Líquida - O&amp;G'!AM$1)*(1/AM$56)/$AG$57*1000*AM$65</f>
        <v>0</v>
      </c>
      <c r="AN70" s="198">
        <f ca="1">SUMIFS(INDIRECT("'"&amp;$A70&amp;$B$3&amp;"'!"&amp;"$m:$m"),INDIRECT("'"&amp;$A70&amp;$B$3&amp;"'!"&amp;"$A:$A"),'Receita Líquida - O&amp;G'!AN$1)*(1/AN$56)/$AG$57*1000*AN$65</f>
        <v>0</v>
      </c>
      <c r="AO70" s="198">
        <f ca="1">SUMIFS(INDIRECT("'"&amp;$A70&amp;$B$3&amp;"'!"&amp;"$m:$m"),INDIRECT("'"&amp;$A70&amp;$B$3&amp;"'!"&amp;"$A:$A"),'Receita Líquida - O&amp;G'!AO$1)*(1/AO$56)/$AG$57*1000*AO$65</f>
        <v>0</v>
      </c>
      <c r="AP70" s="198">
        <f ca="1">SUMIFS(INDIRECT("'"&amp;$A70&amp;$B$3&amp;"'!"&amp;"$m:$m"),INDIRECT("'"&amp;$A70&amp;$B$3&amp;"'!"&amp;"$A:$A"),'Receita Líquida - O&amp;G'!AP$1)*(1/AP$56)/$AG$57*1000*AP$65</f>
        <v>0</v>
      </c>
      <c r="AQ70" s="198">
        <f ca="1">SUMIFS(INDIRECT("'"&amp;$A70&amp;$B$3&amp;"'!"&amp;"$m:$m"),INDIRECT("'"&amp;$A70&amp;$B$3&amp;"'!"&amp;"$A:$A"),'Receita Líquida - O&amp;G'!AQ$1)*(1/AQ$56)/$AG$57*1000*AQ$65</f>
        <v>0</v>
      </c>
      <c r="AR70" s="198">
        <f ca="1">SUMIFS(INDIRECT("'"&amp;$A70&amp;$B$3&amp;"'!"&amp;"$m:$m"),INDIRECT("'"&amp;$A70&amp;$B$3&amp;"'!"&amp;"$A:$A"),'Receita Líquida - O&amp;G'!AR$1)*(1/AR$56)/$AG$57*1000*AR$65</f>
        <v>0</v>
      </c>
      <c r="AS70" s="198">
        <f ca="1">SUMIFS(INDIRECT("'"&amp;$A70&amp;$B$3&amp;"'!"&amp;"$m:$m"),INDIRECT("'"&amp;$A70&amp;$B$3&amp;"'!"&amp;"$A:$A"),'Receita Líquida - O&amp;G'!AS$1)*(1/AS$56)/$AG$57*1000*AS$65</f>
        <v>0</v>
      </c>
      <c r="AT70" s="198">
        <f ca="1">SUMIFS(INDIRECT("'"&amp;$A70&amp;$B$3&amp;"'!"&amp;"$m:$m"),INDIRECT("'"&amp;$A70&amp;$B$3&amp;"'!"&amp;"$A:$A"),'Receita Líquida - O&amp;G'!AT$1)*(1/AT$56)/$AG$57*1000*AT$65</f>
        <v>0</v>
      </c>
      <c r="AU70" s="198">
        <f ca="1">SUMIFS(INDIRECT("'"&amp;$A70&amp;$B$3&amp;"'!"&amp;"$m:$m"),INDIRECT("'"&amp;$A70&amp;$B$3&amp;"'!"&amp;"$A:$A"),'Receita Líquida - O&amp;G'!AU$1)*(1/AU$56)/$AG$57*1000*AU$65</f>
        <v>0</v>
      </c>
      <c r="AV70" s="198">
        <f ca="1">SUMIFS(INDIRECT("'"&amp;$A70&amp;$B$3&amp;"'!"&amp;"$m:$m"),INDIRECT("'"&amp;$A70&amp;$B$3&amp;"'!"&amp;"$A:$A"),'Receita Líquida - O&amp;G'!AV$1)*(1/AV$56)/$AG$57*1000*AV$65</f>
        <v>0</v>
      </c>
      <c r="AW70" s="198">
        <f ca="1">SUMIFS(INDIRECT("'"&amp;$A70&amp;$B$3&amp;"'!"&amp;"$m:$m"),INDIRECT("'"&amp;$A70&amp;$B$3&amp;"'!"&amp;"$A:$A"),'Receita Líquida - O&amp;G'!AW$1)*(1/AW$56)/$AG$57*1000*AW$65</f>
        <v>0</v>
      </c>
      <c r="AX70" s="198">
        <f ca="1">SUMIFS(INDIRECT("'"&amp;$A70&amp;$B$3&amp;"'!"&amp;"$m:$m"),INDIRECT("'"&amp;$A70&amp;$B$3&amp;"'!"&amp;"$A:$A"),'Receita Líquida - O&amp;G'!AX$1)*(1/AX$56)/$AG$57*1000*AX$65</f>
        <v>0</v>
      </c>
      <c r="AY70" s="198">
        <f ca="1">SUMIFS(INDIRECT("'"&amp;$A70&amp;$B$3&amp;"'!"&amp;"$m:$m"),INDIRECT("'"&amp;$A70&amp;$B$3&amp;"'!"&amp;"$A:$A"),'Receita Líquida - O&amp;G'!AY$1)*(1/AY$56)/$AG$57*1000*AY$65</f>
        <v>0</v>
      </c>
      <c r="AZ70" s="198">
        <f ca="1">SUMIFS(INDIRECT("'"&amp;$A70&amp;$B$3&amp;"'!"&amp;"$m:$m"),INDIRECT("'"&amp;$A70&amp;$B$3&amp;"'!"&amp;"$A:$A"),'Receita Líquida - O&amp;G'!AZ$1)*(1/AZ$56)/$AG$57*1000*AZ$65</f>
        <v>0</v>
      </c>
      <c r="BA70" s="198">
        <f ca="1">SUMIFS(INDIRECT("'"&amp;$A70&amp;$B$3&amp;"'!"&amp;"$m:$m"),INDIRECT("'"&amp;$A70&amp;$B$3&amp;"'!"&amp;"$A:$A"),'Receita Líquida - O&amp;G'!BA$1)*(1/BA$56)/$AG$57*1000*BA$65</f>
        <v>0</v>
      </c>
      <c r="BB70" s="198">
        <f ca="1">SUMIFS(INDIRECT("'"&amp;$A70&amp;$B$3&amp;"'!"&amp;"$m:$m"),INDIRECT("'"&amp;$A70&amp;$B$3&amp;"'!"&amp;"$A:$A"),'Receita Líquida - O&amp;G'!BB$1)*(1/BB$56)/$AG$57*1000*BB$65</f>
        <v>0</v>
      </c>
      <c r="BC70" s="198">
        <f ca="1">SUMIFS(INDIRECT("'"&amp;$A70&amp;$B$3&amp;"'!"&amp;"$m:$m"),INDIRECT("'"&amp;$A70&amp;$B$3&amp;"'!"&amp;"$A:$A"),'Receita Líquida - O&amp;G'!BC$1)*(1/BC$56)/$AG$57*1000*BC$65</f>
        <v>0</v>
      </c>
      <c r="BD70" s="198">
        <f ca="1">SUMIFS(INDIRECT("'"&amp;$A70&amp;$B$3&amp;"'!"&amp;"$m:$m"),INDIRECT("'"&amp;$A70&amp;$B$3&amp;"'!"&amp;"$A:$A"),'Receita Líquida - O&amp;G'!BD$1)*(1/BD$56)/$AG$57*1000*BD$65</f>
        <v>0</v>
      </c>
      <c r="BE70" s="198">
        <f ca="1">SUMIFS(INDIRECT("'"&amp;$A70&amp;$B$3&amp;"'!"&amp;"$m:$m"),INDIRECT("'"&amp;$A70&amp;$B$3&amp;"'!"&amp;"$A:$A"),'Receita Líquida - O&amp;G'!BE$1)*(1/BE$56)/$AG$57*1000*BE$65</f>
        <v>0</v>
      </c>
      <c r="BF70" s="198">
        <f ca="1">SUMIFS(INDIRECT("'"&amp;$A70&amp;$B$3&amp;"'!"&amp;"$m:$m"),INDIRECT("'"&amp;$A70&amp;$B$3&amp;"'!"&amp;"$A:$A"),'Receita Líquida - O&amp;G'!BF$1)*(1/BF$56)/$AG$57*1000*BF$65</f>
        <v>0</v>
      </c>
      <c r="BG70" s="198">
        <f ca="1">SUMIFS(INDIRECT("'"&amp;$A70&amp;$B$3&amp;"'!"&amp;"$m:$m"),INDIRECT("'"&amp;$A70&amp;$B$3&amp;"'!"&amp;"$A:$A"),'Receita Líquida - O&amp;G'!BG$1)*(1/BG$56)/$AG$57*1000*BG$65</f>
        <v>0</v>
      </c>
      <c r="BH70" s="198">
        <f ca="1">SUMIFS(INDIRECT("'"&amp;$A70&amp;$B$3&amp;"'!"&amp;"$m:$m"),INDIRECT("'"&amp;$A70&amp;$B$3&amp;"'!"&amp;"$A:$A"),'Receita Líquida - O&amp;G'!BH$1)*(1/BH$56)/$AG$57*1000*BH$65</f>
        <v>0</v>
      </c>
      <c r="BI70" s="198">
        <f ca="1">SUMIFS(INDIRECT("'"&amp;$A70&amp;$B$3&amp;"'!"&amp;"$m:$m"),INDIRECT("'"&amp;$A70&amp;$B$3&amp;"'!"&amp;"$A:$A"),'Receita Líquida - O&amp;G'!BI$1)*(1/BI$56)/$AG$57*1000*BI$65</f>
        <v>0</v>
      </c>
      <c r="BJ70" s="198">
        <f ca="1">SUMIFS(INDIRECT("'"&amp;$A70&amp;$B$3&amp;"'!"&amp;"$m:$m"),INDIRECT("'"&amp;$A70&amp;$B$3&amp;"'!"&amp;"$A:$A"),'Receita Líquida - O&amp;G'!BJ$1)*(1/BJ$56)/$AG$57*1000*BJ$65</f>
        <v>0</v>
      </c>
      <c r="BK70" s="198">
        <f ca="1">SUMIFS(INDIRECT("'"&amp;$A70&amp;$B$3&amp;"'!"&amp;"$m:$m"),INDIRECT("'"&amp;$A70&amp;$B$3&amp;"'!"&amp;"$A:$A"),'Receita Líquida - O&amp;G'!BK$1)*(1/BK$56)/$AG$57*1000*BK$65</f>
        <v>0</v>
      </c>
      <c r="BL70" s="198">
        <f ca="1">SUMIFS(INDIRECT("'"&amp;$A70&amp;$B$3&amp;"'!"&amp;"$m:$m"),INDIRECT("'"&amp;$A70&amp;$B$3&amp;"'!"&amp;"$A:$A"),'Receita Líquida - O&amp;G'!BL$1)*(1/BL$56)/$AG$57*1000*BL$65</f>
        <v>0</v>
      </c>
      <c r="BM70" s="198">
        <f ca="1">SUMIFS(INDIRECT("'"&amp;$A70&amp;$B$3&amp;"'!"&amp;"$m:$m"),INDIRECT("'"&amp;$A70&amp;$B$3&amp;"'!"&amp;"$A:$A"),'Receita Líquida - O&amp;G'!BM$1)*(1/BM$56)/$AG$57*1000*BM$65</f>
        <v>0</v>
      </c>
      <c r="BN70" s="198">
        <f ca="1">SUMIFS(INDIRECT("'"&amp;$A70&amp;$B$3&amp;"'!"&amp;"$m:$m"),INDIRECT("'"&amp;$A70&amp;$B$3&amp;"'!"&amp;"$A:$A"),'Receita Líquida - O&amp;G'!BN$1)*(1/BN$56)/$AG$57*1000*BN$65</f>
        <v>0</v>
      </c>
      <c r="BO70" s="198">
        <f ca="1">SUMIFS(INDIRECT("'"&amp;$A70&amp;$B$3&amp;"'!"&amp;"$m:$m"),INDIRECT("'"&amp;$A70&amp;$B$3&amp;"'!"&amp;"$A:$A"),'Receita Líquida - O&amp;G'!BO$1)*(1/BO$56)/$AG$57*1000*BO$65</f>
        <v>0</v>
      </c>
      <c r="BP70" s="198">
        <f ca="1">SUMIFS(INDIRECT("'"&amp;$A70&amp;$B$3&amp;"'!"&amp;"$m:$m"),INDIRECT("'"&amp;$A70&amp;$B$3&amp;"'!"&amp;"$A:$A"),'Receita Líquida - O&amp;G'!BP$1)*(1/BP$56)/$AG$57*1000*BP$65</f>
        <v>0</v>
      </c>
      <c r="BQ70" s="198">
        <f ca="1">SUMIFS(INDIRECT("'"&amp;$A70&amp;$B$3&amp;"'!"&amp;"$m:$m"),INDIRECT("'"&amp;$A70&amp;$B$3&amp;"'!"&amp;"$A:$A"),'Receita Líquida - O&amp;G'!BQ$1)*(1/BQ$56)/$AG$57*1000*BQ$65</f>
        <v>0</v>
      </c>
      <c r="BR70" s="198">
        <f ca="1">SUMIFS(INDIRECT("'"&amp;$A70&amp;$B$3&amp;"'!"&amp;"$m:$m"),INDIRECT("'"&amp;$A70&amp;$B$3&amp;"'!"&amp;"$A:$A"),'Receita Líquida - O&amp;G'!BR$1)*(1/BR$56)/$AG$57*1000*BR$65</f>
        <v>0</v>
      </c>
      <c r="BS70" s="198">
        <f ca="1">SUMIFS(INDIRECT("'"&amp;$A70&amp;$B$3&amp;"'!"&amp;"$m:$m"),INDIRECT("'"&amp;$A70&amp;$B$3&amp;"'!"&amp;"$A:$A"),'Receita Líquida - O&amp;G'!BS$1)*(1/BS$56)/$AG$57*1000*BS$65</f>
        <v>0</v>
      </c>
      <c r="BT70" s="198">
        <f ca="1">SUMIFS(INDIRECT("'"&amp;$A70&amp;$B$3&amp;"'!"&amp;"$m:$m"),INDIRECT("'"&amp;$A70&amp;$B$3&amp;"'!"&amp;"$A:$A"),'Receita Líquida - O&amp;G'!BT$1)*(1/BT$56)/$AG$57*1000*BT$65</f>
        <v>0</v>
      </c>
      <c r="BU70" s="198">
        <f ca="1">SUMIFS(INDIRECT("'"&amp;$A70&amp;$B$3&amp;"'!"&amp;"$m:$m"),INDIRECT("'"&amp;$A70&amp;$B$3&amp;"'!"&amp;"$A:$A"),'Receita Líquida - O&amp;G'!BU$1)*(1/BU$56)/$AG$57*1000*BU$65</f>
        <v>0</v>
      </c>
      <c r="BV70" s="198">
        <f ca="1">SUMIFS(INDIRECT("'"&amp;$A70&amp;$B$3&amp;"'!"&amp;"$m:$m"),INDIRECT("'"&amp;$A70&amp;$B$3&amp;"'!"&amp;"$A:$A"),'Receita Líquida - O&amp;G'!BV$1)*(1/BV$56)/$AG$57*1000*BV$65</f>
        <v>0</v>
      </c>
      <c r="BW70" s="198">
        <f ca="1">SUMIFS(INDIRECT("'"&amp;$A70&amp;$B$3&amp;"'!"&amp;"$m:$m"),INDIRECT("'"&amp;$A70&amp;$B$3&amp;"'!"&amp;"$A:$A"),'Receita Líquida - O&amp;G'!BW$1)*(1/BW$56)/$AG$57*1000*BW$65</f>
        <v>0</v>
      </c>
    </row>
    <row r="71" spans="1:75" x14ac:dyDescent="0.3">
      <c r="A71" s="5" t="s">
        <v>66</v>
      </c>
      <c r="B71" s="5"/>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198">
        <f ca="1">SUMIFS(INDIRECT("'"&amp;$A71&amp;$B$3&amp;"'!"&amp;"$m:$m"),INDIRECT("'"&amp;$A71&amp;$B$3&amp;"'!"&amp;"$A:$A"),'Receita Líquida - O&amp;G'!AG$1)*(1/AG$56)/$AG$57*1000*AG$65</f>
        <v>1.6230472548117993</v>
      </c>
      <c r="AH71" s="198">
        <f ca="1">SUMIFS(INDIRECT("'"&amp;$A71&amp;$B$3&amp;"'!"&amp;"$m:$m"),INDIRECT("'"&amp;$A71&amp;$B$3&amp;"'!"&amp;"$A:$A"),'Receita Líquida - O&amp;G'!AH$1)*(1/AH$56)/$AG$57*1000*AH$65</f>
        <v>1.6555081999080354</v>
      </c>
      <c r="AI71" s="198">
        <f ca="1">SUMIFS(INDIRECT("'"&amp;$A71&amp;$B$3&amp;"'!"&amp;"$m:$m"),INDIRECT("'"&amp;$A71&amp;$B$3&amp;"'!"&amp;"$A:$A"),'Receita Líquida - O&amp;G'!AI$1)*(1/AI$56)/$AG$57*1000*AI$65</f>
        <v>1.688618363906196</v>
      </c>
      <c r="AJ71" s="198">
        <f ca="1">SUMIFS(INDIRECT("'"&amp;$A71&amp;$B$3&amp;"'!"&amp;"$m:$m"),INDIRECT("'"&amp;$A71&amp;$B$3&amp;"'!"&amp;"$A:$A"),'Receita Líquida - O&amp;G'!AJ$1)*(1/AJ$56)/$AG$57*1000*AJ$65</f>
        <v>1.7223907311843198</v>
      </c>
      <c r="AK71" s="198">
        <f ca="1">SUMIFS(INDIRECT("'"&amp;$A71&amp;$B$3&amp;"'!"&amp;"$m:$m"),INDIRECT("'"&amp;$A71&amp;$B$3&amp;"'!"&amp;"$A:$A"),'Receita Líquida - O&amp;G'!AK$1)*(1/AK$56)/$AG$57*1000*AK$65</f>
        <v>1.7568385458080062</v>
      </c>
      <c r="AL71" s="198">
        <f ca="1">SUMIFS(INDIRECT("'"&amp;$A71&amp;$B$3&amp;"'!"&amp;"$m:$m"),INDIRECT("'"&amp;$A71&amp;$B$3&amp;"'!"&amp;"$A:$A"),'Receita Líquida - O&amp;G'!AL$1)*(1/AL$56)/$AG$57*1000*AL$65</f>
        <v>1.7919753167241665</v>
      </c>
      <c r="AM71" s="198">
        <f ca="1">SUMIFS(INDIRECT("'"&amp;$A71&amp;$B$3&amp;"'!"&amp;"$m:$m"),INDIRECT("'"&amp;$A71&amp;$B$3&amp;"'!"&amp;"$A:$A"),'Receita Líquida - O&amp;G'!AM$1)*(1/AM$56)/$AG$57*1000*AM$65</f>
        <v>1.82781482305865</v>
      </c>
      <c r="AN71" s="198">
        <f ca="1">SUMIFS(INDIRECT("'"&amp;$A71&amp;$B$3&amp;"'!"&amp;"$m:$m"),INDIRECT("'"&amp;$A71&amp;$B$3&amp;"'!"&amp;"$A:$A"),'Receita Líquida - O&amp;G'!AN$1)*(1/AN$56)/$AG$57*1000*AN$65</f>
        <v>1.8643711195198229</v>
      </c>
      <c r="AO71" s="198">
        <f ca="1">SUMIFS(INDIRECT("'"&amp;$A71&amp;$B$3&amp;"'!"&amp;"$m:$m"),INDIRECT("'"&amp;$A71&amp;$B$3&amp;"'!"&amp;"$A:$A"),'Receita Líquida - O&amp;G'!AO$1)*(1/AO$56)/$AG$57*1000*AO$65</f>
        <v>1.9016585419102194</v>
      </c>
      <c r="AP71" s="198">
        <f ca="1">SUMIFS(INDIRECT("'"&amp;$A71&amp;$B$3&amp;"'!"&amp;"$m:$m"),INDIRECT("'"&amp;$A71&amp;$B$3&amp;"'!"&amp;"$A:$A"),'Receita Líquida - O&amp;G'!AP$1)*(1/AP$56)/$AG$57*1000*AP$65</f>
        <v>1.9396917127484239</v>
      </c>
      <c r="AQ71" s="198">
        <f ca="1">SUMIFS(INDIRECT("'"&amp;$A71&amp;$B$3&amp;"'!"&amp;"$m:$m"),INDIRECT("'"&amp;$A71&amp;$B$3&amp;"'!"&amp;"$A:$A"),'Receita Líquida - O&amp;G'!AQ$1)*(1/AQ$56)/$AG$57*1000*AQ$65</f>
        <v>1.9784855470033924</v>
      </c>
      <c r="AR71" s="198">
        <f ca="1">SUMIFS(INDIRECT("'"&amp;$A71&amp;$B$3&amp;"'!"&amp;"$m:$m"),INDIRECT("'"&amp;$A71&amp;$B$3&amp;"'!"&amp;"$A:$A"),'Receita Líquida - O&amp;G'!AR$1)*(1/AR$56)/$AG$57*1000*AR$65</f>
        <v>2.0180552579434603</v>
      </c>
      <c r="AS71" s="198">
        <f ca="1">SUMIFS(INDIRECT("'"&amp;$A71&amp;$B$3&amp;"'!"&amp;"$m:$m"),INDIRECT("'"&amp;$A71&amp;$B$3&amp;"'!"&amp;"$A:$A"),'Receita Líquida - O&amp;G'!AS$1)*(1/AS$56)/$AG$57*1000*AS$65</f>
        <v>2.0584163631023293</v>
      </c>
      <c r="AT71" s="198">
        <f ca="1">SUMIFS(INDIRECT("'"&amp;$A71&amp;$B$3&amp;"'!"&amp;"$m:$m"),INDIRECT("'"&amp;$A71&amp;$B$3&amp;"'!"&amp;"$A:$A"),'Receita Líquida - O&amp;G'!AT$1)*(1/AT$56)/$AG$57*1000*AT$65</f>
        <v>2.099584690364376</v>
      </c>
      <c r="AU71" s="198">
        <f ca="1">SUMIFS(INDIRECT("'"&amp;$A71&amp;$B$3&amp;"'!"&amp;"$m:$m"),INDIRECT("'"&amp;$A71&amp;$B$3&amp;"'!"&amp;"$A:$A"),'Receita Líquida - O&amp;G'!AU$1)*(1/AU$56)/$AG$57*1000*AU$65</f>
        <v>2.1415763841716635</v>
      </c>
      <c r="AV71" s="198">
        <f ca="1">SUMIFS(INDIRECT("'"&amp;$A71&amp;$B$3&amp;"'!"&amp;"$m:$m"),INDIRECT("'"&amp;$A71&amp;$B$3&amp;"'!"&amp;"$A:$A"),'Receita Líquida - O&amp;G'!AV$1)*(1/AV$56)/$AG$57*1000*AV$65</f>
        <v>2.184407911855097</v>
      </c>
      <c r="AW71" s="198">
        <f ca="1">SUMIFS(INDIRECT("'"&amp;$A71&amp;$B$3&amp;"'!"&amp;"$m:$m"),INDIRECT("'"&amp;$A71&amp;$B$3&amp;"'!"&amp;"$A:$A"),'Receita Líquida - O&amp;G'!AW$1)*(1/AW$56)/$AG$57*1000*AW$65</f>
        <v>2.228096070092199</v>
      </c>
      <c r="AX71" s="198">
        <f ca="1">SUMIFS(INDIRECT("'"&amp;$A71&amp;$B$3&amp;"'!"&amp;"$m:$m"),INDIRECT("'"&amp;$A71&amp;$B$3&amp;"'!"&amp;"$A:$A"),'Receita Líquida - O&amp;G'!AX$1)*(1/AX$56)/$AG$57*1000*AX$65</f>
        <v>2.272657991494043</v>
      </c>
      <c r="AY71" s="198">
        <f ca="1">SUMIFS(INDIRECT("'"&amp;$A71&amp;$B$3&amp;"'!"&amp;"$m:$m"),INDIRECT("'"&amp;$A71&amp;$B$3&amp;"'!"&amp;"$A:$A"),'Receita Líquida - O&amp;G'!AY$1)*(1/AY$56)/$AG$57*1000*AY$65</f>
        <v>2.3038018232293318</v>
      </c>
      <c r="AZ71" s="198">
        <f ca="1">SUMIFS(INDIRECT("'"&amp;$A71&amp;$B$3&amp;"'!"&amp;"$m:$m"),INDIRECT("'"&amp;$A71&amp;$B$3&amp;"'!"&amp;"$A:$A"),'Receita Líquida - O&amp;G'!AZ$1)*(1/AZ$56)/$AG$57*1000*AZ$65</f>
        <v>2.3644733743504025</v>
      </c>
      <c r="BA71" s="198">
        <f ca="1">SUMIFS(INDIRECT("'"&amp;$A71&amp;$B$3&amp;"'!"&amp;"$m:$m"),INDIRECT("'"&amp;$A71&amp;$B$3&amp;"'!"&amp;"$A:$A"),'Receita Líquida - O&amp;G'!BA$1)*(1/BA$56)/$AG$57*1000*BA$65</f>
        <v>2.4117628418374109</v>
      </c>
      <c r="BB71" s="198">
        <f ca="1">SUMIFS(INDIRECT("'"&amp;$A71&amp;$B$3&amp;"'!"&amp;"$m:$m"),INDIRECT("'"&amp;$A71&amp;$B$3&amp;"'!"&amp;"$A:$A"),'Receita Líquida - O&amp;G'!BB$1)*(1/BB$56)/$AG$57*1000*BB$65</f>
        <v>2.4599980986741592</v>
      </c>
      <c r="BC71" s="198">
        <f ca="1">SUMIFS(INDIRECT("'"&amp;$A71&amp;$B$3&amp;"'!"&amp;"$m:$m"),INDIRECT("'"&amp;$A71&amp;$B$3&amp;"'!"&amp;"$A:$A"),'Receita Líquida - O&amp;G'!BC$1)*(1/BC$56)/$AG$57*1000*BC$65</f>
        <v>2.5091980606476425</v>
      </c>
      <c r="BD71" s="198">
        <f ca="1">SUMIFS(INDIRECT("'"&amp;$A71&amp;$B$3&amp;"'!"&amp;"$m:$m"),INDIRECT("'"&amp;$A71&amp;$B$3&amp;"'!"&amp;"$A:$A"),'Receita Líquida - O&amp;G'!BD$1)*(1/BD$56)/$AG$57*1000*BD$65</f>
        <v>2.5593820218605949</v>
      </c>
      <c r="BE71" s="198">
        <f ca="1">SUMIFS(INDIRECT("'"&amp;$A71&amp;$B$3&amp;"'!"&amp;"$m:$m"),INDIRECT("'"&amp;$A71&amp;$B$3&amp;"'!"&amp;"$A:$A"),'Receita Líquida - O&amp;G'!BE$1)*(1/BE$56)/$AG$57*1000*BE$65</f>
        <v>2.6105696622978072</v>
      </c>
      <c r="BF71" s="198">
        <f ca="1">SUMIFS(INDIRECT("'"&amp;$A71&amp;$B$3&amp;"'!"&amp;"$m:$m"),INDIRECT("'"&amp;$A71&amp;$B$3&amp;"'!"&amp;"$A:$A"),'Receita Líquida - O&amp;G'!BF$1)*(1/BF$56)/$AG$57*1000*BF$65</f>
        <v>2.6627810555437632</v>
      </c>
      <c r="BG71" s="198">
        <f ca="1">SUMIFS(INDIRECT("'"&amp;$A71&amp;$B$3&amp;"'!"&amp;"$m:$m"),INDIRECT("'"&amp;$A71&amp;$B$3&amp;"'!"&amp;"$A:$A"),'Receita Líquida - O&amp;G'!BG$1)*(1/BG$56)/$AG$57*1000*BG$65</f>
        <v>2.7160366766546384</v>
      </c>
      <c r="BH71" s="198">
        <f ca="1">SUMIFS(INDIRECT("'"&amp;$A71&amp;$B$3&amp;"'!"&amp;"$m:$m"),INDIRECT("'"&amp;$A71&amp;$B$3&amp;"'!"&amp;"$A:$A"),'Receita Líquida - O&amp;G'!BH$1)*(1/BH$56)/$AG$57*1000*BH$65</f>
        <v>2.7703574101877311</v>
      </c>
      <c r="BI71" s="198">
        <f ca="1">SUMIFS(INDIRECT("'"&amp;$A71&amp;$B$3&amp;"'!"&amp;"$m:$m"),INDIRECT("'"&amp;$A71&amp;$B$3&amp;"'!"&amp;"$A:$A"),'Receita Líquida - O&amp;G'!BI$1)*(1/BI$56)/$AG$57*1000*BI$65</f>
        <v>2.8257645583914859</v>
      </c>
      <c r="BJ71" s="198">
        <f ca="1">SUMIFS(INDIRECT("'"&amp;$A71&amp;$B$3&amp;"'!"&amp;"$m:$m"),INDIRECT("'"&amp;$A71&amp;$B$3&amp;"'!"&amp;"$A:$A"),'Receita Líquida - O&amp;G'!BJ$1)*(1/BJ$56)/$AG$57*1000*BJ$65</f>
        <v>0</v>
      </c>
      <c r="BK71" s="198">
        <f ca="1">SUMIFS(INDIRECT("'"&amp;$A71&amp;$B$3&amp;"'!"&amp;"$m:$m"),INDIRECT("'"&amp;$A71&amp;$B$3&amp;"'!"&amp;"$A:$A"),'Receita Líquida - O&amp;G'!BK$1)*(1/BK$56)/$AG$57*1000*BK$65</f>
        <v>0</v>
      </c>
      <c r="BL71" s="198">
        <f ca="1">SUMIFS(INDIRECT("'"&amp;$A71&amp;$B$3&amp;"'!"&amp;"$m:$m"),INDIRECT("'"&amp;$A71&amp;$B$3&amp;"'!"&amp;"$A:$A"),'Receita Líquida - O&amp;G'!BL$1)*(1/BL$56)/$AG$57*1000*BL$65</f>
        <v>0</v>
      </c>
      <c r="BM71" s="198">
        <f ca="1">SUMIFS(INDIRECT("'"&amp;$A71&amp;$B$3&amp;"'!"&amp;"$m:$m"),INDIRECT("'"&amp;$A71&amp;$B$3&amp;"'!"&amp;"$A:$A"),'Receita Líquida - O&amp;G'!BM$1)*(1/BM$56)/$AG$57*1000*BM$65</f>
        <v>0</v>
      </c>
      <c r="BN71" s="198">
        <f ca="1">SUMIFS(INDIRECT("'"&amp;$A71&amp;$B$3&amp;"'!"&amp;"$m:$m"),INDIRECT("'"&amp;$A71&amp;$B$3&amp;"'!"&amp;"$A:$A"),'Receita Líquida - O&amp;G'!BN$1)*(1/BN$56)/$AG$57*1000*BN$65</f>
        <v>0</v>
      </c>
      <c r="BO71" s="198">
        <f ca="1">SUMIFS(INDIRECT("'"&amp;$A71&amp;$B$3&amp;"'!"&amp;"$m:$m"),INDIRECT("'"&amp;$A71&amp;$B$3&amp;"'!"&amp;"$A:$A"),'Receita Líquida - O&amp;G'!BO$1)*(1/BO$56)/$AG$57*1000*BO$65</f>
        <v>0</v>
      </c>
      <c r="BP71" s="198">
        <f ca="1">SUMIFS(INDIRECT("'"&amp;$A71&amp;$B$3&amp;"'!"&amp;"$m:$m"),INDIRECT("'"&amp;$A71&amp;$B$3&amp;"'!"&amp;"$A:$A"),'Receita Líquida - O&amp;G'!BP$1)*(1/BP$56)/$AG$57*1000*BP$65</f>
        <v>0</v>
      </c>
      <c r="BQ71" s="198">
        <f ca="1">SUMIFS(INDIRECT("'"&amp;$A71&amp;$B$3&amp;"'!"&amp;"$m:$m"),INDIRECT("'"&amp;$A71&amp;$B$3&amp;"'!"&amp;"$A:$A"),'Receita Líquida - O&amp;G'!BQ$1)*(1/BQ$56)/$AG$57*1000*BQ$65</f>
        <v>0</v>
      </c>
      <c r="BR71" s="198">
        <f ca="1">SUMIFS(INDIRECT("'"&amp;$A71&amp;$B$3&amp;"'!"&amp;"$m:$m"),INDIRECT("'"&amp;$A71&amp;$B$3&amp;"'!"&amp;"$A:$A"),'Receita Líquida - O&amp;G'!BR$1)*(1/BR$56)/$AG$57*1000*BR$65</f>
        <v>0</v>
      </c>
      <c r="BS71" s="198">
        <f ca="1">SUMIFS(INDIRECT("'"&amp;$A71&amp;$B$3&amp;"'!"&amp;"$m:$m"),INDIRECT("'"&amp;$A71&amp;$B$3&amp;"'!"&amp;"$A:$A"),'Receita Líquida - O&amp;G'!BS$1)*(1/BS$56)/$AG$57*1000*BS$65</f>
        <v>0</v>
      </c>
      <c r="BT71" s="198">
        <f ca="1">SUMIFS(INDIRECT("'"&amp;$A71&amp;$B$3&amp;"'!"&amp;"$m:$m"),INDIRECT("'"&amp;$A71&amp;$B$3&amp;"'!"&amp;"$A:$A"),'Receita Líquida - O&amp;G'!BT$1)*(1/BT$56)/$AG$57*1000*BT$65</f>
        <v>0</v>
      </c>
      <c r="BU71" s="198">
        <f ca="1">SUMIFS(INDIRECT("'"&amp;$A71&amp;$B$3&amp;"'!"&amp;"$m:$m"),INDIRECT("'"&amp;$A71&amp;$B$3&amp;"'!"&amp;"$A:$A"),'Receita Líquida - O&amp;G'!BU$1)*(1/BU$56)/$AG$57*1000*BU$65</f>
        <v>0</v>
      </c>
      <c r="BV71" s="198">
        <f ca="1">SUMIFS(INDIRECT("'"&amp;$A71&amp;$B$3&amp;"'!"&amp;"$m:$m"),INDIRECT("'"&amp;$A71&amp;$B$3&amp;"'!"&amp;"$A:$A"),'Receita Líquida - O&amp;G'!BV$1)*(1/BV$56)/$AG$57*1000*BV$65</f>
        <v>0</v>
      </c>
      <c r="BW71" s="198">
        <f ca="1">SUMIFS(INDIRECT("'"&amp;$A71&amp;$B$3&amp;"'!"&amp;"$m:$m"),INDIRECT("'"&amp;$A71&amp;$B$3&amp;"'!"&amp;"$A:$A"),'Receita Líquida - O&amp;G'!BW$1)*(1/BW$56)/$AG$57*1000*BW$65</f>
        <v>0</v>
      </c>
    </row>
    <row r="72" spans="1:75" x14ac:dyDescent="0.3">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row>
    <row r="73" spans="1:75" x14ac:dyDescent="0.3">
      <c r="A73" s="4" t="s">
        <v>9</v>
      </c>
      <c r="B73" s="4"/>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48">
        <f t="shared" ref="AG73:BL73" ca="1" si="114">SUM(AG74:AG77)</f>
        <v>22.226180511824293</v>
      </c>
      <c r="AH73" s="48">
        <f t="shared" ca="1" si="114"/>
        <v>39.023951590963065</v>
      </c>
      <c r="AI73" s="48">
        <f t="shared" ca="1" si="114"/>
        <v>43.885968861044944</v>
      </c>
      <c r="AJ73" s="48">
        <f t="shared" ca="1" si="114"/>
        <v>52.25960380735475</v>
      </c>
      <c r="AK73" s="48">
        <f t="shared" ca="1" si="114"/>
        <v>58.533301249789211</v>
      </c>
      <c r="AL73" s="48">
        <f t="shared" ca="1" si="114"/>
        <v>67.601096147567205</v>
      </c>
      <c r="AM73" s="48">
        <f t="shared" ca="1" si="114"/>
        <v>60.463926623234826</v>
      </c>
      <c r="AN73" s="48">
        <f t="shared" ca="1" si="114"/>
        <v>46.338802722145815</v>
      </c>
      <c r="AO73" s="48">
        <f t="shared" ca="1" si="114"/>
        <v>35.140094888078032</v>
      </c>
      <c r="AP73" s="48">
        <f t="shared" ca="1" si="114"/>
        <v>27.979698023872846</v>
      </c>
      <c r="AQ73" s="48">
        <f t="shared" ca="1" si="114"/>
        <v>22.78821168356896</v>
      </c>
      <c r="AR73" s="48">
        <f t="shared" ca="1" si="114"/>
        <v>18.278870840051283</v>
      </c>
      <c r="AS73" s="48">
        <f t="shared" ca="1" si="114"/>
        <v>13.95896745587202</v>
      </c>
      <c r="AT73" s="48">
        <f t="shared" ca="1" si="114"/>
        <v>10.795856157712226</v>
      </c>
      <c r="AU73" s="48">
        <f t="shared" ca="1" si="114"/>
        <v>8.6947055892981915</v>
      </c>
      <c r="AV73" s="48">
        <f t="shared" ca="1" si="114"/>
        <v>0.86008711422046724</v>
      </c>
      <c r="AW73" s="48">
        <f t="shared" ca="1" si="114"/>
        <v>0</v>
      </c>
      <c r="AX73" s="48">
        <f t="shared" ca="1" si="114"/>
        <v>0</v>
      </c>
      <c r="AY73" s="48">
        <f t="shared" ca="1" si="114"/>
        <v>0</v>
      </c>
      <c r="AZ73" s="48">
        <f t="shared" ca="1" si="114"/>
        <v>0</v>
      </c>
      <c r="BA73" s="48">
        <f t="shared" ca="1" si="114"/>
        <v>0</v>
      </c>
      <c r="BB73" s="48">
        <f t="shared" ca="1" si="114"/>
        <v>0</v>
      </c>
      <c r="BC73" s="48">
        <f t="shared" ca="1" si="114"/>
        <v>0</v>
      </c>
      <c r="BD73" s="48">
        <f t="shared" ca="1" si="114"/>
        <v>0</v>
      </c>
      <c r="BE73" s="48">
        <f t="shared" ca="1" si="114"/>
        <v>0</v>
      </c>
      <c r="BF73" s="48">
        <f t="shared" ca="1" si="114"/>
        <v>0</v>
      </c>
      <c r="BG73" s="48">
        <f t="shared" ca="1" si="114"/>
        <v>0</v>
      </c>
      <c r="BH73" s="48">
        <f t="shared" ca="1" si="114"/>
        <v>0</v>
      </c>
      <c r="BI73" s="48">
        <f t="shared" ca="1" si="114"/>
        <v>0</v>
      </c>
      <c r="BJ73" s="48">
        <f t="shared" ca="1" si="114"/>
        <v>0</v>
      </c>
      <c r="BK73" s="48">
        <f t="shared" ca="1" si="114"/>
        <v>0</v>
      </c>
      <c r="BL73" s="48">
        <f t="shared" ca="1" si="114"/>
        <v>0</v>
      </c>
      <c r="BM73" s="48">
        <f t="shared" ref="BM73:BW73" ca="1" si="115">SUM(BM74:BM77)</f>
        <v>0</v>
      </c>
      <c r="BN73" s="48">
        <f t="shared" ca="1" si="115"/>
        <v>0</v>
      </c>
      <c r="BO73" s="48">
        <f t="shared" ca="1" si="115"/>
        <v>0</v>
      </c>
      <c r="BP73" s="48">
        <f t="shared" ca="1" si="115"/>
        <v>0</v>
      </c>
      <c r="BQ73" s="48">
        <f t="shared" ca="1" si="115"/>
        <v>0</v>
      </c>
      <c r="BR73" s="48">
        <f t="shared" ca="1" si="115"/>
        <v>0</v>
      </c>
      <c r="BS73" s="48">
        <f t="shared" ca="1" si="115"/>
        <v>0</v>
      </c>
      <c r="BT73" s="48">
        <f t="shared" ca="1" si="115"/>
        <v>0</v>
      </c>
      <c r="BU73" s="48">
        <f t="shared" ca="1" si="115"/>
        <v>0</v>
      </c>
      <c r="BV73" s="48">
        <f t="shared" ca="1" si="115"/>
        <v>0</v>
      </c>
      <c r="BW73" s="48">
        <f t="shared" ca="1" si="115"/>
        <v>0</v>
      </c>
    </row>
    <row r="74" spans="1:75" x14ac:dyDescent="0.3">
      <c r="A74" s="5" t="s">
        <v>64</v>
      </c>
      <c r="B74" s="5"/>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51">
        <f t="shared" ref="AG74:BW74" ca="1" si="116">AG68*AG60/10^3</f>
        <v>17.518620312463565</v>
      </c>
      <c r="AH74" s="51">
        <f t="shared" ca="1" si="116"/>
        <v>27.697220270250419</v>
      </c>
      <c r="AI74" s="51">
        <f t="shared" ca="1" si="116"/>
        <v>26.829294783005199</v>
      </c>
      <c r="AJ74" s="51">
        <f t="shared" ca="1" si="116"/>
        <v>30.059366329249126</v>
      </c>
      <c r="AK74" s="51">
        <f t="shared" ca="1" si="116"/>
        <v>35.165640168209983</v>
      </c>
      <c r="AL74" s="51">
        <f t="shared" ca="1" si="116"/>
        <v>41.825312752629145</v>
      </c>
      <c r="AM74" s="51">
        <f t="shared" ca="1" si="116"/>
        <v>36.197993358510246</v>
      </c>
      <c r="AN74" s="51">
        <f t="shared" ca="1" si="116"/>
        <v>26.438430066314321</v>
      </c>
      <c r="AO74" s="51">
        <f t="shared" ca="1" si="116"/>
        <v>18.884624727617602</v>
      </c>
      <c r="AP74" s="51">
        <f t="shared" ca="1" si="116"/>
        <v>14.972921298645362</v>
      </c>
      <c r="AQ74" s="51">
        <f t="shared" ca="1" si="116"/>
        <v>12.556058525831505</v>
      </c>
      <c r="AR74" s="51">
        <f t="shared" ca="1" si="116"/>
        <v>10.658513428865172</v>
      </c>
      <c r="AS74" s="51">
        <f t="shared" ca="1" si="116"/>
        <v>8.481529761578436</v>
      </c>
      <c r="AT74" s="51">
        <f t="shared" ca="1" si="116"/>
        <v>7.2703330827315149</v>
      </c>
      <c r="AU74" s="51">
        <f t="shared" ca="1" si="116"/>
        <v>6.6199058101952843</v>
      </c>
      <c r="AV74" s="51">
        <f t="shared" ca="1" si="116"/>
        <v>0</v>
      </c>
      <c r="AW74" s="51">
        <f t="shared" ca="1" si="116"/>
        <v>0</v>
      </c>
      <c r="AX74" s="51">
        <f t="shared" ca="1" si="116"/>
        <v>0</v>
      </c>
      <c r="AY74" s="51">
        <f t="shared" ca="1" si="116"/>
        <v>0</v>
      </c>
      <c r="AZ74" s="51">
        <f t="shared" ca="1" si="116"/>
        <v>0</v>
      </c>
      <c r="BA74" s="51">
        <f t="shared" ca="1" si="116"/>
        <v>0</v>
      </c>
      <c r="BB74" s="51">
        <f t="shared" ca="1" si="116"/>
        <v>0</v>
      </c>
      <c r="BC74" s="51">
        <f t="shared" ca="1" si="116"/>
        <v>0</v>
      </c>
      <c r="BD74" s="51">
        <f t="shared" ca="1" si="116"/>
        <v>0</v>
      </c>
      <c r="BE74" s="51">
        <f t="shared" ca="1" si="116"/>
        <v>0</v>
      </c>
      <c r="BF74" s="51">
        <f t="shared" ca="1" si="116"/>
        <v>0</v>
      </c>
      <c r="BG74" s="51">
        <f t="shared" ca="1" si="116"/>
        <v>0</v>
      </c>
      <c r="BH74" s="51">
        <f t="shared" ca="1" si="116"/>
        <v>0</v>
      </c>
      <c r="BI74" s="51">
        <f t="shared" ca="1" si="116"/>
        <v>0</v>
      </c>
      <c r="BJ74" s="51">
        <f t="shared" ca="1" si="116"/>
        <v>0</v>
      </c>
      <c r="BK74" s="51">
        <f t="shared" ca="1" si="116"/>
        <v>0</v>
      </c>
      <c r="BL74" s="51">
        <f t="shared" ca="1" si="116"/>
        <v>0</v>
      </c>
      <c r="BM74" s="51">
        <f t="shared" ca="1" si="116"/>
        <v>0</v>
      </c>
      <c r="BN74" s="51">
        <f t="shared" ca="1" si="116"/>
        <v>0</v>
      </c>
      <c r="BO74" s="51">
        <f t="shared" ca="1" si="116"/>
        <v>0</v>
      </c>
      <c r="BP74" s="51">
        <f t="shared" ca="1" si="116"/>
        <v>0</v>
      </c>
      <c r="BQ74" s="51">
        <f t="shared" ca="1" si="116"/>
        <v>0</v>
      </c>
      <c r="BR74" s="51">
        <f t="shared" ca="1" si="116"/>
        <v>0</v>
      </c>
      <c r="BS74" s="51">
        <f t="shared" ca="1" si="116"/>
        <v>0</v>
      </c>
      <c r="BT74" s="51">
        <f t="shared" ca="1" si="116"/>
        <v>0</v>
      </c>
      <c r="BU74" s="51">
        <f t="shared" ca="1" si="116"/>
        <v>0</v>
      </c>
      <c r="BV74" s="51">
        <f t="shared" ca="1" si="116"/>
        <v>0</v>
      </c>
      <c r="BW74" s="51">
        <f t="shared" ca="1" si="116"/>
        <v>0</v>
      </c>
    </row>
    <row r="75" spans="1:75" x14ac:dyDescent="0.3">
      <c r="A75" s="5" t="s">
        <v>65</v>
      </c>
      <c r="B75" s="5"/>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T75" s="72"/>
      <c r="BU75" s="72"/>
      <c r="BV75" s="72"/>
      <c r="BW75" s="72"/>
    </row>
    <row r="76" spans="1:75" x14ac:dyDescent="0.3">
      <c r="A76" s="5" t="s">
        <v>67</v>
      </c>
      <c r="B76" s="5"/>
      <c r="C76" s="72"/>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51">
        <f t="shared" ref="AG76:BW76" ca="1" si="117">AG70*AG62/10^3</f>
        <v>0</v>
      </c>
      <c r="AH76" s="51">
        <f t="shared" ca="1" si="117"/>
        <v>0</v>
      </c>
      <c r="AI76" s="51">
        <f t="shared" ca="1" si="117"/>
        <v>0</v>
      </c>
      <c r="AJ76" s="51">
        <f t="shared" ca="1" si="117"/>
        <v>0</v>
      </c>
      <c r="AK76" s="51">
        <f t="shared" ca="1" si="117"/>
        <v>0</v>
      </c>
      <c r="AL76" s="51">
        <f t="shared" ca="1" si="117"/>
        <v>0</v>
      </c>
      <c r="AM76" s="51">
        <f t="shared" ca="1" si="117"/>
        <v>0</v>
      </c>
      <c r="AN76" s="51">
        <f t="shared" ca="1" si="117"/>
        <v>0</v>
      </c>
      <c r="AO76" s="51">
        <f t="shared" ca="1" si="117"/>
        <v>0</v>
      </c>
      <c r="AP76" s="51">
        <f t="shared" ca="1" si="117"/>
        <v>0</v>
      </c>
      <c r="AQ76" s="51">
        <f t="shared" ca="1" si="117"/>
        <v>0</v>
      </c>
      <c r="AR76" s="51">
        <f t="shared" ca="1" si="117"/>
        <v>0</v>
      </c>
      <c r="AS76" s="51">
        <f t="shared" ca="1" si="117"/>
        <v>0</v>
      </c>
      <c r="AT76" s="51">
        <f t="shared" ca="1" si="117"/>
        <v>0</v>
      </c>
      <c r="AU76" s="51">
        <f t="shared" ca="1" si="117"/>
        <v>0</v>
      </c>
      <c r="AV76" s="51">
        <f t="shared" ca="1" si="117"/>
        <v>0</v>
      </c>
      <c r="AW76" s="51">
        <f t="shared" ca="1" si="117"/>
        <v>0</v>
      </c>
      <c r="AX76" s="51">
        <f t="shared" ca="1" si="117"/>
        <v>0</v>
      </c>
      <c r="AY76" s="51">
        <f t="shared" ca="1" si="117"/>
        <v>0</v>
      </c>
      <c r="AZ76" s="51">
        <f t="shared" ca="1" si="117"/>
        <v>0</v>
      </c>
      <c r="BA76" s="51">
        <f t="shared" ca="1" si="117"/>
        <v>0</v>
      </c>
      <c r="BB76" s="51">
        <f t="shared" ca="1" si="117"/>
        <v>0</v>
      </c>
      <c r="BC76" s="51">
        <f t="shared" ca="1" si="117"/>
        <v>0</v>
      </c>
      <c r="BD76" s="51">
        <f t="shared" ca="1" si="117"/>
        <v>0</v>
      </c>
      <c r="BE76" s="51">
        <f t="shared" ca="1" si="117"/>
        <v>0</v>
      </c>
      <c r="BF76" s="51">
        <f t="shared" ca="1" si="117"/>
        <v>0</v>
      </c>
      <c r="BG76" s="51">
        <f t="shared" ca="1" si="117"/>
        <v>0</v>
      </c>
      <c r="BH76" s="51">
        <f t="shared" ca="1" si="117"/>
        <v>0</v>
      </c>
      <c r="BI76" s="51">
        <f t="shared" ca="1" si="117"/>
        <v>0</v>
      </c>
      <c r="BJ76" s="51">
        <f t="shared" ca="1" si="117"/>
        <v>0</v>
      </c>
      <c r="BK76" s="51">
        <f t="shared" ca="1" si="117"/>
        <v>0</v>
      </c>
      <c r="BL76" s="51">
        <f t="shared" ca="1" si="117"/>
        <v>0</v>
      </c>
      <c r="BM76" s="51">
        <f t="shared" ca="1" si="117"/>
        <v>0</v>
      </c>
      <c r="BN76" s="51">
        <f t="shared" ca="1" si="117"/>
        <v>0</v>
      </c>
      <c r="BO76" s="51">
        <f t="shared" ca="1" si="117"/>
        <v>0</v>
      </c>
      <c r="BP76" s="51">
        <f t="shared" ca="1" si="117"/>
        <v>0</v>
      </c>
      <c r="BQ76" s="51">
        <f t="shared" ca="1" si="117"/>
        <v>0</v>
      </c>
      <c r="BR76" s="51">
        <f t="shared" ca="1" si="117"/>
        <v>0</v>
      </c>
      <c r="BS76" s="51">
        <f t="shared" ca="1" si="117"/>
        <v>0</v>
      </c>
      <c r="BT76" s="51">
        <f t="shared" ca="1" si="117"/>
        <v>0</v>
      </c>
      <c r="BU76" s="51">
        <f t="shared" ca="1" si="117"/>
        <v>0</v>
      </c>
      <c r="BV76" s="51">
        <f t="shared" ca="1" si="117"/>
        <v>0</v>
      </c>
      <c r="BW76" s="51">
        <f t="shared" ca="1" si="117"/>
        <v>0</v>
      </c>
    </row>
    <row r="77" spans="1:75" x14ac:dyDescent="0.3">
      <c r="A77" s="5" t="s">
        <v>66</v>
      </c>
      <c r="B77" s="5"/>
      <c r="C77" s="72"/>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51">
        <f t="shared" ref="AG77:BW77" ca="1" si="118">AG71*AG63/10^3</f>
        <v>4.7075601993607288</v>
      </c>
      <c r="AH77" s="51">
        <f t="shared" ca="1" si="118"/>
        <v>11.326731320712645</v>
      </c>
      <c r="AI77" s="51">
        <f t="shared" ca="1" si="118"/>
        <v>17.056674078039741</v>
      </c>
      <c r="AJ77" s="51">
        <f t="shared" ca="1" si="118"/>
        <v>22.20023747810562</v>
      </c>
      <c r="AK77" s="51">
        <f t="shared" ca="1" si="118"/>
        <v>23.367661081579229</v>
      </c>
      <c r="AL77" s="51">
        <f t="shared" ca="1" si="118"/>
        <v>25.775783394938063</v>
      </c>
      <c r="AM77" s="51">
        <f t="shared" ca="1" si="118"/>
        <v>24.26593326472458</v>
      </c>
      <c r="AN77" s="51">
        <f t="shared" ca="1" si="118"/>
        <v>19.900372655831497</v>
      </c>
      <c r="AO77" s="51">
        <f t="shared" ca="1" si="118"/>
        <v>16.25547016046043</v>
      </c>
      <c r="AP77" s="51">
        <f t="shared" ca="1" si="118"/>
        <v>13.006776725227484</v>
      </c>
      <c r="AQ77" s="51">
        <f t="shared" ca="1" si="118"/>
        <v>10.232153157737454</v>
      </c>
      <c r="AR77" s="51">
        <f t="shared" ca="1" si="118"/>
        <v>7.6203574111861094</v>
      </c>
      <c r="AS77" s="51">
        <f t="shared" ca="1" si="118"/>
        <v>5.4774376942935845</v>
      </c>
      <c r="AT77" s="51">
        <f t="shared" ca="1" si="118"/>
        <v>3.5255230749807107</v>
      </c>
      <c r="AU77" s="51">
        <f t="shared" ca="1" si="118"/>
        <v>2.074799779102908</v>
      </c>
      <c r="AV77" s="51">
        <f t="shared" ca="1" si="118"/>
        <v>0.86008711422046724</v>
      </c>
      <c r="AW77" s="51">
        <f t="shared" ca="1" si="118"/>
        <v>0</v>
      </c>
      <c r="AX77" s="51">
        <f t="shared" ca="1" si="118"/>
        <v>0</v>
      </c>
      <c r="AY77" s="51">
        <f t="shared" ca="1" si="118"/>
        <v>0</v>
      </c>
      <c r="AZ77" s="51">
        <f t="shared" ca="1" si="118"/>
        <v>0</v>
      </c>
      <c r="BA77" s="51">
        <f t="shared" ca="1" si="118"/>
        <v>0</v>
      </c>
      <c r="BB77" s="51">
        <f t="shared" ca="1" si="118"/>
        <v>0</v>
      </c>
      <c r="BC77" s="51">
        <f t="shared" ca="1" si="118"/>
        <v>0</v>
      </c>
      <c r="BD77" s="51">
        <f t="shared" ca="1" si="118"/>
        <v>0</v>
      </c>
      <c r="BE77" s="51">
        <f t="shared" ca="1" si="118"/>
        <v>0</v>
      </c>
      <c r="BF77" s="51">
        <f t="shared" ca="1" si="118"/>
        <v>0</v>
      </c>
      <c r="BG77" s="51">
        <f t="shared" ca="1" si="118"/>
        <v>0</v>
      </c>
      <c r="BH77" s="51">
        <f t="shared" ca="1" si="118"/>
        <v>0</v>
      </c>
      <c r="BI77" s="51">
        <f t="shared" ca="1" si="118"/>
        <v>0</v>
      </c>
      <c r="BJ77" s="51">
        <f t="shared" ca="1" si="118"/>
        <v>0</v>
      </c>
      <c r="BK77" s="51">
        <f t="shared" ca="1" si="118"/>
        <v>0</v>
      </c>
      <c r="BL77" s="51">
        <f t="shared" ca="1" si="118"/>
        <v>0</v>
      </c>
      <c r="BM77" s="51">
        <f t="shared" ca="1" si="118"/>
        <v>0</v>
      </c>
      <c r="BN77" s="51">
        <f t="shared" ca="1" si="118"/>
        <v>0</v>
      </c>
      <c r="BO77" s="51">
        <f t="shared" ca="1" si="118"/>
        <v>0</v>
      </c>
      <c r="BP77" s="51">
        <f t="shared" ca="1" si="118"/>
        <v>0</v>
      </c>
      <c r="BQ77" s="51">
        <f t="shared" ca="1" si="118"/>
        <v>0</v>
      </c>
      <c r="BR77" s="51">
        <f t="shared" ca="1" si="118"/>
        <v>0</v>
      </c>
      <c r="BS77" s="51">
        <f t="shared" ca="1" si="118"/>
        <v>0</v>
      </c>
      <c r="BT77" s="51">
        <f t="shared" ca="1" si="118"/>
        <v>0</v>
      </c>
      <c r="BU77" s="51">
        <f t="shared" ca="1" si="118"/>
        <v>0</v>
      </c>
      <c r="BV77" s="51">
        <f t="shared" ca="1" si="118"/>
        <v>0</v>
      </c>
      <c r="BW77" s="51">
        <f t="shared" ca="1" si="118"/>
        <v>0</v>
      </c>
    </row>
    <row r="79" spans="1:75" x14ac:dyDescent="0.3">
      <c r="A79" s="4" t="s">
        <v>382</v>
      </c>
      <c r="B79" s="4"/>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48">
        <f t="shared" ref="AG79:BL79" ca="1" si="119">AG73*AG$17</f>
        <v>109.63508061067569</v>
      </c>
      <c r="AH79" s="48">
        <f t="shared" ca="1" si="119"/>
        <v>195.11975795481533</v>
      </c>
      <c r="AI79" s="48">
        <f t="shared" ca="1" si="119"/>
        <v>221.18528305966652</v>
      </c>
      <c r="AJ79" s="48">
        <f t="shared" ca="1" si="119"/>
        <v>266.52397941750922</v>
      </c>
      <c r="AK79" s="48">
        <f t="shared" ca="1" si="119"/>
        <v>298.51983637392493</v>
      </c>
      <c r="AL79" s="48">
        <f t="shared" ca="1" si="119"/>
        <v>348.14564515997114</v>
      </c>
      <c r="AM79" s="48">
        <f t="shared" ca="1" si="119"/>
        <v>314.44205762053838</v>
      </c>
      <c r="AN79" s="48">
        <f t="shared" ca="1" si="119"/>
        <v>243.34708228643908</v>
      </c>
      <c r="AO79" s="48">
        <f t="shared" ca="1" si="119"/>
        <v>186.346533293981</v>
      </c>
      <c r="AP79" s="48">
        <f t="shared" ca="1" si="119"/>
        <v>149.82989107520021</v>
      </c>
      <c r="AQ79" s="48">
        <f t="shared" ca="1" si="119"/>
        <v>123.22610997170587</v>
      </c>
      <c r="AR79" s="48">
        <f t="shared" ca="1" si="119"/>
        <v>99.811115835085374</v>
      </c>
      <c r="AS79" s="48">
        <f t="shared" ca="1" si="119"/>
        <v>76.969717818230194</v>
      </c>
      <c r="AT79" s="48">
        <f t="shared" ca="1" si="119"/>
        <v>60.111939696207244</v>
      </c>
      <c r="AU79" s="48">
        <f t="shared" ca="1" si="119"/>
        <v>48.887247573227789</v>
      </c>
      <c r="AV79" s="48">
        <f t="shared" ca="1" si="119"/>
        <v>4.8833763951222044</v>
      </c>
      <c r="AW79" s="48">
        <f t="shared" ca="1" si="119"/>
        <v>0</v>
      </c>
      <c r="AX79" s="48">
        <f t="shared" ca="1" si="119"/>
        <v>0</v>
      </c>
      <c r="AY79" s="48">
        <f t="shared" ca="1" si="119"/>
        <v>0</v>
      </c>
      <c r="AZ79" s="48">
        <f t="shared" ca="1" si="119"/>
        <v>0</v>
      </c>
      <c r="BA79" s="48">
        <f t="shared" ca="1" si="119"/>
        <v>0</v>
      </c>
      <c r="BB79" s="48">
        <f t="shared" ca="1" si="119"/>
        <v>0</v>
      </c>
      <c r="BC79" s="48">
        <f t="shared" ca="1" si="119"/>
        <v>0</v>
      </c>
      <c r="BD79" s="48">
        <f t="shared" ca="1" si="119"/>
        <v>0</v>
      </c>
      <c r="BE79" s="48">
        <f t="shared" ca="1" si="119"/>
        <v>0</v>
      </c>
      <c r="BF79" s="48">
        <f t="shared" ca="1" si="119"/>
        <v>0</v>
      </c>
      <c r="BG79" s="48">
        <f t="shared" ca="1" si="119"/>
        <v>0</v>
      </c>
      <c r="BH79" s="48">
        <f t="shared" ca="1" si="119"/>
        <v>0</v>
      </c>
      <c r="BI79" s="48">
        <f t="shared" ca="1" si="119"/>
        <v>0</v>
      </c>
      <c r="BJ79" s="48">
        <f t="shared" ca="1" si="119"/>
        <v>0</v>
      </c>
      <c r="BK79" s="48">
        <f t="shared" ca="1" si="119"/>
        <v>0</v>
      </c>
      <c r="BL79" s="48">
        <f t="shared" ca="1" si="119"/>
        <v>0</v>
      </c>
      <c r="BM79" s="48">
        <f t="shared" ref="BM79:BW79" ca="1" si="120">BM73*BM$17</f>
        <v>0</v>
      </c>
      <c r="BN79" s="48">
        <f t="shared" ca="1" si="120"/>
        <v>0</v>
      </c>
      <c r="BO79" s="48">
        <f t="shared" ca="1" si="120"/>
        <v>0</v>
      </c>
      <c r="BP79" s="48">
        <f t="shared" ca="1" si="120"/>
        <v>0</v>
      </c>
      <c r="BQ79" s="48">
        <f t="shared" ca="1" si="120"/>
        <v>0</v>
      </c>
      <c r="BR79" s="48">
        <f t="shared" ca="1" si="120"/>
        <v>0</v>
      </c>
      <c r="BS79" s="48">
        <f t="shared" ca="1" si="120"/>
        <v>0</v>
      </c>
      <c r="BT79" s="48">
        <f t="shared" ca="1" si="120"/>
        <v>0</v>
      </c>
      <c r="BU79" s="48">
        <f t="shared" ca="1" si="120"/>
        <v>0</v>
      </c>
      <c r="BV79" s="48">
        <f t="shared" ca="1" si="120"/>
        <v>0</v>
      </c>
      <c r="BW79" s="48">
        <f t="shared" ca="1" si="120"/>
        <v>0</v>
      </c>
    </row>
    <row r="80" spans="1:75" x14ac:dyDescent="0.3">
      <c r="A80" s="5" t="s">
        <v>64</v>
      </c>
      <c r="B80" s="5"/>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51">
        <f t="shared" ref="AG80:BL80" ca="1" si="121">AG74*AG$17</f>
        <v>86.414098415289018</v>
      </c>
      <c r="AH80" s="51">
        <f t="shared" ca="1" si="121"/>
        <v>138.4861013512521</v>
      </c>
      <c r="AI80" s="51">
        <f t="shared" ca="1" si="121"/>
        <v>135.2196457063462</v>
      </c>
      <c r="AJ80" s="51">
        <f t="shared" ca="1" si="121"/>
        <v>153.30276827917052</v>
      </c>
      <c r="AK80" s="51">
        <f t="shared" ca="1" si="121"/>
        <v>179.3447648578709</v>
      </c>
      <c r="AL80" s="51">
        <f t="shared" ca="1" si="121"/>
        <v>215.40036067604012</v>
      </c>
      <c r="AM80" s="51">
        <f t="shared" ca="1" si="121"/>
        <v>188.24730957864472</v>
      </c>
      <c r="AN80" s="51">
        <f t="shared" ca="1" si="121"/>
        <v>138.8407649513334</v>
      </c>
      <c r="AO80" s="51">
        <f t="shared" ca="1" si="121"/>
        <v>100.14441798628293</v>
      </c>
      <c r="AP80" s="51">
        <f t="shared" ca="1" si="121"/>
        <v>80.179248730256958</v>
      </c>
      <c r="AQ80" s="51">
        <f t="shared" ca="1" si="121"/>
        <v>67.896255757133162</v>
      </c>
      <c r="AR80" s="51">
        <f t="shared" ca="1" si="121"/>
        <v>58.200428669109741</v>
      </c>
      <c r="AS80" s="51">
        <f t="shared" ca="1" si="121"/>
        <v>46.767137646774572</v>
      </c>
      <c r="AT80" s="51">
        <f t="shared" ca="1" si="121"/>
        <v>40.481627159166422</v>
      </c>
      <c r="AU80" s="51">
        <f t="shared" ca="1" si="121"/>
        <v>37.22138385603327</v>
      </c>
      <c r="AV80" s="51">
        <f t="shared" ca="1" si="121"/>
        <v>0</v>
      </c>
      <c r="AW80" s="51">
        <f t="shared" ca="1" si="121"/>
        <v>0</v>
      </c>
      <c r="AX80" s="51">
        <f t="shared" ca="1" si="121"/>
        <v>0</v>
      </c>
      <c r="AY80" s="51">
        <f t="shared" ca="1" si="121"/>
        <v>0</v>
      </c>
      <c r="AZ80" s="51">
        <f t="shared" ca="1" si="121"/>
        <v>0</v>
      </c>
      <c r="BA80" s="51">
        <f t="shared" ca="1" si="121"/>
        <v>0</v>
      </c>
      <c r="BB80" s="51">
        <f t="shared" ca="1" si="121"/>
        <v>0</v>
      </c>
      <c r="BC80" s="51">
        <f t="shared" ca="1" si="121"/>
        <v>0</v>
      </c>
      <c r="BD80" s="51">
        <f t="shared" ca="1" si="121"/>
        <v>0</v>
      </c>
      <c r="BE80" s="51">
        <f t="shared" ca="1" si="121"/>
        <v>0</v>
      </c>
      <c r="BF80" s="51">
        <f t="shared" ca="1" si="121"/>
        <v>0</v>
      </c>
      <c r="BG80" s="51">
        <f t="shared" ca="1" si="121"/>
        <v>0</v>
      </c>
      <c r="BH80" s="51">
        <f t="shared" ca="1" si="121"/>
        <v>0</v>
      </c>
      <c r="BI80" s="51">
        <f t="shared" ca="1" si="121"/>
        <v>0</v>
      </c>
      <c r="BJ80" s="51">
        <f t="shared" ca="1" si="121"/>
        <v>0</v>
      </c>
      <c r="BK80" s="51">
        <f t="shared" ca="1" si="121"/>
        <v>0</v>
      </c>
      <c r="BL80" s="51">
        <f t="shared" ca="1" si="121"/>
        <v>0</v>
      </c>
      <c r="BM80" s="51">
        <f t="shared" ref="BM80:BW80" ca="1" si="122">BM74*BM$17</f>
        <v>0</v>
      </c>
      <c r="BN80" s="51">
        <f t="shared" ca="1" si="122"/>
        <v>0</v>
      </c>
      <c r="BO80" s="51">
        <f t="shared" ca="1" si="122"/>
        <v>0</v>
      </c>
      <c r="BP80" s="51">
        <f t="shared" ca="1" si="122"/>
        <v>0</v>
      </c>
      <c r="BQ80" s="51">
        <f t="shared" ca="1" si="122"/>
        <v>0</v>
      </c>
      <c r="BR80" s="51">
        <f t="shared" ca="1" si="122"/>
        <v>0</v>
      </c>
      <c r="BS80" s="51">
        <f t="shared" ca="1" si="122"/>
        <v>0</v>
      </c>
      <c r="BT80" s="51">
        <f t="shared" ca="1" si="122"/>
        <v>0</v>
      </c>
      <c r="BU80" s="51">
        <f t="shared" ca="1" si="122"/>
        <v>0</v>
      </c>
      <c r="BV80" s="51">
        <f t="shared" ca="1" si="122"/>
        <v>0</v>
      </c>
      <c r="BW80" s="51">
        <f t="shared" ca="1" si="122"/>
        <v>0</v>
      </c>
    </row>
    <row r="81" spans="1:75" x14ac:dyDescent="0.3">
      <c r="A81" s="5" t="s">
        <v>65</v>
      </c>
      <c r="B81" s="5"/>
      <c r="C81" s="72"/>
      <c r="D81" s="72"/>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c r="BT81" s="72"/>
      <c r="BU81" s="72"/>
      <c r="BV81" s="72"/>
      <c r="BW81" s="72"/>
    </row>
    <row r="82" spans="1:75" x14ac:dyDescent="0.3">
      <c r="A82" s="5" t="s">
        <v>67</v>
      </c>
      <c r="B82" s="5"/>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51">
        <f t="shared" ref="AG82:BL82" ca="1" si="123">AG76*AG$17</f>
        <v>0</v>
      </c>
      <c r="AH82" s="51">
        <f t="shared" ca="1" si="123"/>
        <v>0</v>
      </c>
      <c r="AI82" s="51">
        <f t="shared" ca="1" si="123"/>
        <v>0</v>
      </c>
      <c r="AJ82" s="51">
        <f t="shared" ca="1" si="123"/>
        <v>0</v>
      </c>
      <c r="AK82" s="51">
        <f t="shared" ca="1" si="123"/>
        <v>0</v>
      </c>
      <c r="AL82" s="51">
        <f t="shared" ca="1" si="123"/>
        <v>0</v>
      </c>
      <c r="AM82" s="51">
        <f t="shared" ca="1" si="123"/>
        <v>0</v>
      </c>
      <c r="AN82" s="51">
        <f t="shared" ca="1" si="123"/>
        <v>0</v>
      </c>
      <c r="AO82" s="51">
        <f t="shared" ca="1" si="123"/>
        <v>0</v>
      </c>
      <c r="AP82" s="51">
        <f t="shared" ca="1" si="123"/>
        <v>0</v>
      </c>
      <c r="AQ82" s="51">
        <f t="shared" ca="1" si="123"/>
        <v>0</v>
      </c>
      <c r="AR82" s="51">
        <f t="shared" ca="1" si="123"/>
        <v>0</v>
      </c>
      <c r="AS82" s="51">
        <f t="shared" ca="1" si="123"/>
        <v>0</v>
      </c>
      <c r="AT82" s="51">
        <f t="shared" ca="1" si="123"/>
        <v>0</v>
      </c>
      <c r="AU82" s="51">
        <f t="shared" ca="1" si="123"/>
        <v>0</v>
      </c>
      <c r="AV82" s="51">
        <f t="shared" ca="1" si="123"/>
        <v>0</v>
      </c>
      <c r="AW82" s="51">
        <f t="shared" ca="1" si="123"/>
        <v>0</v>
      </c>
      <c r="AX82" s="51">
        <f t="shared" ca="1" si="123"/>
        <v>0</v>
      </c>
      <c r="AY82" s="51">
        <f t="shared" ca="1" si="123"/>
        <v>0</v>
      </c>
      <c r="AZ82" s="51">
        <f t="shared" ca="1" si="123"/>
        <v>0</v>
      </c>
      <c r="BA82" s="51">
        <f t="shared" ca="1" si="123"/>
        <v>0</v>
      </c>
      <c r="BB82" s="51">
        <f t="shared" ca="1" si="123"/>
        <v>0</v>
      </c>
      <c r="BC82" s="51">
        <f t="shared" ca="1" si="123"/>
        <v>0</v>
      </c>
      <c r="BD82" s="51">
        <f t="shared" ca="1" si="123"/>
        <v>0</v>
      </c>
      <c r="BE82" s="51">
        <f t="shared" ca="1" si="123"/>
        <v>0</v>
      </c>
      <c r="BF82" s="51">
        <f t="shared" ca="1" si="123"/>
        <v>0</v>
      </c>
      <c r="BG82" s="51">
        <f t="shared" ca="1" si="123"/>
        <v>0</v>
      </c>
      <c r="BH82" s="51">
        <f t="shared" ca="1" si="123"/>
        <v>0</v>
      </c>
      <c r="BI82" s="51">
        <f t="shared" ca="1" si="123"/>
        <v>0</v>
      </c>
      <c r="BJ82" s="51">
        <f t="shared" ca="1" si="123"/>
        <v>0</v>
      </c>
      <c r="BK82" s="51">
        <f t="shared" ca="1" si="123"/>
        <v>0</v>
      </c>
      <c r="BL82" s="51">
        <f t="shared" ca="1" si="123"/>
        <v>0</v>
      </c>
      <c r="BM82" s="51">
        <f t="shared" ref="BM82:BW82" ca="1" si="124">BM76*BM$17</f>
        <v>0</v>
      </c>
      <c r="BN82" s="51">
        <f t="shared" ca="1" si="124"/>
        <v>0</v>
      </c>
      <c r="BO82" s="51">
        <f t="shared" ca="1" si="124"/>
        <v>0</v>
      </c>
      <c r="BP82" s="51">
        <f t="shared" ca="1" si="124"/>
        <v>0</v>
      </c>
      <c r="BQ82" s="51">
        <f t="shared" ca="1" si="124"/>
        <v>0</v>
      </c>
      <c r="BR82" s="51">
        <f t="shared" ca="1" si="124"/>
        <v>0</v>
      </c>
      <c r="BS82" s="51">
        <f t="shared" ca="1" si="124"/>
        <v>0</v>
      </c>
      <c r="BT82" s="51">
        <f t="shared" ca="1" si="124"/>
        <v>0</v>
      </c>
      <c r="BU82" s="51">
        <f t="shared" ca="1" si="124"/>
        <v>0</v>
      </c>
      <c r="BV82" s="51">
        <f t="shared" ca="1" si="124"/>
        <v>0</v>
      </c>
      <c r="BW82" s="51">
        <f t="shared" ca="1" si="124"/>
        <v>0</v>
      </c>
    </row>
    <row r="83" spans="1:75" x14ac:dyDescent="0.3">
      <c r="A83" s="5" t="s">
        <v>66</v>
      </c>
      <c r="B83" s="5"/>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51">
        <f t="shared" ref="AG83:BL83" ca="1" si="125">AG77*AG$17</f>
        <v>23.220982195386664</v>
      </c>
      <c r="AH83" s="51">
        <f t="shared" ca="1" si="125"/>
        <v>56.633656603563225</v>
      </c>
      <c r="AI83" s="51">
        <f t="shared" ca="1" si="125"/>
        <v>85.96563735332029</v>
      </c>
      <c r="AJ83" s="51">
        <f t="shared" ca="1" si="125"/>
        <v>113.22121113833866</v>
      </c>
      <c r="AK83" s="51">
        <f t="shared" ca="1" si="125"/>
        <v>119.17507151605406</v>
      </c>
      <c r="AL83" s="51">
        <f t="shared" ca="1" si="125"/>
        <v>132.74528448393104</v>
      </c>
      <c r="AM83" s="51">
        <f t="shared" ca="1" si="125"/>
        <v>126.19474804189367</v>
      </c>
      <c r="AN83" s="51">
        <f t="shared" ca="1" si="125"/>
        <v>104.50631733510568</v>
      </c>
      <c r="AO83" s="51">
        <f t="shared" ca="1" si="125"/>
        <v>86.202115307698065</v>
      </c>
      <c r="AP83" s="51">
        <f t="shared" ca="1" si="125"/>
        <v>69.65064234494325</v>
      </c>
      <c r="AQ83" s="51">
        <f t="shared" ca="1" si="125"/>
        <v>55.329854214572698</v>
      </c>
      <c r="AR83" s="51">
        <f t="shared" ca="1" si="125"/>
        <v>41.610687165975627</v>
      </c>
      <c r="AS83" s="51">
        <f t="shared" ca="1" si="125"/>
        <v>30.202580171455626</v>
      </c>
      <c r="AT83" s="51">
        <f t="shared" ca="1" si="125"/>
        <v>19.630312537040815</v>
      </c>
      <c r="AU83" s="51">
        <f t="shared" ca="1" si="125"/>
        <v>11.665863717194522</v>
      </c>
      <c r="AV83" s="51">
        <f t="shared" ca="1" si="125"/>
        <v>4.8833763951222044</v>
      </c>
      <c r="AW83" s="51">
        <f t="shared" ca="1" si="125"/>
        <v>0</v>
      </c>
      <c r="AX83" s="51">
        <f t="shared" ca="1" si="125"/>
        <v>0</v>
      </c>
      <c r="AY83" s="51">
        <f t="shared" ca="1" si="125"/>
        <v>0</v>
      </c>
      <c r="AZ83" s="51">
        <f t="shared" ca="1" si="125"/>
        <v>0</v>
      </c>
      <c r="BA83" s="51">
        <f t="shared" ca="1" si="125"/>
        <v>0</v>
      </c>
      <c r="BB83" s="51">
        <f t="shared" ca="1" si="125"/>
        <v>0</v>
      </c>
      <c r="BC83" s="51">
        <f t="shared" ca="1" si="125"/>
        <v>0</v>
      </c>
      <c r="BD83" s="51">
        <f t="shared" ca="1" si="125"/>
        <v>0</v>
      </c>
      <c r="BE83" s="51">
        <f t="shared" ca="1" si="125"/>
        <v>0</v>
      </c>
      <c r="BF83" s="51">
        <f t="shared" ca="1" si="125"/>
        <v>0</v>
      </c>
      <c r="BG83" s="51">
        <f t="shared" ca="1" si="125"/>
        <v>0</v>
      </c>
      <c r="BH83" s="51">
        <f t="shared" ca="1" si="125"/>
        <v>0</v>
      </c>
      <c r="BI83" s="51">
        <f t="shared" ca="1" si="125"/>
        <v>0</v>
      </c>
      <c r="BJ83" s="51">
        <f t="shared" ca="1" si="125"/>
        <v>0</v>
      </c>
      <c r="BK83" s="51">
        <f t="shared" ca="1" si="125"/>
        <v>0</v>
      </c>
      <c r="BL83" s="51">
        <f t="shared" ca="1" si="125"/>
        <v>0</v>
      </c>
      <c r="BM83" s="51">
        <f t="shared" ref="BM83:BW83" ca="1" si="126">BM77*BM$17</f>
        <v>0</v>
      </c>
      <c r="BN83" s="51">
        <f t="shared" ca="1" si="126"/>
        <v>0</v>
      </c>
      <c r="BO83" s="51">
        <f t="shared" ca="1" si="126"/>
        <v>0</v>
      </c>
      <c r="BP83" s="51">
        <f t="shared" ca="1" si="126"/>
        <v>0</v>
      </c>
      <c r="BQ83" s="51">
        <f t="shared" ca="1" si="126"/>
        <v>0</v>
      </c>
      <c r="BR83" s="51">
        <f t="shared" ca="1" si="126"/>
        <v>0</v>
      </c>
      <c r="BS83" s="51">
        <f t="shared" ca="1" si="126"/>
        <v>0</v>
      </c>
      <c r="BT83" s="51">
        <f t="shared" ca="1" si="126"/>
        <v>0</v>
      </c>
      <c r="BU83" s="51">
        <f t="shared" ca="1" si="126"/>
        <v>0</v>
      </c>
      <c r="BV83" s="51">
        <f t="shared" ca="1" si="126"/>
        <v>0</v>
      </c>
      <c r="BW83" s="51">
        <f t="shared" ca="1" si="126"/>
        <v>0</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54DFD-7B42-4671-A7FB-B35EF02493F3}">
  <sheetPr>
    <tabColor theme="8" tint="0.79998168889431442"/>
  </sheetPr>
  <dimension ref="A1:BW71"/>
  <sheetViews>
    <sheetView showGridLines="0" workbookViewId="0">
      <pane xSplit="2" ySplit="2" topLeftCell="AE3" activePane="bottomRight" state="frozen"/>
      <selection pane="topRight" activeCell="C1" sqref="C1"/>
      <selection pane="bottomLeft" activeCell="A3" sqref="A3"/>
      <selection pane="bottomRight" activeCell="AG13" sqref="AG13"/>
    </sheetView>
  </sheetViews>
  <sheetFormatPr defaultRowHeight="14.4" x14ac:dyDescent="0.3"/>
  <cols>
    <col min="1" max="1" width="24.109375" bestFit="1" customWidth="1"/>
    <col min="2" max="2" width="24.109375" customWidth="1"/>
    <col min="3" max="31" width="9.77734375" customWidth="1"/>
    <col min="32" max="32" width="10" bestFit="1" customWidth="1"/>
    <col min="33" max="33" width="12.6640625" bestFit="1" customWidth="1"/>
    <col min="34" max="61" width="9" bestFit="1" customWidth="1"/>
    <col min="62" max="62" width="9.109375" bestFit="1" customWidth="1"/>
    <col min="63" max="75" width="9" bestFit="1" customWidth="1"/>
  </cols>
  <sheetData>
    <row r="1" spans="1:75" x14ac:dyDescent="0.3">
      <c r="C1" s="3" t="str">
        <f>'Receita Líquida - O&amp;G'!C1</f>
        <v>1T18</v>
      </c>
      <c r="D1" s="3" t="str">
        <f>'Receita Líquida - O&amp;G'!D1</f>
        <v>2T18</v>
      </c>
      <c r="E1" s="3" t="str">
        <f>'Receita Líquida - O&amp;G'!E1</f>
        <v>3T18</v>
      </c>
      <c r="F1" s="3" t="str">
        <f>'Receita Líquida - O&amp;G'!F1</f>
        <v>4T18</v>
      </c>
      <c r="G1" s="3">
        <f>'Receita Líquida - O&amp;G'!G1</f>
        <v>2018</v>
      </c>
      <c r="H1" s="3" t="str">
        <f>'Receita Líquida - O&amp;G'!H1</f>
        <v>1T19</v>
      </c>
      <c r="I1" s="3" t="str">
        <f>'Receita Líquida - O&amp;G'!I1</f>
        <v>2T19</v>
      </c>
      <c r="J1" s="3" t="str">
        <f>'Receita Líquida - O&amp;G'!J1</f>
        <v>3T19</v>
      </c>
      <c r="K1" s="3" t="str">
        <f>'Receita Líquida - O&amp;G'!K1</f>
        <v>4T19</v>
      </c>
      <c r="L1" s="3">
        <f>'Receita Líquida - O&amp;G'!L1</f>
        <v>2019</v>
      </c>
      <c r="M1" s="3" t="str">
        <f>'Receita Líquida - O&amp;G'!M1</f>
        <v>1T20</v>
      </c>
      <c r="N1" s="3" t="str">
        <f>'Receita Líquida - O&amp;G'!N1</f>
        <v>2T20</v>
      </c>
      <c r="O1" s="3" t="str">
        <f>'Receita Líquida - O&amp;G'!O1</f>
        <v>3T20</v>
      </c>
      <c r="P1" s="3" t="str">
        <f>'Receita Líquida - O&amp;G'!P1</f>
        <v>4T20</v>
      </c>
      <c r="Q1" s="3">
        <f>'Receita Líquida - O&amp;G'!Q1</f>
        <v>2020</v>
      </c>
      <c r="R1" s="3" t="str">
        <f>'Receita Líquida - O&amp;G'!R1</f>
        <v>1T21</v>
      </c>
      <c r="S1" s="3" t="str">
        <f>'Receita Líquida - O&amp;G'!S1</f>
        <v>2T21</v>
      </c>
      <c r="T1" s="3" t="str">
        <f>'Receita Líquida - O&amp;G'!T1</f>
        <v>3T21</v>
      </c>
      <c r="U1" s="3" t="str">
        <f>'Receita Líquida - O&amp;G'!U1</f>
        <v>4T21</v>
      </c>
      <c r="V1" s="3">
        <f>'Receita Líquida - O&amp;G'!V1</f>
        <v>2021</v>
      </c>
      <c r="W1" s="3" t="str">
        <f>'Receita Líquida - O&amp;G'!W1</f>
        <v>1T22</v>
      </c>
      <c r="X1" s="3" t="str">
        <f>'Receita Líquida - O&amp;G'!X1</f>
        <v>2T22</v>
      </c>
      <c r="Y1" s="3" t="str">
        <f>'Receita Líquida - O&amp;G'!Y1</f>
        <v>3T22</v>
      </c>
      <c r="Z1" s="3" t="str">
        <f>'Receita Líquida - O&amp;G'!Z1</f>
        <v>4T22</v>
      </c>
      <c r="AA1" s="3">
        <f>'Receita Líquida - O&amp;G'!AA1</f>
        <v>2022</v>
      </c>
      <c r="AB1" s="3" t="str">
        <f>'Receita Líquida - O&amp;G'!AB1</f>
        <v>1T23</v>
      </c>
      <c r="AC1" s="3" t="str">
        <f>'Receita Líquida - O&amp;G'!AC1</f>
        <v>2T23</v>
      </c>
      <c r="AD1" s="3" t="str">
        <f>'Receita Líquida - O&amp;G'!AD1</f>
        <v>3T23</v>
      </c>
      <c r="AE1" s="3" t="str">
        <f>'Receita Líquida - O&amp;G'!AE1</f>
        <v>4T23</v>
      </c>
      <c r="AF1" s="3">
        <v>2023</v>
      </c>
      <c r="AG1" s="3">
        <f>AF1+1</f>
        <v>2024</v>
      </c>
      <c r="AH1" s="3">
        <f t="shared" ref="AH1:BL1" si="0">AG1+1</f>
        <v>2025</v>
      </c>
      <c r="AI1" s="3">
        <f t="shared" si="0"/>
        <v>2026</v>
      </c>
      <c r="AJ1" s="3">
        <f t="shared" si="0"/>
        <v>2027</v>
      </c>
      <c r="AK1" s="3">
        <f t="shared" si="0"/>
        <v>2028</v>
      </c>
      <c r="AL1" s="3">
        <f t="shared" si="0"/>
        <v>2029</v>
      </c>
      <c r="AM1" s="3">
        <f t="shared" si="0"/>
        <v>2030</v>
      </c>
      <c r="AN1" s="3">
        <f t="shared" si="0"/>
        <v>2031</v>
      </c>
      <c r="AO1" s="3">
        <f t="shared" si="0"/>
        <v>2032</v>
      </c>
      <c r="AP1" s="3">
        <f t="shared" si="0"/>
        <v>2033</v>
      </c>
      <c r="AQ1" s="3">
        <f t="shared" si="0"/>
        <v>2034</v>
      </c>
      <c r="AR1" s="3">
        <f t="shared" si="0"/>
        <v>2035</v>
      </c>
      <c r="AS1" s="3">
        <f t="shared" si="0"/>
        <v>2036</v>
      </c>
      <c r="AT1" s="3">
        <f t="shared" si="0"/>
        <v>2037</v>
      </c>
      <c r="AU1" s="3">
        <f t="shared" si="0"/>
        <v>2038</v>
      </c>
      <c r="AV1" s="3">
        <f t="shared" si="0"/>
        <v>2039</v>
      </c>
      <c r="AW1" s="3">
        <f t="shared" si="0"/>
        <v>2040</v>
      </c>
      <c r="AX1" s="3">
        <f t="shared" si="0"/>
        <v>2041</v>
      </c>
      <c r="AY1" s="3">
        <f t="shared" si="0"/>
        <v>2042</v>
      </c>
      <c r="AZ1" s="3">
        <f t="shared" si="0"/>
        <v>2043</v>
      </c>
      <c r="BA1" s="3">
        <f t="shared" si="0"/>
        <v>2044</v>
      </c>
      <c r="BB1" s="3">
        <f t="shared" si="0"/>
        <v>2045</v>
      </c>
      <c r="BC1" s="3">
        <f t="shared" si="0"/>
        <v>2046</v>
      </c>
      <c r="BD1" s="3">
        <f t="shared" si="0"/>
        <v>2047</v>
      </c>
      <c r="BE1" s="3">
        <f t="shared" si="0"/>
        <v>2048</v>
      </c>
      <c r="BF1" s="3">
        <f t="shared" si="0"/>
        <v>2049</v>
      </c>
      <c r="BG1" s="3">
        <f t="shared" si="0"/>
        <v>2050</v>
      </c>
      <c r="BH1" s="3">
        <f t="shared" si="0"/>
        <v>2051</v>
      </c>
      <c r="BI1" s="3">
        <f t="shared" si="0"/>
        <v>2052</v>
      </c>
      <c r="BJ1" s="3">
        <f t="shared" si="0"/>
        <v>2053</v>
      </c>
      <c r="BK1" s="3">
        <f t="shared" si="0"/>
        <v>2054</v>
      </c>
      <c r="BL1" s="3">
        <f t="shared" si="0"/>
        <v>2055</v>
      </c>
      <c r="BM1" s="3">
        <f t="shared" ref="BM1:BW1" si="1">BL1+1</f>
        <v>2056</v>
      </c>
      <c r="BN1" s="3">
        <f t="shared" si="1"/>
        <v>2057</v>
      </c>
      <c r="BO1" s="3">
        <f t="shared" si="1"/>
        <v>2058</v>
      </c>
      <c r="BP1" s="3">
        <f t="shared" si="1"/>
        <v>2059</v>
      </c>
      <c r="BQ1" s="3">
        <f t="shared" si="1"/>
        <v>2060</v>
      </c>
      <c r="BR1" s="3">
        <f t="shared" si="1"/>
        <v>2061</v>
      </c>
      <c r="BS1" s="3">
        <f t="shared" si="1"/>
        <v>2062</v>
      </c>
      <c r="BT1" s="3">
        <f t="shared" si="1"/>
        <v>2063</v>
      </c>
      <c r="BU1" s="3">
        <f t="shared" si="1"/>
        <v>2064</v>
      </c>
      <c r="BV1" s="3">
        <f t="shared" si="1"/>
        <v>2065</v>
      </c>
      <c r="BW1" s="3">
        <f t="shared" si="1"/>
        <v>2066</v>
      </c>
    </row>
    <row r="3" spans="1:75" s="275" customFormat="1" ht="13.8" x14ac:dyDescent="0.3">
      <c r="A3" s="275" t="s">
        <v>1186</v>
      </c>
    </row>
    <row r="5" spans="1:75" x14ac:dyDescent="0.3">
      <c r="A5" s="6" t="s">
        <v>709</v>
      </c>
      <c r="B5" s="11"/>
      <c r="C5" s="11"/>
      <c r="D5" s="11"/>
      <c r="E5" s="11"/>
      <c r="F5" s="11"/>
      <c r="G5" s="11"/>
      <c r="H5" s="48">
        <f>'Receita Líquida - O&amp;G'!H33+'Receita Líquida - O&amp;G'!H73</f>
        <v>35.751538461538466</v>
      </c>
      <c r="I5" s="48">
        <f>'Receita Líquida - O&amp;G'!I33+'Receita Líquida - O&amp;G'!I73</f>
        <v>142.30519480519482</v>
      </c>
      <c r="J5" s="48">
        <f>'Receita Líquida - O&amp;G'!J33+'Receita Líquida - O&amp;G'!J73</f>
        <v>95.92427884615384</v>
      </c>
      <c r="K5" s="48">
        <f>'Receita Líquida - O&amp;G'!K33+'Receita Líquida - O&amp;G'!K73</f>
        <v>138.80472636815921</v>
      </c>
      <c r="L5" s="48">
        <f>'Receita Líquida - O&amp;G'!L33+'Receita Líquida - O&amp;G'!L73</f>
        <v>412.8929064657878</v>
      </c>
      <c r="M5" s="48">
        <f>'Receita Líquida - O&amp;G'!M33+'Receita Líquida - O&amp;G'!M73</f>
        <v>42.915769230769229</v>
      </c>
      <c r="N5" s="48">
        <f>'Receita Líquida - O&amp;G'!N33+'Receita Líquida - O&amp;G'!N73</f>
        <v>57.091956124314443</v>
      </c>
      <c r="O5" s="48">
        <f>'Receita Líquida - O&amp;G'!O33+'Receita Líquida - O&amp;G'!O73</f>
        <v>87.111408199643492</v>
      </c>
      <c r="P5" s="48">
        <f>'Receita Líquida - O&amp;G'!P33+'Receita Líquida - O&amp;G'!P73</f>
        <v>169.56358381502889</v>
      </c>
      <c r="Q5" s="48">
        <f>'Receita Líquida - O&amp;G'!Q33+'Receita Líquida - O&amp;G'!Q73</f>
        <v>354.76199347927337</v>
      </c>
      <c r="R5" s="48">
        <f>'Receita Líquida - O&amp;G'!R33+'Receita Líquida - O&amp;G'!R73</f>
        <v>114.97087719298244</v>
      </c>
      <c r="S5" s="48">
        <f>'Receita Líquida - O&amp;G'!S33+'Receita Líquida - O&amp;G'!S73</f>
        <v>204.56739999999999</v>
      </c>
      <c r="T5" s="48">
        <f>'Receita Líquida - O&amp;G'!T33+'Receita Líquida - O&amp;G'!T73</f>
        <v>172.70533088235294</v>
      </c>
      <c r="U5" s="48">
        <f>'Receita Líquida - O&amp;G'!U33+'Receita Líquida - O&amp;G'!U73</f>
        <v>318.69444444444446</v>
      </c>
      <c r="V5" s="48">
        <f>'Receita Líquida - O&amp;G'!V33+'Receita Líquida - O&amp;G'!V73</f>
        <v>810.88199999999995</v>
      </c>
      <c r="W5" s="48">
        <f>'Receita Líquida - O&amp;G'!W33+'Receita Líquida - O&amp;G'!W73</f>
        <v>309.67599999999999</v>
      </c>
      <c r="X5" s="48">
        <f>'Receita Líquida - O&amp;G'!X33+'Receita Líquida - O&amp;G'!X73</f>
        <v>377.33699999999999</v>
      </c>
      <c r="Y5" s="48">
        <f>'Receita Líquida - O&amp;G'!Y33+'Receita Líquida - O&amp;G'!Y73</f>
        <v>378.15499999999997</v>
      </c>
      <c r="Z5" s="48">
        <f>'Receita Líquida - O&amp;G'!Z33+'Receita Líquida - O&amp;G'!Z73</f>
        <v>184.49100000000001</v>
      </c>
      <c r="AA5" s="48">
        <f>'Receita Líquida - O&amp;G'!AA33+'Receita Líquida - O&amp;G'!AA73</f>
        <v>1249.6590000000001</v>
      </c>
      <c r="AB5" s="48">
        <f>'Receita Líquida - O&amp;G'!AB33+'Receita Líquida - O&amp;G'!AB73</f>
        <v>564.71600000000001</v>
      </c>
      <c r="AC5" s="48">
        <f>'Receita Líquida - O&amp;G'!AC33+'Receita Líquida - O&amp;G'!AC73</f>
        <v>532.49</v>
      </c>
      <c r="AD5" s="48">
        <f>'Receita Líquida - O&amp;G'!AD33+'Receita Líquida - O&amp;G'!AD73</f>
        <v>835.25300000000004</v>
      </c>
      <c r="AE5" s="48">
        <f>'Receita Líquida - O&amp;G'!AE33+'Receita Líquida - O&amp;G'!AE73</f>
        <v>690.65200000000004</v>
      </c>
      <c r="AF5" s="48">
        <f>'Receita Líquida - O&amp;G'!AF33+'Receita Líquida - O&amp;G'!AF73</f>
        <v>2623.1109999999999</v>
      </c>
      <c r="AG5" s="48">
        <f t="shared" ref="AG5:BL5" ca="1" si="2">SUM(AG6:AG9)</f>
        <v>3322.8022747931122</v>
      </c>
      <c r="AH5" s="48">
        <f t="shared" ca="1" si="2"/>
        <v>4064.6703560068627</v>
      </c>
      <c r="AI5" s="48">
        <f t="shared" ca="1" si="2"/>
        <v>4111.4890674404078</v>
      </c>
      <c r="AJ5" s="48">
        <f t="shared" ca="1" si="2"/>
        <v>4181.0429597101893</v>
      </c>
      <c r="AK5" s="48">
        <f t="shared" ca="1" si="2"/>
        <v>4030.047901429085</v>
      </c>
      <c r="AL5" s="48">
        <f t="shared" ca="1" si="2"/>
        <v>4035.1830748100656</v>
      </c>
      <c r="AM5" s="48">
        <f t="shared" ca="1" si="2"/>
        <v>3646.1358663882265</v>
      </c>
      <c r="AN5" s="48">
        <f t="shared" ca="1" si="2"/>
        <v>3089.5444428502542</v>
      </c>
      <c r="AO5" s="48">
        <f t="shared" ca="1" si="2"/>
        <v>2725.2564916599249</v>
      </c>
      <c r="AP5" s="48">
        <f t="shared" ca="1" si="2"/>
        <v>2429.0459855472845</v>
      </c>
      <c r="AQ5" s="48">
        <f t="shared" ca="1" si="2"/>
        <v>2181.842445941817</v>
      </c>
      <c r="AR5" s="48">
        <f t="shared" ca="1" si="2"/>
        <v>1935.7858466963717</v>
      </c>
      <c r="AS5" s="48">
        <f t="shared" ca="1" si="2"/>
        <v>1692.3593038659556</v>
      </c>
      <c r="AT5" s="48">
        <f t="shared" ca="1" si="2"/>
        <v>1486.1830808637387</v>
      </c>
      <c r="AU5" s="48">
        <f t="shared" ca="1" si="2"/>
        <v>1336.6590439447857</v>
      </c>
      <c r="AV5" s="48">
        <f t="shared" ca="1" si="2"/>
        <v>1208.318873284345</v>
      </c>
      <c r="AW5" s="48">
        <f t="shared" ca="1" si="2"/>
        <v>971.26783990088416</v>
      </c>
      <c r="AX5" s="48">
        <f t="shared" ca="1" si="2"/>
        <v>868.04175795398737</v>
      </c>
      <c r="AY5" s="48">
        <f t="shared" ca="1" si="2"/>
        <v>778.11846778937866</v>
      </c>
      <c r="AZ5" s="48">
        <f t="shared" ca="1" si="2"/>
        <v>694.2255719190415</v>
      </c>
      <c r="BA5" s="48">
        <f t="shared" ca="1" si="2"/>
        <v>628.99515093308639</v>
      </c>
      <c r="BB5" s="48">
        <f t="shared" ca="1" si="2"/>
        <v>557.43779803591178</v>
      </c>
      <c r="BC5" s="48">
        <f t="shared" ca="1" si="2"/>
        <v>515.25763622306044</v>
      </c>
      <c r="BD5" s="48">
        <f t="shared" ca="1" si="2"/>
        <v>481.82758464931192</v>
      </c>
      <c r="BE5" s="48">
        <f t="shared" ca="1" si="2"/>
        <v>453.41149760923429</v>
      </c>
      <c r="BF5" s="48">
        <f t="shared" ca="1" si="2"/>
        <v>405.27722030098857</v>
      </c>
      <c r="BG5" s="48">
        <f t="shared" ca="1" si="2"/>
        <v>376.91804373119436</v>
      </c>
      <c r="BH5" s="48">
        <f t="shared" ca="1" si="2"/>
        <v>357.99007388270348</v>
      </c>
      <c r="BI5" s="48">
        <f t="shared" ca="1" si="2"/>
        <v>229.0822361215188</v>
      </c>
      <c r="BJ5" s="48">
        <f t="shared" ca="1" si="2"/>
        <v>0</v>
      </c>
      <c r="BK5" s="48">
        <f t="shared" ca="1" si="2"/>
        <v>0</v>
      </c>
      <c r="BL5" s="48">
        <f t="shared" ca="1" si="2"/>
        <v>0</v>
      </c>
      <c r="BM5" s="48">
        <f t="shared" ref="BM5:BW5" ca="1" si="3">SUM(BM6:BM9)</f>
        <v>0</v>
      </c>
      <c r="BN5" s="48">
        <f t="shared" ca="1" si="3"/>
        <v>0</v>
      </c>
      <c r="BO5" s="48">
        <f t="shared" ca="1" si="3"/>
        <v>0</v>
      </c>
      <c r="BP5" s="48">
        <f t="shared" ca="1" si="3"/>
        <v>0</v>
      </c>
      <c r="BQ5" s="48">
        <f t="shared" ca="1" si="3"/>
        <v>0</v>
      </c>
      <c r="BR5" s="48">
        <f t="shared" ca="1" si="3"/>
        <v>0</v>
      </c>
      <c r="BS5" s="48">
        <f t="shared" ca="1" si="3"/>
        <v>0</v>
      </c>
      <c r="BT5" s="48">
        <f t="shared" ca="1" si="3"/>
        <v>0</v>
      </c>
      <c r="BU5" s="48">
        <f t="shared" ca="1" si="3"/>
        <v>0</v>
      </c>
      <c r="BV5" s="48">
        <f t="shared" ca="1" si="3"/>
        <v>0</v>
      </c>
      <c r="BW5" s="48">
        <f t="shared" ca="1" si="3"/>
        <v>0</v>
      </c>
    </row>
    <row r="6" spans="1:75" x14ac:dyDescent="0.3">
      <c r="A6" s="5" t="s">
        <v>64</v>
      </c>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51">
        <f ca="1">'Receita Líquida - O&amp;G'!AG34+'Receita Líquida - O&amp;G'!AG74</f>
        <v>1888.933764756908</v>
      </c>
      <c r="AH6" s="51">
        <f ca="1">'Receita Líquida - O&amp;G'!AH34+'Receita Líquida - O&amp;G'!AH74</f>
        <v>2149.2791652702504</v>
      </c>
      <c r="AI6" s="51">
        <f ca="1">'Receita Líquida - O&amp;G'!AI34+'Receita Líquida - O&amp;G'!AI74</f>
        <v>1851.6573607830051</v>
      </c>
      <c r="AJ6" s="51">
        <f ca="1">'Receita Líquida - O&amp;G'!AJ34+'Receita Líquida - O&amp;G'!AJ74</f>
        <v>1637.9764648465825</v>
      </c>
      <c r="AK6" s="51">
        <f ca="1">'Receita Líquida - O&amp;G'!AK34+'Receita Líquida - O&amp;G'!AK74</f>
        <v>1471.78374040821</v>
      </c>
      <c r="AL6" s="51">
        <f ca="1">'Receita Líquida - O&amp;G'!AL34+'Receita Líquida - O&amp;G'!AL74</f>
        <v>1277.4428942514162</v>
      </c>
      <c r="AM6" s="51">
        <f ca="1">'Receita Líquida - O&amp;G'!AM34+'Receita Líquida - O&amp;G'!AM74</f>
        <v>1042.7258641736014</v>
      </c>
      <c r="AN6" s="51">
        <f ca="1">'Receita Líquida - O&amp;G'!AN34+'Receita Líquida - O&amp;G'!AN74</f>
        <v>869.12860543994464</v>
      </c>
      <c r="AO6" s="51">
        <f ca="1">'Receita Líquida - O&amp;G'!AO34+'Receita Líquida - O&amp;G'!AO74</f>
        <v>779.50341111936723</v>
      </c>
      <c r="AP6" s="51">
        <f ca="1">'Receita Líquida - O&amp;G'!AP34+'Receita Líquida - O&amp;G'!AP74</f>
        <v>728.28390419233369</v>
      </c>
      <c r="AQ6" s="51">
        <f ca="1">'Receita Líquida - O&amp;G'!AQ34+'Receita Líquida - O&amp;G'!AQ74</f>
        <v>687.43787904268186</v>
      </c>
      <c r="AR6" s="51">
        <f ca="1">'Receita Líquida - O&amp;G'!AR34+'Receita Líquida - O&amp;G'!AR74</f>
        <v>632.33704461428363</v>
      </c>
      <c r="AS6" s="51">
        <f ca="1">'Receita Líquida - O&amp;G'!AS34+'Receita Líquida - O&amp;G'!AS74</f>
        <v>545.27503816805472</v>
      </c>
      <c r="AT6" s="51">
        <f ca="1">'Receita Líquida - O&amp;G'!AT34+'Receita Líquida - O&amp;G'!AT74</f>
        <v>480.01411565022335</v>
      </c>
      <c r="AU6" s="51">
        <f ca="1">'Receita Líquida - O&amp;G'!AU34+'Receita Líquida - O&amp;G'!AU74</f>
        <v>435.67362877641409</v>
      </c>
      <c r="AV6" s="51">
        <f ca="1">'Receita Líquida - O&amp;G'!AV34+'Receita Líquida - O&amp;G'!AV74</f>
        <v>393.08468101205131</v>
      </c>
      <c r="AW6" s="51">
        <f ca="1">'Receita Líquida - O&amp;G'!AW34+'Receita Líquida - O&amp;G'!AW74</f>
        <v>362.73452478126546</v>
      </c>
      <c r="AX6" s="51">
        <f ca="1">'Receita Líquida - O&amp;G'!AX34+'Receita Líquida - O&amp;G'!AX74</f>
        <v>334.49747714914696</v>
      </c>
      <c r="AY6" s="51">
        <f ca="1">'Receita Líquida - O&amp;G'!AY34+'Receita Líquida - O&amp;G'!AY74</f>
        <v>310.77149330484696</v>
      </c>
      <c r="AZ6" s="51">
        <f ca="1">'Receita Líquida - O&amp;G'!AZ34+'Receita Líquida - O&amp;G'!AZ74</f>
        <v>290.00931268831039</v>
      </c>
      <c r="BA6" s="51">
        <f ca="1">'Receita Líquida - O&amp;G'!BA34+'Receita Líquida - O&amp;G'!BA74</f>
        <v>273.10783972094043</v>
      </c>
      <c r="BB6" s="51">
        <f ca="1">'Receita Líquida - O&amp;G'!BB34+'Receita Líquida - O&amp;G'!BB74</f>
        <v>253.74779594424891</v>
      </c>
      <c r="BC6" s="51">
        <f ca="1">'Receita Líquida - O&amp;G'!BC34+'Receita Líquida - O&amp;G'!BC74</f>
        <v>239.94559989523853</v>
      </c>
      <c r="BD6" s="51">
        <f ca="1">'Receita Líquida - O&amp;G'!BD34+'Receita Líquida - O&amp;G'!BD74</f>
        <v>228.22745124711091</v>
      </c>
      <c r="BE6" s="51">
        <f ca="1">'Receita Líquida - O&amp;G'!BE34+'Receita Líquida - O&amp;G'!BE74</f>
        <v>218.36466718841928</v>
      </c>
      <c r="BF6" s="51">
        <f ca="1">'Receita Líquida - O&amp;G'!BF34+'Receita Líquida - O&amp;G'!BF74</f>
        <v>207.92113962723403</v>
      </c>
      <c r="BG6" s="51">
        <f ca="1">'Receita Líquida - O&amp;G'!BG34+'Receita Líquida - O&amp;G'!BG74</f>
        <v>198.90932475352759</v>
      </c>
      <c r="BH6" s="51">
        <f ca="1">'Receita Líquida - O&amp;G'!BH34+'Receita Líquida - O&amp;G'!BH74</f>
        <v>190.63919021898462</v>
      </c>
      <c r="BI6" s="51">
        <f ca="1">'Receita Líquida - O&amp;G'!BI34+'Receita Líquida - O&amp;G'!BI74</f>
        <v>132.28779372677582</v>
      </c>
      <c r="BJ6" s="51">
        <f ca="1">'Receita Líquida - O&amp;G'!BJ34+'Receita Líquida - O&amp;G'!BJ74</f>
        <v>0</v>
      </c>
      <c r="BK6" s="51">
        <f ca="1">'Receita Líquida - O&amp;G'!BK34+'Receita Líquida - O&amp;G'!BK74</f>
        <v>0</v>
      </c>
      <c r="BL6" s="51">
        <f ca="1">'Receita Líquida - O&amp;G'!BL34+'Receita Líquida - O&amp;G'!BL74</f>
        <v>0</v>
      </c>
      <c r="BM6" s="51">
        <f ca="1">'Receita Líquida - O&amp;G'!BM34+'Receita Líquida - O&amp;G'!BM74</f>
        <v>0</v>
      </c>
      <c r="BN6" s="51">
        <f ca="1">'Receita Líquida - O&amp;G'!BN34+'Receita Líquida - O&amp;G'!BN74</f>
        <v>0</v>
      </c>
      <c r="BO6" s="51">
        <f ca="1">'Receita Líquida - O&amp;G'!BO34+'Receita Líquida - O&amp;G'!BO74</f>
        <v>0</v>
      </c>
      <c r="BP6" s="51">
        <f ca="1">'Receita Líquida - O&amp;G'!BP34+'Receita Líquida - O&amp;G'!BP74</f>
        <v>0</v>
      </c>
      <c r="BQ6" s="51">
        <f ca="1">'Receita Líquida - O&amp;G'!BQ34+'Receita Líquida - O&amp;G'!BQ74</f>
        <v>0</v>
      </c>
      <c r="BR6" s="51">
        <f ca="1">'Receita Líquida - O&amp;G'!BR34+'Receita Líquida - O&amp;G'!BR74</f>
        <v>0</v>
      </c>
      <c r="BS6" s="51">
        <f ca="1">'Receita Líquida - O&amp;G'!BS34+'Receita Líquida - O&amp;G'!BS74</f>
        <v>0</v>
      </c>
      <c r="BT6" s="51">
        <f ca="1">'Receita Líquida - O&amp;G'!BT34+'Receita Líquida - O&amp;G'!BT74</f>
        <v>0</v>
      </c>
      <c r="BU6" s="51">
        <f ca="1">'Receita Líquida - O&amp;G'!BU34+'Receita Líquida - O&amp;G'!BU74</f>
        <v>0</v>
      </c>
      <c r="BV6" s="51">
        <f ca="1">'Receita Líquida - O&amp;G'!BV34+'Receita Líquida - O&amp;G'!BV74</f>
        <v>0</v>
      </c>
      <c r="BW6" s="51">
        <f ca="1">'Receita Líquida - O&amp;G'!BW34+'Receita Líquida - O&amp;G'!BW74</f>
        <v>0</v>
      </c>
    </row>
    <row r="7" spans="1:75" x14ac:dyDescent="0.3">
      <c r="A7" s="5" t="s">
        <v>65</v>
      </c>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51">
        <f>'Receita Líquida - O&amp;G'!AG35+'Receita Líquida - O&amp;G'!AG75</f>
        <v>0</v>
      </c>
      <c r="AH7" s="51">
        <f>'Receita Líquida - O&amp;G'!AH35+'Receita Líquida - O&amp;G'!AH75</f>
        <v>0</v>
      </c>
      <c r="AI7" s="51">
        <f>'Receita Líquida - O&amp;G'!AI35+'Receita Líquida - O&amp;G'!AI75</f>
        <v>0</v>
      </c>
      <c r="AJ7" s="51">
        <f>'Receita Líquida - O&amp;G'!AJ35+'Receita Líquida - O&amp;G'!AJ75</f>
        <v>0</v>
      </c>
      <c r="AK7" s="51">
        <f>'Receita Líquida - O&amp;G'!AK35+'Receita Líquida - O&amp;G'!AK75</f>
        <v>0</v>
      </c>
      <c r="AL7" s="51">
        <f>'Receita Líquida - O&amp;G'!AL35+'Receita Líquida - O&amp;G'!AL75</f>
        <v>0</v>
      </c>
      <c r="AM7" s="51">
        <f>'Receita Líquida - O&amp;G'!AM35+'Receita Líquida - O&amp;G'!AM75</f>
        <v>0</v>
      </c>
      <c r="AN7" s="51">
        <f>'Receita Líquida - O&amp;G'!AN35+'Receita Líquida - O&amp;G'!AN75</f>
        <v>0</v>
      </c>
      <c r="AO7" s="51">
        <f>'Receita Líquida - O&amp;G'!AO35+'Receita Líquida - O&amp;G'!AO75</f>
        <v>0</v>
      </c>
      <c r="AP7" s="51">
        <f>'Receita Líquida - O&amp;G'!AP35+'Receita Líquida - O&amp;G'!AP75</f>
        <v>0</v>
      </c>
      <c r="AQ7" s="51">
        <f>'Receita Líquida - O&amp;G'!AQ35+'Receita Líquida - O&amp;G'!AQ75</f>
        <v>0</v>
      </c>
      <c r="AR7" s="51">
        <f>'Receita Líquida - O&amp;G'!AR35+'Receita Líquida - O&amp;G'!AR75</f>
        <v>0</v>
      </c>
      <c r="AS7" s="51">
        <f>'Receita Líquida - O&amp;G'!AS35+'Receita Líquida - O&amp;G'!AS75</f>
        <v>0</v>
      </c>
      <c r="AT7" s="51">
        <f>'Receita Líquida - O&amp;G'!AT35+'Receita Líquida - O&amp;G'!AT75</f>
        <v>0</v>
      </c>
      <c r="AU7" s="51">
        <f>'Receita Líquida - O&amp;G'!AU35+'Receita Líquida - O&amp;G'!AU75</f>
        <v>0</v>
      </c>
      <c r="AV7" s="51">
        <f>'Receita Líquida - O&amp;G'!AV35+'Receita Líquida - O&amp;G'!AV75</f>
        <v>0</v>
      </c>
      <c r="AW7" s="51">
        <f>'Receita Líquida - O&amp;G'!AW35+'Receita Líquida - O&amp;G'!AW75</f>
        <v>0</v>
      </c>
      <c r="AX7" s="51">
        <f>'Receita Líquida - O&amp;G'!AX35+'Receita Líquida - O&amp;G'!AX75</f>
        <v>0</v>
      </c>
      <c r="AY7" s="51">
        <f>'Receita Líquida - O&amp;G'!AY35+'Receita Líquida - O&amp;G'!AY75</f>
        <v>0</v>
      </c>
      <c r="AZ7" s="51">
        <f>'Receita Líquida - O&amp;G'!AZ35+'Receita Líquida - O&amp;G'!AZ75</f>
        <v>0</v>
      </c>
      <c r="BA7" s="51">
        <f>'Receita Líquida - O&amp;G'!BA35+'Receita Líquida - O&amp;G'!BA75</f>
        <v>0</v>
      </c>
      <c r="BB7" s="51">
        <f>'Receita Líquida - O&amp;G'!BB35+'Receita Líquida - O&amp;G'!BB75</f>
        <v>0</v>
      </c>
      <c r="BC7" s="51">
        <f>'Receita Líquida - O&amp;G'!BC35+'Receita Líquida - O&amp;G'!BC75</f>
        <v>0</v>
      </c>
      <c r="BD7" s="51">
        <f>'Receita Líquida - O&amp;G'!BD35+'Receita Líquida - O&amp;G'!BD75</f>
        <v>0</v>
      </c>
      <c r="BE7" s="51">
        <f>'Receita Líquida - O&amp;G'!BE35+'Receita Líquida - O&amp;G'!BE75</f>
        <v>0</v>
      </c>
      <c r="BF7" s="51">
        <f>'Receita Líquida - O&amp;G'!BF35+'Receita Líquida - O&amp;G'!BF75</f>
        <v>0</v>
      </c>
      <c r="BG7" s="51">
        <f>'Receita Líquida - O&amp;G'!BG35+'Receita Líquida - O&amp;G'!BG75</f>
        <v>0</v>
      </c>
      <c r="BH7" s="51">
        <f>'Receita Líquida - O&amp;G'!BH35+'Receita Líquida - O&amp;G'!BH75</f>
        <v>0</v>
      </c>
      <c r="BI7" s="51">
        <f>'Receita Líquida - O&amp;G'!BI35+'Receita Líquida - O&amp;G'!BI75</f>
        <v>0</v>
      </c>
      <c r="BJ7" s="51">
        <f>'Receita Líquida - O&amp;G'!BJ35+'Receita Líquida - O&amp;G'!BJ75</f>
        <v>0</v>
      </c>
      <c r="BK7" s="51">
        <f>'Receita Líquida - O&amp;G'!BK35+'Receita Líquida - O&amp;G'!BK75</f>
        <v>0</v>
      </c>
      <c r="BL7" s="51">
        <f>'Receita Líquida - O&amp;G'!BL35+'Receita Líquida - O&amp;G'!BL75</f>
        <v>0</v>
      </c>
      <c r="BM7" s="51">
        <f>'Receita Líquida - O&amp;G'!BM35+'Receita Líquida - O&amp;G'!BM75</f>
        <v>0</v>
      </c>
      <c r="BN7" s="51">
        <f>'Receita Líquida - O&amp;G'!BN35+'Receita Líquida - O&amp;G'!BN75</f>
        <v>0</v>
      </c>
      <c r="BO7" s="51">
        <f>'Receita Líquida - O&amp;G'!BO35+'Receita Líquida - O&amp;G'!BO75</f>
        <v>0</v>
      </c>
      <c r="BP7" s="51">
        <f>'Receita Líquida - O&amp;G'!BP35+'Receita Líquida - O&amp;G'!BP75</f>
        <v>0</v>
      </c>
      <c r="BQ7" s="51">
        <f>'Receita Líquida - O&amp;G'!BQ35+'Receita Líquida - O&amp;G'!BQ75</f>
        <v>0</v>
      </c>
      <c r="BR7" s="51">
        <f>'Receita Líquida - O&amp;G'!BR35+'Receita Líquida - O&amp;G'!BR75</f>
        <v>0</v>
      </c>
      <c r="BS7" s="51">
        <f>'Receita Líquida - O&amp;G'!BS35+'Receita Líquida - O&amp;G'!BS75</f>
        <v>0</v>
      </c>
      <c r="BT7" s="51">
        <f>'Receita Líquida - O&amp;G'!BT35+'Receita Líquida - O&amp;G'!BT75</f>
        <v>0</v>
      </c>
      <c r="BU7" s="51">
        <f>'Receita Líquida - O&amp;G'!BU35+'Receita Líquida - O&amp;G'!BU75</f>
        <v>0</v>
      </c>
      <c r="BV7" s="51">
        <f>'Receita Líquida - O&amp;G'!BV35+'Receita Líquida - O&amp;G'!BV75</f>
        <v>0</v>
      </c>
      <c r="BW7" s="51">
        <f>'Receita Líquida - O&amp;G'!BW35+'Receita Líquida - O&amp;G'!BW75</f>
        <v>0</v>
      </c>
    </row>
    <row r="8" spans="1:75" x14ac:dyDescent="0.3">
      <c r="A8" s="5" t="s">
        <v>67</v>
      </c>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51">
        <f ca="1">'Receita Líquida - O&amp;G'!AG36+'Receita Líquida - O&amp;G'!AG76</f>
        <v>468.51541777777777</v>
      </c>
      <c r="AH8" s="51">
        <f ca="1">'Receita Líquida - O&amp;G'!AH36+'Receita Líquida - O&amp;G'!AH76</f>
        <v>490.3490666666666</v>
      </c>
      <c r="AI8" s="51">
        <f ca="1">'Receita Líquida - O&amp;G'!AI36+'Receita Líquida - O&amp;G'!AI76</f>
        <v>459.56265480000002</v>
      </c>
      <c r="AJ8" s="51">
        <f ca="1">'Receita Líquida - O&amp;G'!AJ36+'Receita Líquida - O&amp;G'!AJ76</f>
        <v>430.48868635733339</v>
      </c>
      <c r="AK8" s="51">
        <f ca="1">'Receita Líquida - O&amp;G'!AK36+'Receita Líquida - O&amp;G'!AK76</f>
        <v>376.78040093311995</v>
      </c>
      <c r="AL8" s="51">
        <f ca="1">'Receita Líquida - O&amp;G'!AL36+'Receita Líquida - O&amp;G'!AL76</f>
        <v>332.04348857296316</v>
      </c>
      <c r="AM8" s="51">
        <f ca="1">'Receita Líquida - O&amp;G'!AM36+'Receita Líquida - O&amp;G'!AM76</f>
        <v>297.06274590670085</v>
      </c>
      <c r="AN8" s="51">
        <f ca="1">'Receita Líquida - O&amp;G'!AN36+'Receita Líquida - O&amp;G'!AN76</f>
        <v>265.23103255823816</v>
      </c>
      <c r="AO8" s="51">
        <f ca="1">'Receita Líquida - O&amp;G'!AO36+'Receita Líquida - O&amp;G'!AO76</f>
        <v>243.41428446660558</v>
      </c>
      <c r="AP8" s="51">
        <f ca="1">'Receita Líquida - O&amp;G'!AP36+'Receita Líquida - O&amp;G'!AP76</f>
        <v>221.86364486357886</v>
      </c>
      <c r="AQ8" s="51">
        <f ca="1">'Receita Líquida - O&amp;G'!AQ36+'Receita Líquida - O&amp;G'!AQ76</f>
        <v>204.29160156964551</v>
      </c>
      <c r="AR8" s="51">
        <f ca="1">'Receita Líquida - O&amp;G'!AR36+'Receita Líquida - O&amp;G'!AR76</f>
        <v>187.29504822634772</v>
      </c>
      <c r="AS8" s="51">
        <f ca="1">'Receita Líquida - O&amp;G'!AS36+'Receita Líquida - O&amp;G'!AS76</f>
        <v>172.61940549248453</v>
      </c>
      <c r="AT8" s="51">
        <f ca="1">'Receita Líquida - O&amp;G'!AT36+'Receita Líquida - O&amp;G'!AT76</f>
        <v>158.7041677027843</v>
      </c>
      <c r="AU8" s="51">
        <f ca="1">'Receita Líquida - O&amp;G'!AU36+'Receita Líquida - O&amp;G'!AU76</f>
        <v>145.61406828556312</v>
      </c>
      <c r="AV8" s="51">
        <f ca="1">'Receita Líquida - O&amp;G'!AV36+'Receita Líquida - O&amp;G'!AV76</f>
        <v>134.81862152404611</v>
      </c>
      <c r="AW8" s="51">
        <f ca="1">'Receita Líquida - O&amp;G'!AW36+'Receita Líquida - O&amp;G'!AW76</f>
        <v>0</v>
      </c>
      <c r="AX8" s="51">
        <f ca="1">'Receita Líquida - O&amp;G'!AX36+'Receita Líquida - O&amp;G'!AX76</f>
        <v>0</v>
      </c>
      <c r="AY8" s="51">
        <f ca="1">'Receita Líquida - O&amp;G'!AY36+'Receita Líquida - O&amp;G'!AY76</f>
        <v>0</v>
      </c>
      <c r="AZ8" s="51">
        <f ca="1">'Receita Líquida - O&amp;G'!AZ36+'Receita Líquida - O&amp;G'!AZ76</f>
        <v>0</v>
      </c>
      <c r="BA8" s="51">
        <f ca="1">'Receita Líquida - O&amp;G'!BA36+'Receita Líquida - O&amp;G'!BA76</f>
        <v>0</v>
      </c>
      <c r="BB8" s="51">
        <f ca="1">'Receita Líquida - O&amp;G'!BB36+'Receita Líquida - O&amp;G'!BB76</f>
        <v>0</v>
      </c>
      <c r="BC8" s="51">
        <f ca="1">'Receita Líquida - O&amp;G'!BC36+'Receita Líquida - O&amp;G'!BC76</f>
        <v>0</v>
      </c>
      <c r="BD8" s="51">
        <f ca="1">'Receita Líquida - O&amp;G'!BD36+'Receita Líquida - O&amp;G'!BD76</f>
        <v>0</v>
      </c>
      <c r="BE8" s="51">
        <f ca="1">'Receita Líquida - O&amp;G'!BE36+'Receita Líquida - O&amp;G'!BE76</f>
        <v>0</v>
      </c>
      <c r="BF8" s="51">
        <f ca="1">'Receita Líquida - O&amp;G'!BF36+'Receita Líquida - O&amp;G'!BF76</f>
        <v>0</v>
      </c>
      <c r="BG8" s="51">
        <f ca="1">'Receita Líquida - O&amp;G'!BG36+'Receita Líquida - O&amp;G'!BG76</f>
        <v>0</v>
      </c>
      <c r="BH8" s="51">
        <f ca="1">'Receita Líquida - O&amp;G'!BH36+'Receita Líquida - O&amp;G'!BH76</f>
        <v>0</v>
      </c>
      <c r="BI8" s="51">
        <f ca="1">'Receita Líquida - O&amp;G'!BI36+'Receita Líquida - O&amp;G'!BI76</f>
        <v>0</v>
      </c>
      <c r="BJ8" s="51">
        <f ca="1">'Receita Líquida - O&amp;G'!BJ36+'Receita Líquida - O&amp;G'!BJ76</f>
        <v>0</v>
      </c>
      <c r="BK8" s="51">
        <f ca="1">'Receita Líquida - O&amp;G'!BK36+'Receita Líquida - O&amp;G'!BK76</f>
        <v>0</v>
      </c>
      <c r="BL8" s="51">
        <f ca="1">'Receita Líquida - O&amp;G'!BL36+'Receita Líquida - O&amp;G'!BL76</f>
        <v>0</v>
      </c>
      <c r="BM8" s="51">
        <f ca="1">'Receita Líquida - O&amp;G'!BM36+'Receita Líquida - O&amp;G'!BM76</f>
        <v>0</v>
      </c>
      <c r="BN8" s="51">
        <f ca="1">'Receita Líquida - O&amp;G'!BN36+'Receita Líquida - O&amp;G'!BN76</f>
        <v>0</v>
      </c>
      <c r="BO8" s="51">
        <f ca="1">'Receita Líquida - O&amp;G'!BO36+'Receita Líquida - O&amp;G'!BO76</f>
        <v>0</v>
      </c>
      <c r="BP8" s="51">
        <f ca="1">'Receita Líquida - O&amp;G'!BP36+'Receita Líquida - O&amp;G'!BP76</f>
        <v>0</v>
      </c>
      <c r="BQ8" s="51">
        <f ca="1">'Receita Líquida - O&amp;G'!BQ36+'Receita Líquida - O&amp;G'!BQ76</f>
        <v>0</v>
      </c>
      <c r="BR8" s="51">
        <f ca="1">'Receita Líquida - O&amp;G'!BR36+'Receita Líquida - O&amp;G'!BR76</f>
        <v>0</v>
      </c>
      <c r="BS8" s="51">
        <f ca="1">'Receita Líquida - O&amp;G'!BS36+'Receita Líquida - O&amp;G'!BS76</f>
        <v>0</v>
      </c>
      <c r="BT8" s="51">
        <f ca="1">'Receita Líquida - O&amp;G'!BT36+'Receita Líquida - O&amp;G'!BT76</f>
        <v>0</v>
      </c>
      <c r="BU8" s="51">
        <f ca="1">'Receita Líquida - O&amp;G'!BU36+'Receita Líquida - O&amp;G'!BU76</f>
        <v>0</v>
      </c>
      <c r="BV8" s="51">
        <f ca="1">'Receita Líquida - O&amp;G'!BV36+'Receita Líquida - O&amp;G'!BV76</f>
        <v>0</v>
      </c>
      <c r="BW8" s="51">
        <f ca="1">'Receita Líquida - O&amp;G'!BW36+'Receita Líquida - O&amp;G'!BW76</f>
        <v>0</v>
      </c>
    </row>
    <row r="9" spans="1:75" x14ac:dyDescent="0.3">
      <c r="A9" s="5" t="s">
        <v>66</v>
      </c>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51">
        <f ca="1">'Receita Líquida - O&amp;G'!AG37+'Receita Líquida - O&amp;G'!AG77</f>
        <v>965.35309225842627</v>
      </c>
      <c r="AH9" s="51">
        <f ca="1">'Receita Líquida - O&amp;G'!AH37+'Receita Líquida - O&amp;G'!AH77</f>
        <v>1425.0421240699454</v>
      </c>
      <c r="AI9" s="51">
        <f ca="1">'Receita Líquida - O&amp;G'!AI37+'Receita Líquida - O&amp;G'!AI77</f>
        <v>1800.2690518574027</v>
      </c>
      <c r="AJ9" s="51">
        <f ca="1">'Receita Líquida - O&amp;G'!AJ37+'Receita Líquida - O&amp;G'!AJ77</f>
        <v>2112.5778085062734</v>
      </c>
      <c r="AK9" s="51">
        <f ca="1">'Receita Líquida - O&amp;G'!AK37+'Receita Líquida - O&amp;G'!AK77</f>
        <v>2181.4837600877549</v>
      </c>
      <c r="AL9" s="51">
        <f ca="1">'Receita Líquida - O&amp;G'!AL37+'Receita Líquida - O&amp;G'!AL77</f>
        <v>2425.6966919856864</v>
      </c>
      <c r="AM9" s="51">
        <f ca="1">'Receita Líquida - O&amp;G'!AM37+'Receita Líquida - O&amp;G'!AM77</f>
        <v>2306.347256307924</v>
      </c>
      <c r="AN9" s="51">
        <f ca="1">'Receita Líquida - O&amp;G'!AN37+'Receita Líquida - O&amp;G'!AN77</f>
        <v>1955.1848048520717</v>
      </c>
      <c r="AO9" s="51">
        <f ca="1">'Receita Líquida - O&amp;G'!AO37+'Receita Líquida - O&amp;G'!AO77</f>
        <v>1702.3387960739522</v>
      </c>
      <c r="AP9" s="51">
        <f ca="1">'Receita Líquida - O&amp;G'!AP37+'Receita Líquida - O&amp;G'!AP77</f>
        <v>1478.898436491372</v>
      </c>
      <c r="AQ9" s="51">
        <f ca="1">'Receita Líquida - O&amp;G'!AQ37+'Receita Líquida - O&amp;G'!AQ77</f>
        <v>1290.1129653294895</v>
      </c>
      <c r="AR9" s="51">
        <f ca="1">'Receita Líquida - O&amp;G'!AR37+'Receita Líquida - O&amp;G'!AR77</f>
        <v>1116.1537538557404</v>
      </c>
      <c r="AS9" s="51">
        <f ca="1">'Receita Líquida - O&amp;G'!AS37+'Receita Líquida - O&amp;G'!AS77</f>
        <v>974.46486020541636</v>
      </c>
      <c r="AT9" s="51">
        <f ca="1">'Receita Líquida - O&amp;G'!AT37+'Receita Líquida - O&amp;G'!AT77</f>
        <v>847.46479751073093</v>
      </c>
      <c r="AU9" s="51">
        <f ca="1">'Receita Líquida - O&amp;G'!AU37+'Receita Líquida - O&amp;G'!AU77</f>
        <v>755.37134688280844</v>
      </c>
      <c r="AV9" s="51">
        <f ca="1">'Receita Líquida - O&amp;G'!AV37+'Receita Líquida - O&amp;G'!AV77</f>
        <v>680.41557074824777</v>
      </c>
      <c r="AW9" s="51">
        <f ca="1">'Receita Líquida - O&amp;G'!AW37+'Receita Líquida - O&amp;G'!AW77</f>
        <v>608.53331511961869</v>
      </c>
      <c r="AX9" s="51">
        <f ca="1">'Receita Líquida - O&amp;G'!AX37+'Receita Líquida - O&amp;G'!AX77</f>
        <v>533.54428080484035</v>
      </c>
      <c r="AY9" s="51">
        <f ca="1">'Receita Líquida - O&amp;G'!AY37+'Receita Líquida - O&amp;G'!AY77</f>
        <v>467.34697448453176</v>
      </c>
      <c r="AZ9" s="51">
        <f ca="1">'Receita Líquida - O&amp;G'!AZ37+'Receita Líquida - O&amp;G'!AZ77</f>
        <v>404.21625923073111</v>
      </c>
      <c r="BA9" s="51">
        <f ca="1">'Receita Líquida - O&amp;G'!BA37+'Receita Líquida - O&amp;G'!BA77</f>
        <v>355.88731121214596</v>
      </c>
      <c r="BB9" s="51">
        <f ca="1">'Receita Líquida - O&amp;G'!BB37+'Receita Líquida - O&amp;G'!BB77</f>
        <v>303.6900020916629</v>
      </c>
      <c r="BC9" s="51">
        <f ca="1">'Receita Líquida - O&amp;G'!BC37+'Receita Líquida - O&amp;G'!BC77</f>
        <v>275.31203632782194</v>
      </c>
      <c r="BD9" s="51">
        <f ca="1">'Receita Líquida - O&amp;G'!BD37+'Receita Líquida - O&amp;G'!BD77</f>
        <v>253.60013340220098</v>
      </c>
      <c r="BE9" s="51">
        <f ca="1">'Receita Líquida - O&amp;G'!BE37+'Receita Líquida - O&amp;G'!BE77</f>
        <v>235.04683042081501</v>
      </c>
      <c r="BF9" s="51">
        <f ca="1">'Receita Líquida - O&amp;G'!BF37+'Receita Líquida - O&amp;G'!BF77</f>
        <v>197.35608067375452</v>
      </c>
      <c r="BG9" s="51">
        <f ca="1">'Receita Líquida - O&amp;G'!BG37+'Receita Líquida - O&amp;G'!BG77</f>
        <v>178.00871897766677</v>
      </c>
      <c r="BH9" s="51">
        <f ca="1">'Receita Líquida - O&amp;G'!BH37+'Receita Líquida - O&amp;G'!BH77</f>
        <v>167.35088366371886</v>
      </c>
      <c r="BI9" s="51">
        <f ca="1">'Receita Líquida - O&amp;G'!BI37+'Receita Líquida - O&amp;G'!BI77</f>
        <v>96.794442394742987</v>
      </c>
      <c r="BJ9" s="51">
        <f ca="1">'Receita Líquida - O&amp;G'!BJ37+'Receita Líquida - O&amp;G'!BJ77</f>
        <v>0</v>
      </c>
      <c r="BK9" s="51">
        <f ca="1">'Receita Líquida - O&amp;G'!BK37+'Receita Líquida - O&amp;G'!BK77</f>
        <v>0</v>
      </c>
      <c r="BL9" s="51">
        <f ca="1">'Receita Líquida - O&amp;G'!BL37+'Receita Líquida - O&amp;G'!BL77</f>
        <v>0</v>
      </c>
      <c r="BM9" s="51">
        <f ca="1">'Receita Líquida - O&amp;G'!BM37+'Receita Líquida - O&amp;G'!BM77</f>
        <v>0</v>
      </c>
      <c r="BN9" s="51">
        <f ca="1">'Receita Líquida - O&amp;G'!BN37+'Receita Líquida - O&amp;G'!BN77</f>
        <v>0</v>
      </c>
      <c r="BO9" s="51">
        <f ca="1">'Receita Líquida - O&amp;G'!BO37+'Receita Líquida - O&amp;G'!BO77</f>
        <v>0</v>
      </c>
      <c r="BP9" s="51">
        <f ca="1">'Receita Líquida - O&amp;G'!BP37+'Receita Líquida - O&amp;G'!BP77</f>
        <v>0</v>
      </c>
      <c r="BQ9" s="51">
        <f ca="1">'Receita Líquida - O&amp;G'!BQ37+'Receita Líquida - O&amp;G'!BQ77</f>
        <v>0</v>
      </c>
      <c r="BR9" s="51">
        <f ca="1">'Receita Líquida - O&amp;G'!BR37+'Receita Líquida - O&amp;G'!BR77</f>
        <v>0</v>
      </c>
      <c r="BS9" s="51">
        <f ca="1">'Receita Líquida - O&amp;G'!BS37+'Receita Líquida - O&amp;G'!BS77</f>
        <v>0</v>
      </c>
      <c r="BT9" s="51">
        <f ca="1">'Receita Líquida - O&amp;G'!BT37+'Receita Líquida - O&amp;G'!BT77</f>
        <v>0</v>
      </c>
      <c r="BU9" s="51">
        <f ca="1">'Receita Líquida - O&amp;G'!BU37+'Receita Líquida - O&amp;G'!BU77</f>
        <v>0</v>
      </c>
      <c r="BV9" s="51">
        <f ca="1">'Receita Líquida - O&amp;G'!BV37+'Receita Líquida - O&amp;G'!BV77</f>
        <v>0</v>
      </c>
      <c r="BW9" s="51">
        <f ca="1">'Receita Líquida - O&amp;G'!BW37+'Receita Líquida - O&amp;G'!BW77</f>
        <v>0</v>
      </c>
    </row>
    <row r="10" spans="1:75" s="5" customFormat="1" ht="13.8" x14ac:dyDescent="0.3"/>
    <row r="11" spans="1:75" x14ac:dyDescent="0.3">
      <c r="A11" t="s">
        <v>678</v>
      </c>
      <c r="B11" s="12" t="str">
        <f>'Avaliação e Simulações'!$B$34</f>
        <v>2P</v>
      </c>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row>
    <row r="12" spans="1:75" x14ac:dyDescent="0.3">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row>
    <row r="13" spans="1:75" x14ac:dyDescent="0.3">
      <c r="A13" s="2" t="s">
        <v>105</v>
      </c>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74">
        <f>SUMIFS('Drivers Macroeconômico'!$J:$J,'Drivers Macroeconômico'!$H:$H,'Receita Líquida - O&amp;G'!AG$1)</f>
        <v>2.7E-2</v>
      </c>
      <c r="AH13" s="74">
        <f>SUMIFS('Drivers Macroeconômico'!$J:$J,'Drivers Macroeconômico'!$H:$H,'Receita Líquida - O&amp;G'!AH$1)</f>
        <v>0.02</v>
      </c>
      <c r="AI13" s="74">
        <f>SUMIFS('Drivers Macroeconômico'!$J:$J,'Drivers Macroeconômico'!$H:$H,'Receita Líquida - O&amp;G'!AI$1)</f>
        <v>0.02</v>
      </c>
      <c r="AJ13" s="74">
        <f>SUMIFS('Drivers Macroeconômico'!$J:$J,'Drivers Macroeconômico'!$H:$H,'Receita Líquida - O&amp;G'!AJ$1)</f>
        <v>0.02</v>
      </c>
      <c r="AK13" s="74">
        <f>SUMIFS('Drivers Macroeconômico'!$J:$J,'Drivers Macroeconômico'!$H:$H,'Receita Líquida - O&amp;G'!AK$1)</f>
        <v>0.02</v>
      </c>
      <c r="AL13" s="74">
        <f>SUMIFS('Drivers Macroeconômico'!$J:$J,'Drivers Macroeconômico'!$H:$H,'Receita Líquida - O&amp;G'!AL$1)</f>
        <v>0.02</v>
      </c>
      <c r="AM13" s="74">
        <f>SUMIFS('Drivers Macroeconômico'!$J:$J,'Drivers Macroeconômico'!$H:$H,'Receita Líquida - O&amp;G'!AM$1)</f>
        <v>0.02</v>
      </c>
      <c r="AN13" s="74">
        <f>SUMIFS('Drivers Macroeconômico'!$J:$J,'Drivers Macroeconômico'!$H:$H,'Receita Líquida - O&amp;G'!AN$1)</f>
        <v>0.02</v>
      </c>
      <c r="AO13" s="74">
        <f>SUMIFS('Drivers Macroeconômico'!$J:$J,'Drivers Macroeconômico'!$H:$H,'Receita Líquida - O&amp;G'!AO$1)</f>
        <v>0.02</v>
      </c>
      <c r="AP13" s="74">
        <f>SUMIFS('Drivers Macroeconômico'!$J:$J,'Drivers Macroeconômico'!$H:$H,'Receita Líquida - O&amp;G'!AP$1)</f>
        <v>0.02</v>
      </c>
      <c r="AQ13" s="74">
        <f>SUMIFS('Drivers Macroeconômico'!$J:$J,'Drivers Macroeconômico'!$H:$H,'Receita Líquida - O&amp;G'!AQ$1)</f>
        <v>0.02</v>
      </c>
      <c r="AR13" s="74">
        <f>SUMIFS('Drivers Macroeconômico'!$J:$J,'Drivers Macroeconômico'!$H:$H,'Receita Líquida - O&amp;G'!AR$1)</f>
        <v>0.02</v>
      </c>
      <c r="AS13" s="74">
        <f>SUMIFS('Drivers Macroeconômico'!$J:$J,'Drivers Macroeconômico'!$H:$H,'Receita Líquida - O&amp;G'!AS$1)</f>
        <v>0.02</v>
      </c>
      <c r="AT13" s="74">
        <f>SUMIFS('Drivers Macroeconômico'!$J:$J,'Drivers Macroeconômico'!$H:$H,'Receita Líquida - O&amp;G'!AT$1)</f>
        <v>0.02</v>
      </c>
      <c r="AU13" s="74">
        <f>SUMIFS('Drivers Macroeconômico'!$J:$J,'Drivers Macroeconômico'!$H:$H,'Receita Líquida - O&amp;G'!AU$1)</f>
        <v>0.02</v>
      </c>
      <c r="AV13" s="74">
        <f>SUMIFS('Drivers Macroeconômico'!$J:$J,'Drivers Macroeconômico'!$H:$H,'Receita Líquida - O&amp;G'!AV$1)</f>
        <v>0.02</v>
      </c>
      <c r="AW13" s="74">
        <f>SUMIFS('Drivers Macroeconômico'!$J:$J,'Drivers Macroeconômico'!$H:$H,'Receita Líquida - O&amp;G'!AW$1)</f>
        <v>0.02</v>
      </c>
      <c r="AX13" s="74">
        <f>SUMIFS('Drivers Macroeconômico'!$J:$J,'Drivers Macroeconômico'!$H:$H,'Receita Líquida - O&amp;G'!AX$1)</f>
        <v>0.02</v>
      </c>
      <c r="AY13" s="74">
        <f>SUMIFS('Drivers Macroeconômico'!$J:$J,'Drivers Macroeconômico'!$H:$H,'Receita Líquida - O&amp;G'!AY$1)</f>
        <v>0.02</v>
      </c>
      <c r="AZ13" s="74">
        <f>SUMIFS('Drivers Macroeconômico'!$J:$J,'Drivers Macroeconômico'!$H:$H,'Receita Líquida - O&amp;G'!AZ$1)</f>
        <v>0.02</v>
      </c>
      <c r="BA13" s="74">
        <f>SUMIFS('Drivers Macroeconômico'!$J:$J,'Drivers Macroeconômico'!$H:$H,'Receita Líquida - O&amp;G'!BA$1)</f>
        <v>0.02</v>
      </c>
      <c r="BB13" s="74">
        <f>SUMIFS('Drivers Macroeconômico'!$J:$J,'Drivers Macroeconômico'!$H:$H,'Receita Líquida - O&amp;G'!BB$1)</f>
        <v>0.02</v>
      </c>
      <c r="BC13" s="74">
        <f>SUMIFS('Drivers Macroeconômico'!$J:$J,'Drivers Macroeconômico'!$H:$H,'Receita Líquida - O&amp;G'!BC$1)</f>
        <v>0.02</v>
      </c>
      <c r="BD13" s="74">
        <f>SUMIFS('Drivers Macroeconômico'!$J:$J,'Drivers Macroeconômico'!$H:$H,'Receita Líquida - O&amp;G'!BD$1)</f>
        <v>0.02</v>
      </c>
      <c r="BE13" s="74">
        <f>SUMIFS('Drivers Macroeconômico'!$J:$J,'Drivers Macroeconômico'!$H:$H,'Receita Líquida - O&amp;G'!BE$1)</f>
        <v>0.02</v>
      </c>
      <c r="BF13" s="74">
        <f>SUMIFS('Drivers Macroeconômico'!$J:$J,'Drivers Macroeconômico'!$H:$H,'Receita Líquida - O&amp;G'!BF$1)</f>
        <v>0.02</v>
      </c>
      <c r="BG13" s="74">
        <f>SUMIFS('Drivers Macroeconômico'!$J:$J,'Drivers Macroeconômico'!$H:$H,'Receita Líquida - O&amp;G'!BG$1)</f>
        <v>0.02</v>
      </c>
      <c r="BH13" s="74">
        <f>SUMIFS('Drivers Macroeconômico'!$J:$J,'Drivers Macroeconômico'!$H:$H,'Receita Líquida - O&amp;G'!BH$1)</f>
        <v>0.02</v>
      </c>
      <c r="BI13" s="74">
        <f>SUMIFS('Drivers Macroeconômico'!$J:$J,'Drivers Macroeconômico'!$H:$H,'Receita Líquida - O&amp;G'!BI$1)</f>
        <v>0.02</v>
      </c>
      <c r="BJ13" s="74">
        <f>SUMIFS('Drivers Macroeconômico'!$J:$J,'Drivers Macroeconômico'!$H:$H,'Receita Líquida - O&amp;G'!BJ$1)</f>
        <v>0.02</v>
      </c>
      <c r="BK13" s="74">
        <f>SUMIFS('Drivers Macroeconômico'!$J:$J,'Drivers Macroeconômico'!$H:$H,'Receita Líquida - O&amp;G'!BK$1)</f>
        <v>0.02</v>
      </c>
      <c r="BL13" s="74">
        <f>SUMIFS('Drivers Macroeconômico'!$J:$J,'Drivers Macroeconômico'!$H:$H,'Receita Líquida - O&amp;G'!BL$1)</f>
        <v>0.02</v>
      </c>
      <c r="BM13" s="74">
        <f>SUMIFS('Drivers Macroeconômico'!$J:$J,'Drivers Macroeconômico'!$H:$H,'Receita Líquida - O&amp;G'!BM$1)</f>
        <v>0.02</v>
      </c>
      <c r="BN13" s="74">
        <f>SUMIFS('Drivers Macroeconômico'!$J:$J,'Drivers Macroeconômico'!$H:$H,'Receita Líquida - O&amp;G'!BN$1)</f>
        <v>0.02</v>
      </c>
      <c r="BO13" s="74">
        <f>SUMIFS('Drivers Macroeconômico'!$J:$J,'Drivers Macroeconômico'!$H:$H,'Receita Líquida - O&amp;G'!BO$1)</f>
        <v>0.02</v>
      </c>
      <c r="BP13" s="74">
        <f>SUMIFS('Drivers Macroeconômico'!$J:$J,'Drivers Macroeconômico'!$H:$H,'Receita Líquida - O&amp;G'!BP$1)</f>
        <v>0.02</v>
      </c>
      <c r="BQ13" s="74">
        <f>SUMIFS('Drivers Macroeconômico'!$J:$J,'Drivers Macroeconômico'!$H:$H,'Receita Líquida - O&amp;G'!BQ$1)</f>
        <v>0.02</v>
      </c>
      <c r="BR13" s="74">
        <f>SUMIFS('Drivers Macroeconômico'!$J:$J,'Drivers Macroeconômico'!$H:$H,'Receita Líquida - O&amp;G'!BR$1)</f>
        <v>0.02</v>
      </c>
      <c r="BS13" s="74">
        <f>SUMIFS('Drivers Macroeconômico'!$J:$J,'Drivers Macroeconômico'!$H:$H,'Receita Líquida - O&amp;G'!BS$1)</f>
        <v>0.02</v>
      </c>
      <c r="BT13" s="74">
        <f>SUMIFS('Drivers Macroeconômico'!$J:$J,'Drivers Macroeconômico'!$H:$H,'Receita Líquida - O&amp;G'!BT$1)</f>
        <v>0.02</v>
      </c>
      <c r="BU13" s="74">
        <f>SUMIFS('Drivers Macroeconômico'!$J:$J,'Drivers Macroeconômico'!$H:$H,'Receita Líquida - O&amp;G'!BU$1)</f>
        <v>0.02</v>
      </c>
      <c r="BV13" s="74">
        <f>SUMIFS('Drivers Macroeconômico'!$J:$J,'Drivers Macroeconômico'!$H:$H,'Receita Líquida - O&amp;G'!BV$1)</f>
        <v>0.02</v>
      </c>
      <c r="BW13" s="74">
        <f>SUMIFS('Drivers Macroeconômico'!$J:$J,'Drivers Macroeconômico'!$H:$H,'Receita Líquida - O&amp;G'!BW$1)</f>
        <v>0.02</v>
      </c>
    </row>
    <row r="14" spans="1:75" x14ac:dyDescent="0.3">
      <c r="A14" s="2" t="s">
        <v>107</v>
      </c>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70">
        <v>1</v>
      </c>
      <c r="AH14" s="70">
        <f t="shared" ref="AH14:BL14" si="4">AG14*(1+AH13)</f>
        <v>1.02</v>
      </c>
      <c r="AI14" s="70">
        <f t="shared" si="4"/>
        <v>1.0404</v>
      </c>
      <c r="AJ14" s="70">
        <f t="shared" si="4"/>
        <v>1.0612079999999999</v>
      </c>
      <c r="AK14" s="70">
        <f t="shared" si="4"/>
        <v>1.08243216</v>
      </c>
      <c r="AL14" s="70">
        <f t="shared" si="4"/>
        <v>1.1040808032</v>
      </c>
      <c r="AM14" s="70">
        <f t="shared" si="4"/>
        <v>1.1261624192640001</v>
      </c>
      <c r="AN14" s="70">
        <f t="shared" si="4"/>
        <v>1.14868566764928</v>
      </c>
      <c r="AO14" s="70">
        <f t="shared" si="4"/>
        <v>1.1716593810022657</v>
      </c>
      <c r="AP14" s="70">
        <f t="shared" si="4"/>
        <v>1.1950925686223111</v>
      </c>
      <c r="AQ14" s="70">
        <f t="shared" si="4"/>
        <v>1.2189944199947573</v>
      </c>
      <c r="AR14" s="70">
        <f t="shared" si="4"/>
        <v>1.2433743083946525</v>
      </c>
      <c r="AS14" s="70">
        <f t="shared" si="4"/>
        <v>1.2682417945625455</v>
      </c>
      <c r="AT14" s="70">
        <f t="shared" si="4"/>
        <v>1.2936066304537963</v>
      </c>
      <c r="AU14" s="70">
        <f t="shared" si="4"/>
        <v>1.3194787630628724</v>
      </c>
      <c r="AV14" s="70">
        <f t="shared" si="4"/>
        <v>1.3458683383241299</v>
      </c>
      <c r="AW14" s="70">
        <f t="shared" si="4"/>
        <v>1.3727857050906125</v>
      </c>
      <c r="AX14" s="70">
        <f t="shared" si="4"/>
        <v>1.4002414191924248</v>
      </c>
      <c r="AY14" s="70">
        <f t="shared" si="4"/>
        <v>1.4282462475762734</v>
      </c>
      <c r="AZ14" s="70">
        <f t="shared" si="4"/>
        <v>1.4568111725277988</v>
      </c>
      <c r="BA14" s="70">
        <f t="shared" si="4"/>
        <v>1.4859473959783549</v>
      </c>
      <c r="BB14" s="70">
        <f t="shared" si="4"/>
        <v>1.5156663438979221</v>
      </c>
      <c r="BC14" s="70">
        <f t="shared" si="4"/>
        <v>1.5459796707758806</v>
      </c>
      <c r="BD14" s="70">
        <f t="shared" si="4"/>
        <v>1.5768992641913981</v>
      </c>
      <c r="BE14" s="70">
        <f t="shared" si="4"/>
        <v>1.6084372494752261</v>
      </c>
      <c r="BF14" s="70">
        <f t="shared" si="4"/>
        <v>1.6406059944647307</v>
      </c>
      <c r="BG14" s="70">
        <f t="shared" si="4"/>
        <v>1.6734181143540252</v>
      </c>
      <c r="BH14" s="70">
        <f t="shared" si="4"/>
        <v>1.7068864766411058</v>
      </c>
      <c r="BI14" s="70">
        <f t="shared" si="4"/>
        <v>1.7410242061739281</v>
      </c>
      <c r="BJ14" s="70">
        <f t="shared" si="4"/>
        <v>1.7758446902974065</v>
      </c>
      <c r="BK14" s="70">
        <f t="shared" si="4"/>
        <v>1.8113615841033548</v>
      </c>
      <c r="BL14" s="70">
        <f t="shared" si="4"/>
        <v>1.8475888157854219</v>
      </c>
      <c r="BM14" s="70">
        <f t="shared" ref="BM14:BW14" si="5">BL14*(1+BM13)</f>
        <v>1.8845405921011305</v>
      </c>
      <c r="BN14" s="70">
        <f t="shared" si="5"/>
        <v>1.9222314039431532</v>
      </c>
      <c r="BO14" s="70">
        <f t="shared" si="5"/>
        <v>1.9606760320220162</v>
      </c>
      <c r="BP14" s="70">
        <f t="shared" si="5"/>
        <v>1.9998895526624565</v>
      </c>
      <c r="BQ14" s="70">
        <f t="shared" si="5"/>
        <v>2.0398873437157055</v>
      </c>
      <c r="BR14" s="70">
        <f t="shared" si="5"/>
        <v>2.0806850905900198</v>
      </c>
      <c r="BS14" s="70">
        <f t="shared" si="5"/>
        <v>2.1222987924018204</v>
      </c>
      <c r="BT14" s="70">
        <f t="shared" si="5"/>
        <v>2.1647447682498568</v>
      </c>
      <c r="BU14" s="70">
        <f t="shared" si="5"/>
        <v>2.208039663614854</v>
      </c>
      <c r="BV14" s="70">
        <f t="shared" si="5"/>
        <v>2.252200456887151</v>
      </c>
      <c r="BW14" s="70">
        <f t="shared" si="5"/>
        <v>2.2972444660248938</v>
      </c>
    </row>
    <row r="15" spans="1:75"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row>
    <row r="16" spans="1:75" s="201" customFormat="1" x14ac:dyDescent="0.3">
      <c r="A16" s="201" t="s">
        <v>534</v>
      </c>
      <c r="B16" s="202"/>
      <c r="C16" s="202"/>
      <c r="D16" s="202"/>
      <c r="E16" s="202"/>
      <c r="F16" s="202"/>
      <c r="G16" s="202"/>
      <c r="H16" s="202"/>
      <c r="I16" s="202"/>
      <c r="J16" s="202"/>
      <c r="K16" s="202"/>
      <c r="L16" s="202"/>
      <c r="M16" s="202"/>
      <c r="N16" s="202"/>
      <c r="O16" s="202"/>
      <c r="P16" s="202"/>
      <c r="Q16" s="202"/>
      <c r="R16" s="202"/>
      <c r="S16" s="202"/>
      <c r="T16" s="202"/>
      <c r="U16" s="202"/>
      <c r="V16" s="202"/>
      <c r="W16" s="202"/>
      <c r="X16" s="202"/>
      <c r="Y16" s="202"/>
      <c r="Z16" s="202"/>
      <c r="AA16" s="202"/>
      <c r="AB16" s="202"/>
      <c r="AC16" s="202"/>
      <c r="AD16" s="202"/>
      <c r="AE16" s="202"/>
      <c r="AF16" s="203"/>
      <c r="AG16" s="203"/>
      <c r="AH16" s="203"/>
      <c r="AI16" s="203"/>
      <c r="AJ16" s="203"/>
      <c r="AK16" s="203"/>
      <c r="AL16" s="203"/>
      <c r="AM16" s="203"/>
      <c r="AN16" s="203"/>
      <c r="AO16" s="203"/>
      <c r="AP16" s="203"/>
      <c r="AQ16" s="203"/>
      <c r="AR16" s="203"/>
      <c r="AS16" s="203"/>
      <c r="AT16" s="203"/>
      <c r="AU16" s="203"/>
      <c r="AV16" s="203"/>
      <c r="AW16" s="203"/>
      <c r="AX16" s="203"/>
      <c r="AY16" s="203"/>
      <c r="AZ16" s="203"/>
      <c r="BA16" s="203"/>
      <c r="BB16" s="203"/>
      <c r="BC16" s="203"/>
      <c r="BD16" s="203"/>
      <c r="BE16" s="203"/>
      <c r="BF16" s="203"/>
      <c r="BG16" s="203"/>
      <c r="BH16" s="203"/>
      <c r="BI16" s="203"/>
      <c r="BJ16" s="203"/>
      <c r="BK16" s="203"/>
      <c r="BL16" s="203"/>
      <c r="BM16" s="203"/>
      <c r="BN16" s="203"/>
      <c r="BO16" s="203"/>
      <c r="BP16" s="203"/>
      <c r="BQ16" s="203"/>
      <c r="BR16" s="203"/>
      <c r="BS16" s="203"/>
      <c r="BT16" s="203"/>
      <c r="BU16" s="203"/>
      <c r="BV16" s="203"/>
      <c r="BW16" s="203"/>
    </row>
    <row r="17" spans="1:75" s="11" customFormat="1" ht="13.8" x14ac:dyDescent="0.3">
      <c r="AF17" s="2"/>
    </row>
    <row r="18" spans="1:75" x14ac:dyDescent="0.3">
      <c r="A18" s="4" t="s">
        <v>10</v>
      </c>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2"/>
      <c r="AG18" s="48">
        <f t="shared" ref="AG18:BL18" ca="1" si="6">SUM(AG19:AG22)</f>
        <v>407.43</v>
      </c>
      <c r="AH18" s="48">
        <f t="shared" ca="1" si="6"/>
        <v>392.97800000000001</v>
      </c>
      <c r="AI18" s="48">
        <f t="shared" ca="1" si="6"/>
        <v>309.42</v>
      </c>
      <c r="AJ18" s="48">
        <f t="shared" ca="1" si="6"/>
        <v>299.20500000000004</v>
      </c>
      <c r="AK18" s="48">
        <f t="shared" ca="1" si="6"/>
        <v>237.31300000000002</v>
      </c>
      <c r="AL18" s="48">
        <f t="shared" ca="1" si="6"/>
        <v>239.84899999999999</v>
      </c>
      <c r="AM18" s="48">
        <f t="shared" ca="1" si="6"/>
        <v>40.108000000000004</v>
      </c>
      <c r="AN18" s="48">
        <f t="shared" ca="1" si="6"/>
        <v>40.106999999999999</v>
      </c>
      <c r="AO18" s="48">
        <f t="shared" ca="1" si="6"/>
        <v>40.108000000000004</v>
      </c>
      <c r="AP18" s="48">
        <f t="shared" ca="1" si="6"/>
        <v>40.106999999999999</v>
      </c>
      <c r="AQ18" s="48">
        <f t="shared" ca="1" si="6"/>
        <v>40.108000000000004</v>
      </c>
      <c r="AR18" s="48">
        <f t="shared" ca="1" si="6"/>
        <v>40.106999999999999</v>
      </c>
      <c r="AS18" s="48">
        <f t="shared" ca="1" si="6"/>
        <v>40.108000000000004</v>
      </c>
      <c r="AT18" s="48">
        <f t="shared" ca="1" si="6"/>
        <v>24.606999999999999</v>
      </c>
      <c r="AU18" s="48">
        <f t="shared" ca="1" si="6"/>
        <v>24.608000000000001</v>
      </c>
      <c r="AV18" s="48">
        <f t="shared" ca="1" si="6"/>
        <v>24.606999999999999</v>
      </c>
      <c r="AW18" s="48">
        <f t="shared" ca="1" si="6"/>
        <v>24.608000000000001</v>
      </c>
      <c r="AX18" s="48">
        <f t="shared" ca="1" si="6"/>
        <v>24.606999999999999</v>
      </c>
      <c r="AY18" s="48">
        <f t="shared" ca="1" si="6"/>
        <v>24.608000000000001</v>
      </c>
      <c r="AZ18" s="48">
        <f t="shared" ca="1" si="6"/>
        <v>24.606999999999999</v>
      </c>
      <c r="BA18" s="48">
        <f t="shared" ca="1" si="6"/>
        <v>24.608000000000001</v>
      </c>
      <c r="BB18" s="48">
        <f t="shared" ca="1" si="6"/>
        <v>24.606999999999999</v>
      </c>
      <c r="BC18" s="48">
        <f t="shared" ca="1" si="6"/>
        <v>24.608000000000001</v>
      </c>
      <c r="BD18" s="48">
        <f t="shared" ca="1" si="6"/>
        <v>24.606999999999999</v>
      </c>
      <c r="BE18" s="48">
        <f t="shared" ca="1" si="6"/>
        <v>24.608000000000001</v>
      </c>
      <c r="BF18" s="48">
        <f t="shared" ca="1" si="6"/>
        <v>24.606999999999999</v>
      </c>
      <c r="BG18" s="48">
        <f t="shared" ca="1" si="6"/>
        <v>0</v>
      </c>
      <c r="BH18" s="48">
        <f t="shared" ca="1" si="6"/>
        <v>0</v>
      </c>
      <c r="BI18" s="48">
        <f t="shared" ca="1" si="6"/>
        <v>0</v>
      </c>
      <c r="BJ18" s="48">
        <f t="shared" ca="1" si="6"/>
        <v>0</v>
      </c>
      <c r="BK18" s="48">
        <f t="shared" ca="1" si="6"/>
        <v>0</v>
      </c>
      <c r="BL18" s="48">
        <f t="shared" ca="1" si="6"/>
        <v>0</v>
      </c>
      <c r="BM18" s="48">
        <f t="shared" ref="BM18:BW18" ca="1" si="7">SUM(BM19:BM22)</f>
        <v>0</v>
      </c>
      <c r="BN18" s="48">
        <f t="shared" ca="1" si="7"/>
        <v>0</v>
      </c>
      <c r="BO18" s="48">
        <f t="shared" ca="1" si="7"/>
        <v>0</v>
      </c>
      <c r="BP18" s="48">
        <f t="shared" ca="1" si="7"/>
        <v>0</v>
      </c>
      <c r="BQ18" s="48">
        <f t="shared" ca="1" si="7"/>
        <v>0</v>
      </c>
      <c r="BR18" s="48">
        <f t="shared" ca="1" si="7"/>
        <v>0</v>
      </c>
      <c r="BS18" s="48">
        <f t="shared" ca="1" si="7"/>
        <v>0</v>
      </c>
      <c r="BT18" s="48">
        <f t="shared" ca="1" si="7"/>
        <v>0</v>
      </c>
      <c r="BU18" s="48">
        <f t="shared" ca="1" si="7"/>
        <v>0</v>
      </c>
      <c r="BV18" s="48">
        <f t="shared" ca="1" si="7"/>
        <v>0</v>
      </c>
      <c r="BW18" s="48">
        <f t="shared" ca="1" si="7"/>
        <v>0</v>
      </c>
    </row>
    <row r="19" spans="1:75" x14ac:dyDescent="0.3">
      <c r="A19" s="5" t="s">
        <v>64</v>
      </c>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2"/>
      <c r="AG19" s="196">
        <f t="shared" ref="AG19:BW19" ca="1" si="8">SUMIFS(INDIRECT("'"&amp;$A19&amp;$B$11&amp;"'!"&amp;"$u:$u"),INDIRECT("'"&amp;$A19&amp;$B$11&amp;"'!"&amp;"$A:$A"),AG$1)/1000</f>
        <v>277.375</v>
      </c>
      <c r="AH19" s="196">
        <f t="shared" ca="1" si="8"/>
        <v>75.022000000000006</v>
      </c>
      <c r="AI19" s="196">
        <f t="shared" ca="1" si="8"/>
        <v>6.6079999999999997</v>
      </c>
      <c r="AJ19" s="196">
        <f t="shared" ca="1" si="8"/>
        <v>9.6069999999999993</v>
      </c>
      <c r="AK19" s="196">
        <f t="shared" ca="1" si="8"/>
        <v>6.6079999999999997</v>
      </c>
      <c r="AL19" s="196">
        <f t="shared" ca="1" si="8"/>
        <v>6.6070000000000002</v>
      </c>
      <c r="AM19" s="196">
        <f t="shared" ca="1" si="8"/>
        <v>6.6079999999999997</v>
      </c>
      <c r="AN19" s="196">
        <f t="shared" ca="1" si="8"/>
        <v>6.6070000000000002</v>
      </c>
      <c r="AO19" s="196">
        <f t="shared" ca="1" si="8"/>
        <v>6.6079999999999997</v>
      </c>
      <c r="AP19" s="196">
        <f t="shared" ca="1" si="8"/>
        <v>6.6070000000000002</v>
      </c>
      <c r="AQ19" s="196">
        <f t="shared" ca="1" si="8"/>
        <v>6.6079999999999997</v>
      </c>
      <c r="AR19" s="196">
        <f t="shared" ca="1" si="8"/>
        <v>6.6070000000000002</v>
      </c>
      <c r="AS19" s="196">
        <f t="shared" ca="1" si="8"/>
        <v>6.6079999999999997</v>
      </c>
      <c r="AT19" s="196">
        <f t="shared" ca="1" si="8"/>
        <v>6.6070000000000002</v>
      </c>
      <c r="AU19" s="196">
        <f t="shared" ca="1" si="8"/>
        <v>6.6079999999999997</v>
      </c>
      <c r="AV19" s="196">
        <f t="shared" ca="1" si="8"/>
        <v>6.6070000000000002</v>
      </c>
      <c r="AW19" s="196">
        <f t="shared" ca="1" si="8"/>
        <v>6.6079999999999997</v>
      </c>
      <c r="AX19" s="196">
        <f t="shared" ca="1" si="8"/>
        <v>6.6070000000000002</v>
      </c>
      <c r="AY19" s="196">
        <f t="shared" ca="1" si="8"/>
        <v>6.6079999999999997</v>
      </c>
      <c r="AZ19" s="196">
        <f t="shared" ca="1" si="8"/>
        <v>6.6070000000000002</v>
      </c>
      <c r="BA19" s="196">
        <f t="shared" ca="1" si="8"/>
        <v>6.6079999999999997</v>
      </c>
      <c r="BB19" s="196">
        <f t="shared" ca="1" si="8"/>
        <v>6.6070000000000002</v>
      </c>
      <c r="BC19" s="196">
        <f t="shared" ca="1" si="8"/>
        <v>6.6079999999999997</v>
      </c>
      <c r="BD19" s="196">
        <f t="shared" ca="1" si="8"/>
        <v>6.6070000000000002</v>
      </c>
      <c r="BE19" s="196">
        <f t="shared" ca="1" si="8"/>
        <v>6.6079999999999997</v>
      </c>
      <c r="BF19" s="196">
        <f t="shared" ca="1" si="8"/>
        <v>6.6070000000000002</v>
      </c>
      <c r="BG19" s="196">
        <f t="shared" ca="1" si="8"/>
        <v>0</v>
      </c>
      <c r="BH19" s="196">
        <f t="shared" ca="1" si="8"/>
        <v>0</v>
      </c>
      <c r="BI19" s="196">
        <f t="shared" ca="1" si="8"/>
        <v>0</v>
      </c>
      <c r="BJ19" s="196">
        <f t="shared" ca="1" si="8"/>
        <v>0</v>
      </c>
      <c r="BK19" s="196">
        <f t="shared" ca="1" si="8"/>
        <v>0</v>
      </c>
      <c r="BL19" s="196">
        <f t="shared" ca="1" si="8"/>
        <v>0</v>
      </c>
      <c r="BM19" s="196">
        <f t="shared" ca="1" si="8"/>
        <v>0</v>
      </c>
      <c r="BN19" s="196">
        <f t="shared" ca="1" si="8"/>
        <v>0</v>
      </c>
      <c r="BO19" s="196">
        <f t="shared" ca="1" si="8"/>
        <v>0</v>
      </c>
      <c r="BP19" s="196">
        <f t="shared" ca="1" si="8"/>
        <v>0</v>
      </c>
      <c r="BQ19" s="196">
        <f t="shared" ca="1" si="8"/>
        <v>0</v>
      </c>
      <c r="BR19" s="196">
        <f t="shared" ca="1" si="8"/>
        <v>0</v>
      </c>
      <c r="BS19" s="196">
        <f t="shared" ca="1" si="8"/>
        <v>0</v>
      </c>
      <c r="BT19" s="196">
        <f t="shared" ca="1" si="8"/>
        <v>0</v>
      </c>
      <c r="BU19" s="196">
        <f t="shared" ca="1" si="8"/>
        <v>0</v>
      </c>
      <c r="BV19" s="196">
        <f t="shared" ca="1" si="8"/>
        <v>0</v>
      </c>
      <c r="BW19" s="196">
        <f t="shared" ca="1" si="8"/>
        <v>0</v>
      </c>
    </row>
    <row r="20" spans="1:75" x14ac:dyDescent="0.3">
      <c r="A20" s="5" t="s">
        <v>65</v>
      </c>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2"/>
      <c r="AG20" s="117"/>
      <c r="AH20" s="117"/>
      <c r="AI20" s="117"/>
      <c r="AJ20" s="117"/>
      <c r="AK20" s="117"/>
      <c r="AL20" s="117"/>
      <c r="AM20" s="117"/>
      <c r="AN20" s="117"/>
      <c r="AO20" s="117"/>
      <c r="AP20" s="117"/>
      <c r="AQ20" s="117"/>
      <c r="AR20" s="117"/>
      <c r="AS20" s="117"/>
      <c r="AT20" s="117"/>
      <c r="AU20" s="117"/>
      <c r="AV20" s="117"/>
      <c r="AW20" s="117"/>
      <c r="AX20" s="117"/>
      <c r="AY20" s="117"/>
      <c r="AZ20" s="117"/>
      <c r="BA20" s="117"/>
      <c r="BB20" s="117"/>
      <c r="BC20" s="117"/>
      <c r="BD20" s="117"/>
      <c r="BE20" s="117"/>
      <c r="BF20" s="117"/>
      <c r="BG20" s="117"/>
      <c r="BH20" s="117"/>
      <c r="BI20" s="117"/>
      <c r="BJ20" s="117"/>
      <c r="BK20" s="117"/>
      <c r="BL20" s="117"/>
      <c r="BM20" s="117"/>
      <c r="BN20" s="117"/>
      <c r="BO20" s="117"/>
      <c r="BP20" s="117"/>
      <c r="BQ20" s="117"/>
      <c r="BR20" s="117"/>
      <c r="BS20" s="117"/>
      <c r="BT20" s="117"/>
      <c r="BU20" s="117"/>
      <c r="BV20" s="117"/>
      <c r="BW20" s="117"/>
    </row>
    <row r="21" spans="1:75" x14ac:dyDescent="0.3">
      <c r="A21" s="5" t="s">
        <v>67</v>
      </c>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2"/>
      <c r="AG21" s="196">
        <f t="shared" ref="AG21:AP22" ca="1" si="9">SUMIFS(INDIRECT("'"&amp;$A21&amp;$B$11&amp;"'!"&amp;"$w:$w"),INDIRECT("'"&amp;$A21&amp;$B$11&amp;"'!"&amp;"$A:$A"),AG$1)/1000</f>
        <v>32.5</v>
      </c>
      <c r="AH21" s="196">
        <f t="shared" ca="1" si="9"/>
        <v>53</v>
      </c>
      <c r="AI21" s="196">
        <f t="shared" ca="1" si="9"/>
        <v>78.5</v>
      </c>
      <c r="AJ21" s="196">
        <f t="shared" ca="1" si="9"/>
        <v>15.5</v>
      </c>
      <c r="AK21" s="196">
        <f t="shared" ca="1" si="9"/>
        <v>15.5</v>
      </c>
      <c r="AL21" s="196">
        <f t="shared" ca="1" si="9"/>
        <v>15.5</v>
      </c>
      <c r="AM21" s="196">
        <f t="shared" ca="1" si="9"/>
        <v>15.5</v>
      </c>
      <c r="AN21" s="196">
        <f t="shared" ca="1" si="9"/>
        <v>15.5</v>
      </c>
      <c r="AO21" s="196">
        <f t="shared" ca="1" si="9"/>
        <v>15.5</v>
      </c>
      <c r="AP21" s="196">
        <f t="shared" ca="1" si="9"/>
        <v>15.5</v>
      </c>
      <c r="AQ21" s="196">
        <f t="shared" ref="AQ21:AZ22" ca="1" si="10">SUMIFS(INDIRECT("'"&amp;$A21&amp;$B$11&amp;"'!"&amp;"$w:$w"),INDIRECT("'"&amp;$A21&amp;$B$11&amp;"'!"&amp;"$A:$A"),AQ$1)/1000</f>
        <v>15.5</v>
      </c>
      <c r="AR21" s="196">
        <f t="shared" ca="1" si="10"/>
        <v>15.5</v>
      </c>
      <c r="AS21" s="196">
        <f t="shared" ca="1" si="10"/>
        <v>15.5</v>
      </c>
      <c r="AT21" s="196">
        <f t="shared" ca="1" si="10"/>
        <v>0</v>
      </c>
      <c r="AU21" s="196">
        <f t="shared" ca="1" si="10"/>
        <v>0</v>
      </c>
      <c r="AV21" s="196">
        <f t="shared" ca="1" si="10"/>
        <v>0</v>
      </c>
      <c r="AW21" s="196">
        <f t="shared" ca="1" si="10"/>
        <v>0</v>
      </c>
      <c r="AX21" s="196">
        <f t="shared" ca="1" si="10"/>
        <v>0</v>
      </c>
      <c r="AY21" s="196">
        <f t="shared" ca="1" si="10"/>
        <v>0</v>
      </c>
      <c r="AZ21" s="196">
        <f t="shared" ca="1" si="10"/>
        <v>0</v>
      </c>
      <c r="BA21" s="196">
        <f t="shared" ref="BA21:BJ22" ca="1" si="11">SUMIFS(INDIRECT("'"&amp;$A21&amp;$B$11&amp;"'!"&amp;"$w:$w"),INDIRECT("'"&amp;$A21&amp;$B$11&amp;"'!"&amp;"$A:$A"),BA$1)/1000</f>
        <v>0</v>
      </c>
      <c r="BB21" s="196">
        <f t="shared" ca="1" si="11"/>
        <v>0</v>
      </c>
      <c r="BC21" s="196">
        <f t="shared" ca="1" si="11"/>
        <v>0</v>
      </c>
      <c r="BD21" s="196">
        <f t="shared" ca="1" si="11"/>
        <v>0</v>
      </c>
      <c r="BE21" s="196">
        <f t="shared" ca="1" si="11"/>
        <v>0</v>
      </c>
      <c r="BF21" s="196">
        <f t="shared" ca="1" si="11"/>
        <v>0</v>
      </c>
      <c r="BG21" s="196">
        <f t="shared" ca="1" si="11"/>
        <v>0</v>
      </c>
      <c r="BH21" s="196">
        <f t="shared" ca="1" si="11"/>
        <v>0</v>
      </c>
      <c r="BI21" s="196">
        <f t="shared" ca="1" si="11"/>
        <v>0</v>
      </c>
      <c r="BJ21" s="196">
        <f t="shared" ca="1" si="11"/>
        <v>0</v>
      </c>
      <c r="BK21" s="196">
        <f t="shared" ref="BK21:BW22" ca="1" si="12">SUMIFS(INDIRECT("'"&amp;$A21&amp;$B$11&amp;"'!"&amp;"$w:$w"),INDIRECT("'"&amp;$A21&amp;$B$11&amp;"'!"&amp;"$A:$A"),BK$1)/1000</f>
        <v>0</v>
      </c>
      <c r="BL21" s="196">
        <f t="shared" ca="1" si="12"/>
        <v>0</v>
      </c>
      <c r="BM21" s="196">
        <f t="shared" ca="1" si="12"/>
        <v>0</v>
      </c>
      <c r="BN21" s="196">
        <f t="shared" ca="1" si="12"/>
        <v>0</v>
      </c>
      <c r="BO21" s="196">
        <f t="shared" ca="1" si="12"/>
        <v>0</v>
      </c>
      <c r="BP21" s="196">
        <f t="shared" ca="1" si="12"/>
        <v>0</v>
      </c>
      <c r="BQ21" s="196">
        <f t="shared" ca="1" si="12"/>
        <v>0</v>
      </c>
      <c r="BR21" s="196">
        <f t="shared" ca="1" si="12"/>
        <v>0</v>
      </c>
      <c r="BS21" s="196">
        <f t="shared" ca="1" si="12"/>
        <v>0</v>
      </c>
      <c r="BT21" s="196">
        <f t="shared" ca="1" si="12"/>
        <v>0</v>
      </c>
      <c r="BU21" s="196">
        <f t="shared" ca="1" si="12"/>
        <v>0</v>
      </c>
      <c r="BV21" s="196">
        <f t="shared" ca="1" si="12"/>
        <v>0</v>
      </c>
      <c r="BW21" s="196">
        <f t="shared" ca="1" si="12"/>
        <v>0</v>
      </c>
    </row>
    <row r="22" spans="1:75" x14ac:dyDescent="0.3">
      <c r="A22" s="5" t="s">
        <v>66</v>
      </c>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2"/>
      <c r="AG22" s="196">
        <f t="shared" ca="1" si="9"/>
        <v>97.555000000000007</v>
      </c>
      <c r="AH22" s="196">
        <f t="shared" ca="1" si="9"/>
        <v>264.95600000000002</v>
      </c>
      <c r="AI22" s="196">
        <f t="shared" ca="1" si="9"/>
        <v>224.31200000000001</v>
      </c>
      <c r="AJ22" s="196">
        <f t="shared" ca="1" si="9"/>
        <v>274.09800000000001</v>
      </c>
      <c r="AK22" s="196">
        <f t="shared" ca="1" si="9"/>
        <v>215.20500000000001</v>
      </c>
      <c r="AL22" s="196">
        <f t="shared" ca="1" si="9"/>
        <v>217.74199999999999</v>
      </c>
      <c r="AM22" s="196">
        <f t="shared" ca="1" si="9"/>
        <v>18</v>
      </c>
      <c r="AN22" s="196">
        <f t="shared" ca="1" si="9"/>
        <v>18</v>
      </c>
      <c r="AO22" s="196">
        <f t="shared" ca="1" si="9"/>
        <v>18</v>
      </c>
      <c r="AP22" s="196">
        <f t="shared" ca="1" si="9"/>
        <v>18</v>
      </c>
      <c r="AQ22" s="196">
        <f t="shared" ca="1" si="10"/>
        <v>18</v>
      </c>
      <c r="AR22" s="196">
        <f t="shared" ca="1" si="10"/>
        <v>18</v>
      </c>
      <c r="AS22" s="196">
        <f t="shared" ca="1" si="10"/>
        <v>18</v>
      </c>
      <c r="AT22" s="196">
        <f t="shared" ca="1" si="10"/>
        <v>18</v>
      </c>
      <c r="AU22" s="196">
        <f t="shared" ca="1" si="10"/>
        <v>18</v>
      </c>
      <c r="AV22" s="196">
        <f t="shared" ca="1" si="10"/>
        <v>18</v>
      </c>
      <c r="AW22" s="196">
        <f t="shared" ca="1" si="10"/>
        <v>18</v>
      </c>
      <c r="AX22" s="196">
        <f t="shared" ca="1" si="10"/>
        <v>18</v>
      </c>
      <c r="AY22" s="196">
        <f t="shared" ca="1" si="10"/>
        <v>18</v>
      </c>
      <c r="AZ22" s="196">
        <f t="shared" ca="1" si="10"/>
        <v>18</v>
      </c>
      <c r="BA22" s="196">
        <f t="shared" ca="1" si="11"/>
        <v>18</v>
      </c>
      <c r="BB22" s="196">
        <f t="shared" ca="1" si="11"/>
        <v>18</v>
      </c>
      <c r="BC22" s="196">
        <f t="shared" ca="1" si="11"/>
        <v>18</v>
      </c>
      <c r="BD22" s="196">
        <f t="shared" ca="1" si="11"/>
        <v>18</v>
      </c>
      <c r="BE22" s="196">
        <f t="shared" ca="1" si="11"/>
        <v>18</v>
      </c>
      <c r="BF22" s="196">
        <f t="shared" ca="1" si="11"/>
        <v>18</v>
      </c>
      <c r="BG22" s="196">
        <f t="shared" ca="1" si="11"/>
        <v>0</v>
      </c>
      <c r="BH22" s="196">
        <f t="shared" ca="1" si="11"/>
        <v>0</v>
      </c>
      <c r="BI22" s="196">
        <f t="shared" ca="1" si="11"/>
        <v>0</v>
      </c>
      <c r="BJ22" s="196">
        <f t="shared" ca="1" si="11"/>
        <v>0</v>
      </c>
      <c r="BK22" s="196">
        <f t="shared" ca="1" si="12"/>
        <v>0</v>
      </c>
      <c r="BL22" s="196">
        <f t="shared" ca="1" si="12"/>
        <v>0</v>
      </c>
      <c r="BM22" s="196">
        <f t="shared" ca="1" si="12"/>
        <v>0</v>
      </c>
      <c r="BN22" s="196">
        <f t="shared" ca="1" si="12"/>
        <v>0</v>
      </c>
      <c r="BO22" s="196">
        <f t="shared" ca="1" si="12"/>
        <v>0</v>
      </c>
      <c r="BP22" s="196">
        <f t="shared" ca="1" si="12"/>
        <v>0</v>
      </c>
      <c r="BQ22" s="196">
        <f t="shared" ca="1" si="12"/>
        <v>0</v>
      </c>
      <c r="BR22" s="196">
        <f t="shared" ca="1" si="12"/>
        <v>0</v>
      </c>
      <c r="BS22" s="196">
        <f t="shared" ca="1" si="12"/>
        <v>0</v>
      </c>
      <c r="BT22" s="196">
        <f t="shared" ca="1" si="12"/>
        <v>0</v>
      </c>
      <c r="BU22" s="196">
        <f t="shared" ca="1" si="12"/>
        <v>0</v>
      </c>
      <c r="BV22" s="196">
        <f t="shared" ca="1" si="12"/>
        <v>0</v>
      </c>
      <c r="BW22" s="196">
        <f t="shared" ca="1" si="12"/>
        <v>0</v>
      </c>
    </row>
    <row r="23" spans="1:75" x14ac:dyDescent="0.3">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2"/>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row>
    <row r="24" spans="1:75" x14ac:dyDescent="0.3">
      <c r="A24" s="4" t="s">
        <v>11</v>
      </c>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2"/>
      <c r="AG24" s="48">
        <f t="shared" ref="AG24:BL24" ca="1" si="13">SUM(AG25:AG28)</f>
        <v>407.43</v>
      </c>
      <c r="AH24" s="48">
        <f t="shared" ca="1" si="13"/>
        <v>400.83756000000005</v>
      </c>
      <c r="AI24" s="48">
        <f t="shared" ca="1" si="13"/>
        <v>321.920568</v>
      </c>
      <c r="AJ24" s="48">
        <f t="shared" ca="1" si="13"/>
        <v>317.51873963999998</v>
      </c>
      <c r="AK24" s="48">
        <f t="shared" ca="1" si="13"/>
        <v>256.87522318608001</v>
      </c>
      <c r="AL24" s="48">
        <f t="shared" ca="1" si="13"/>
        <v>264.81267656671679</v>
      </c>
      <c r="AM24" s="48">
        <f t="shared" ca="1" si="13"/>
        <v>45.16812231184052</v>
      </c>
      <c r="AN24" s="48">
        <f t="shared" ca="1" si="13"/>
        <v>46.070336072409674</v>
      </c>
      <c r="AO24" s="48">
        <f t="shared" ca="1" si="13"/>
        <v>46.992914453238875</v>
      </c>
      <c r="AP24" s="48">
        <f t="shared" ca="1" si="13"/>
        <v>47.931577649735033</v>
      </c>
      <c r="AQ24" s="48">
        <f t="shared" ca="1" si="13"/>
        <v>48.891428197149722</v>
      </c>
      <c r="AR24" s="48">
        <f t="shared" ca="1" si="13"/>
        <v>49.868013386784327</v>
      </c>
      <c r="AS24" s="48">
        <f t="shared" ca="1" si="13"/>
        <v>50.866641896314576</v>
      </c>
      <c r="AT24" s="48">
        <f t="shared" ca="1" si="13"/>
        <v>31.831778355576567</v>
      </c>
      <c r="AU24" s="48">
        <f t="shared" ca="1" si="13"/>
        <v>32.469733401451165</v>
      </c>
      <c r="AV24" s="48">
        <f t="shared" ca="1" si="13"/>
        <v>33.117782201141864</v>
      </c>
      <c r="AW24" s="48">
        <f t="shared" ca="1" si="13"/>
        <v>33.781510630869789</v>
      </c>
      <c r="AX24" s="48">
        <f t="shared" ca="1" si="13"/>
        <v>34.455740602067998</v>
      </c>
      <c r="AY24" s="48">
        <f t="shared" ca="1" si="13"/>
        <v>35.146283660356936</v>
      </c>
      <c r="AZ24" s="48">
        <f t="shared" ca="1" si="13"/>
        <v>35.847752522391545</v>
      </c>
      <c r="BA24" s="48">
        <f t="shared" ca="1" si="13"/>
        <v>36.566193520235359</v>
      </c>
      <c r="BB24" s="48">
        <f t="shared" ca="1" si="13"/>
        <v>37.296001724296175</v>
      </c>
      <c r="BC24" s="48">
        <f t="shared" ca="1" si="13"/>
        <v>38.043467738452868</v>
      </c>
      <c r="BD24" s="48">
        <f t="shared" ca="1" si="13"/>
        <v>38.802760193957738</v>
      </c>
      <c r="BE24" s="48">
        <f t="shared" ca="1" si="13"/>
        <v>39.580423835086364</v>
      </c>
      <c r="BF24" s="48">
        <f t="shared" ca="1" si="13"/>
        <v>40.370391705793622</v>
      </c>
      <c r="BG24" s="48">
        <f t="shared" ca="1" si="13"/>
        <v>0</v>
      </c>
      <c r="BH24" s="48">
        <f t="shared" ca="1" si="13"/>
        <v>0</v>
      </c>
      <c r="BI24" s="48">
        <f t="shared" ca="1" si="13"/>
        <v>0</v>
      </c>
      <c r="BJ24" s="48">
        <f t="shared" ca="1" si="13"/>
        <v>0</v>
      </c>
      <c r="BK24" s="48">
        <f t="shared" ca="1" si="13"/>
        <v>0</v>
      </c>
      <c r="BL24" s="48">
        <f t="shared" ca="1" si="13"/>
        <v>0</v>
      </c>
      <c r="BM24" s="48">
        <f t="shared" ref="BM24:BW24" ca="1" si="14">SUM(BM25:BM28)</f>
        <v>0</v>
      </c>
      <c r="BN24" s="48">
        <f t="shared" ca="1" si="14"/>
        <v>0</v>
      </c>
      <c r="BO24" s="48">
        <f t="shared" ca="1" si="14"/>
        <v>0</v>
      </c>
      <c r="BP24" s="48">
        <f t="shared" ca="1" si="14"/>
        <v>0</v>
      </c>
      <c r="BQ24" s="48">
        <f t="shared" ca="1" si="14"/>
        <v>0</v>
      </c>
      <c r="BR24" s="48">
        <f t="shared" ca="1" si="14"/>
        <v>0</v>
      </c>
      <c r="BS24" s="48">
        <f t="shared" ca="1" si="14"/>
        <v>0</v>
      </c>
      <c r="BT24" s="48">
        <f t="shared" ca="1" si="14"/>
        <v>0</v>
      </c>
      <c r="BU24" s="48">
        <f t="shared" ca="1" si="14"/>
        <v>0</v>
      </c>
      <c r="BV24" s="48">
        <f t="shared" ca="1" si="14"/>
        <v>0</v>
      </c>
      <c r="BW24" s="48">
        <f t="shared" ca="1" si="14"/>
        <v>0</v>
      </c>
    </row>
    <row r="25" spans="1:75" x14ac:dyDescent="0.3">
      <c r="A25" s="5" t="s">
        <v>64</v>
      </c>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2"/>
      <c r="AG25" s="51">
        <f ca="1">AG19*AG$14</f>
        <v>277.375</v>
      </c>
      <c r="AH25" s="51">
        <f t="shared" ref="AH25:BW25" ca="1" si="15">AH19*AH$14</f>
        <v>76.522440000000003</v>
      </c>
      <c r="AI25" s="51">
        <f t="shared" ca="1" si="15"/>
        <v>6.8749631999999998</v>
      </c>
      <c r="AJ25" s="51">
        <f t="shared" ca="1" si="15"/>
        <v>10.195025255999999</v>
      </c>
      <c r="AK25" s="51">
        <f t="shared" ca="1" si="15"/>
        <v>7.1527117132799996</v>
      </c>
      <c r="AL25" s="51">
        <f t="shared" ca="1" si="15"/>
        <v>7.2946618667424001</v>
      </c>
      <c r="AM25" s="51">
        <f t="shared" ca="1" si="15"/>
        <v>7.441681266496512</v>
      </c>
      <c r="AN25" s="51">
        <f t="shared" ca="1" si="15"/>
        <v>7.5893662061587932</v>
      </c>
      <c r="AO25" s="51">
        <f t="shared" ca="1" si="15"/>
        <v>7.7423251896629717</v>
      </c>
      <c r="AP25" s="51">
        <f t="shared" ca="1" si="15"/>
        <v>7.8959766008876091</v>
      </c>
      <c r="AQ25" s="51">
        <f t="shared" ca="1" si="15"/>
        <v>8.0551151273253563</v>
      </c>
      <c r="AR25" s="51">
        <f t="shared" ca="1" si="15"/>
        <v>8.2149740555634683</v>
      </c>
      <c r="AS25" s="51">
        <f t="shared" ca="1" si="15"/>
        <v>8.3805417784693006</v>
      </c>
      <c r="AT25" s="51">
        <f t="shared" ca="1" si="15"/>
        <v>8.5468590074082318</v>
      </c>
      <c r="AU25" s="51">
        <f t="shared" ca="1" si="15"/>
        <v>8.7191156663194604</v>
      </c>
      <c r="AV25" s="51">
        <f t="shared" ca="1" si="15"/>
        <v>8.8921521113075261</v>
      </c>
      <c r="AW25" s="51">
        <f t="shared" ca="1" si="15"/>
        <v>9.0713679392387672</v>
      </c>
      <c r="AX25" s="51">
        <f t="shared" ca="1" si="15"/>
        <v>9.2513950566043519</v>
      </c>
      <c r="AY25" s="51">
        <f t="shared" ca="1" si="15"/>
        <v>9.4378512039840139</v>
      </c>
      <c r="AZ25" s="51">
        <f t="shared" ca="1" si="15"/>
        <v>9.6251514168911676</v>
      </c>
      <c r="BA25" s="51">
        <f t="shared" ca="1" si="15"/>
        <v>9.8191403926249681</v>
      </c>
      <c r="BB25" s="51">
        <f t="shared" ca="1" si="15"/>
        <v>10.014007534133572</v>
      </c>
      <c r="BC25" s="51">
        <f t="shared" ca="1" si="15"/>
        <v>10.215833664487018</v>
      </c>
      <c r="BD25" s="51">
        <f t="shared" ca="1" si="15"/>
        <v>10.418573438512567</v>
      </c>
      <c r="BE25" s="51">
        <f t="shared" ca="1" si="15"/>
        <v>10.628553344532294</v>
      </c>
      <c r="BF25" s="51">
        <f t="shared" ca="1" si="15"/>
        <v>10.839483805428475</v>
      </c>
      <c r="BG25" s="51">
        <f t="shared" ca="1" si="15"/>
        <v>0</v>
      </c>
      <c r="BH25" s="51">
        <f t="shared" ca="1" si="15"/>
        <v>0</v>
      </c>
      <c r="BI25" s="51">
        <f t="shared" ca="1" si="15"/>
        <v>0</v>
      </c>
      <c r="BJ25" s="51">
        <f t="shared" ca="1" si="15"/>
        <v>0</v>
      </c>
      <c r="BK25" s="51">
        <f t="shared" ca="1" si="15"/>
        <v>0</v>
      </c>
      <c r="BL25" s="51">
        <f t="shared" ca="1" si="15"/>
        <v>0</v>
      </c>
      <c r="BM25" s="51">
        <f t="shared" ca="1" si="15"/>
        <v>0</v>
      </c>
      <c r="BN25" s="51">
        <f t="shared" ca="1" si="15"/>
        <v>0</v>
      </c>
      <c r="BO25" s="51">
        <f t="shared" ca="1" si="15"/>
        <v>0</v>
      </c>
      <c r="BP25" s="51">
        <f t="shared" ca="1" si="15"/>
        <v>0</v>
      </c>
      <c r="BQ25" s="51">
        <f t="shared" ca="1" si="15"/>
        <v>0</v>
      </c>
      <c r="BR25" s="51">
        <f t="shared" ca="1" si="15"/>
        <v>0</v>
      </c>
      <c r="BS25" s="51">
        <f t="shared" ca="1" si="15"/>
        <v>0</v>
      </c>
      <c r="BT25" s="51">
        <f t="shared" ca="1" si="15"/>
        <v>0</v>
      </c>
      <c r="BU25" s="51">
        <f t="shared" ca="1" si="15"/>
        <v>0</v>
      </c>
      <c r="BV25" s="51">
        <f t="shared" ca="1" si="15"/>
        <v>0</v>
      </c>
      <c r="BW25" s="51">
        <f t="shared" ca="1" si="15"/>
        <v>0</v>
      </c>
    </row>
    <row r="26" spans="1:75" x14ac:dyDescent="0.3">
      <c r="A26" s="5" t="s">
        <v>65</v>
      </c>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2"/>
      <c r="AG26" s="117"/>
      <c r="AH26" s="117"/>
      <c r="AI26" s="117"/>
      <c r="AJ26" s="117"/>
      <c r="AK26" s="117"/>
      <c r="AL26" s="117"/>
      <c r="AM26" s="117"/>
      <c r="AN26" s="117"/>
      <c r="AO26" s="117"/>
      <c r="AP26" s="117"/>
      <c r="AQ26" s="117"/>
      <c r="AR26" s="117"/>
      <c r="AS26" s="117"/>
      <c r="AT26" s="117"/>
      <c r="AU26" s="117"/>
      <c r="AV26" s="117"/>
      <c r="AW26" s="117"/>
      <c r="AX26" s="117"/>
      <c r="AY26" s="117"/>
      <c r="AZ26" s="117"/>
      <c r="BA26" s="117"/>
      <c r="BB26" s="117"/>
      <c r="BC26" s="117"/>
      <c r="BD26" s="117"/>
      <c r="BE26" s="117"/>
      <c r="BF26" s="117"/>
      <c r="BG26" s="117"/>
      <c r="BH26" s="117"/>
      <c r="BI26" s="117"/>
      <c r="BJ26" s="117"/>
      <c r="BK26" s="117"/>
      <c r="BL26" s="117"/>
      <c r="BM26" s="117"/>
      <c r="BN26" s="117"/>
      <c r="BO26" s="117"/>
      <c r="BP26" s="117"/>
      <c r="BQ26" s="117"/>
      <c r="BR26" s="117"/>
      <c r="BS26" s="117"/>
      <c r="BT26" s="117"/>
      <c r="BU26" s="117"/>
      <c r="BV26" s="117"/>
      <c r="BW26" s="117"/>
    </row>
    <row r="27" spans="1:75" x14ac:dyDescent="0.3">
      <c r="A27" s="5" t="s">
        <v>67</v>
      </c>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2"/>
      <c r="AG27" s="51">
        <f t="shared" ref="AG27:BW27" ca="1" si="16">AG21*AG$14</f>
        <v>32.5</v>
      </c>
      <c r="AH27" s="51">
        <f t="shared" ca="1" si="16"/>
        <v>54.06</v>
      </c>
      <c r="AI27" s="51">
        <f t="shared" ca="1" si="16"/>
        <v>81.671400000000006</v>
      </c>
      <c r="AJ27" s="51">
        <f t="shared" ca="1" si="16"/>
        <v>16.448723999999999</v>
      </c>
      <c r="AK27" s="51">
        <f t="shared" ca="1" si="16"/>
        <v>16.777698479999998</v>
      </c>
      <c r="AL27" s="51">
        <f t="shared" ca="1" si="16"/>
        <v>17.113252449600001</v>
      </c>
      <c r="AM27" s="51">
        <f t="shared" ca="1" si="16"/>
        <v>17.455517498592002</v>
      </c>
      <c r="AN27" s="51">
        <f t="shared" ca="1" si="16"/>
        <v>17.80462784856384</v>
      </c>
      <c r="AO27" s="51">
        <f t="shared" ca="1" si="16"/>
        <v>18.16072040553512</v>
      </c>
      <c r="AP27" s="51">
        <f t="shared" ca="1" si="16"/>
        <v>18.52393481364582</v>
      </c>
      <c r="AQ27" s="51">
        <f t="shared" ca="1" si="16"/>
        <v>18.894413509918738</v>
      </c>
      <c r="AR27" s="51">
        <f t="shared" ca="1" si="16"/>
        <v>19.272301780117115</v>
      </c>
      <c r="AS27" s="51">
        <f t="shared" ca="1" si="16"/>
        <v>19.657747815719453</v>
      </c>
      <c r="AT27" s="51">
        <f t="shared" ca="1" si="16"/>
        <v>0</v>
      </c>
      <c r="AU27" s="51">
        <f t="shared" ca="1" si="16"/>
        <v>0</v>
      </c>
      <c r="AV27" s="51">
        <f t="shared" ca="1" si="16"/>
        <v>0</v>
      </c>
      <c r="AW27" s="51">
        <f t="shared" ca="1" si="16"/>
        <v>0</v>
      </c>
      <c r="AX27" s="51">
        <f t="shared" ca="1" si="16"/>
        <v>0</v>
      </c>
      <c r="AY27" s="51">
        <f t="shared" ca="1" si="16"/>
        <v>0</v>
      </c>
      <c r="AZ27" s="51">
        <f t="shared" ca="1" si="16"/>
        <v>0</v>
      </c>
      <c r="BA27" s="51">
        <f t="shared" ca="1" si="16"/>
        <v>0</v>
      </c>
      <c r="BB27" s="51">
        <f t="shared" ca="1" si="16"/>
        <v>0</v>
      </c>
      <c r="BC27" s="51">
        <f t="shared" ca="1" si="16"/>
        <v>0</v>
      </c>
      <c r="BD27" s="51">
        <f t="shared" ca="1" si="16"/>
        <v>0</v>
      </c>
      <c r="BE27" s="51">
        <f t="shared" ca="1" si="16"/>
        <v>0</v>
      </c>
      <c r="BF27" s="51">
        <f t="shared" ca="1" si="16"/>
        <v>0</v>
      </c>
      <c r="BG27" s="51">
        <f t="shared" ca="1" si="16"/>
        <v>0</v>
      </c>
      <c r="BH27" s="51">
        <f t="shared" ca="1" si="16"/>
        <v>0</v>
      </c>
      <c r="BI27" s="51">
        <f t="shared" ca="1" si="16"/>
        <v>0</v>
      </c>
      <c r="BJ27" s="51">
        <f t="shared" ca="1" si="16"/>
        <v>0</v>
      </c>
      <c r="BK27" s="51">
        <f t="shared" ca="1" si="16"/>
        <v>0</v>
      </c>
      <c r="BL27" s="51">
        <f t="shared" ca="1" si="16"/>
        <v>0</v>
      </c>
      <c r="BM27" s="51">
        <f t="shared" ca="1" si="16"/>
        <v>0</v>
      </c>
      <c r="BN27" s="51">
        <f t="shared" ca="1" si="16"/>
        <v>0</v>
      </c>
      <c r="BO27" s="51">
        <f t="shared" ca="1" si="16"/>
        <v>0</v>
      </c>
      <c r="BP27" s="51">
        <f t="shared" ca="1" si="16"/>
        <v>0</v>
      </c>
      <c r="BQ27" s="51">
        <f t="shared" ca="1" si="16"/>
        <v>0</v>
      </c>
      <c r="BR27" s="51">
        <f t="shared" ca="1" si="16"/>
        <v>0</v>
      </c>
      <c r="BS27" s="51">
        <f t="shared" ca="1" si="16"/>
        <v>0</v>
      </c>
      <c r="BT27" s="51">
        <f t="shared" ca="1" si="16"/>
        <v>0</v>
      </c>
      <c r="BU27" s="51">
        <f t="shared" ca="1" si="16"/>
        <v>0</v>
      </c>
      <c r="BV27" s="51">
        <f t="shared" ca="1" si="16"/>
        <v>0</v>
      </c>
      <c r="BW27" s="51">
        <f t="shared" ca="1" si="16"/>
        <v>0</v>
      </c>
    </row>
    <row r="28" spans="1:75" x14ac:dyDescent="0.3">
      <c r="A28" s="5" t="s">
        <v>66</v>
      </c>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2"/>
      <c r="AG28" s="51">
        <f t="shared" ref="AG28:BW28" ca="1" si="17">AG22*AG$14</f>
        <v>97.555000000000007</v>
      </c>
      <c r="AH28" s="51">
        <f t="shared" ca="1" si="17"/>
        <v>270.25512000000003</v>
      </c>
      <c r="AI28" s="51">
        <f t="shared" ca="1" si="17"/>
        <v>233.3742048</v>
      </c>
      <c r="AJ28" s="51">
        <f t="shared" ca="1" si="17"/>
        <v>290.874990384</v>
      </c>
      <c r="AK28" s="51">
        <f t="shared" ca="1" si="17"/>
        <v>232.9448129928</v>
      </c>
      <c r="AL28" s="51">
        <f t="shared" ca="1" si="17"/>
        <v>240.4047622503744</v>
      </c>
      <c r="AM28" s="51">
        <f t="shared" ca="1" si="17"/>
        <v>20.270923546752002</v>
      </c>
      <c r="AN28" s="51">
        <f t="shared" ca="1" si="17"/>
        <v>20.676342017687041</v>
      </c>
      <c r="AO28" s="51">
        <f t="shared" ca="1" si="17"/>
        <v>21.089868858040784</v>
      </c>
      <c r="AP28" s="51">
        <f t="shared" ca="1" si="17"/>
        <v>21.511666235201599</v>
      </c>
      <c r="AQ28" s="51">
        <f t="shared" ca="1" si="17"/>
        <v>21.941899559905632</v>
      </c>
      <c r="AR28" s="51">
        <f t="shared" ca="1" si="17"/>
        <v>22.380737551103746</v>
      </c>
      <c r="AS28" s="51">
        <f t="shared" ca="1" si="17"/>
        <v>22.828352302125818</v>
      </c>
      <c r="AT28" s="51">
        <f t="shared" ca="1" si="17"/>
        <v>23.284919348168334</v>
      </c>
      <c r="AU28" s="51">
        <f t="shared" ca="1" si="17"/>
        <v>23.750617735131701</v>
      </c>
      <c r="AV28" s="51">
        <f t="shared" ca="1" si="17"/>
        <v>24.22563008983434</v>
      </c>
      <c r="AW28" s="51">
        <f t="shared" ca="1" si="17"/>
        <v>24.710142691631024</v>
      </c>
      <c r="AX28" s="51">
        <f t="shared" ca="1" si="17"/>
        <v>25.204345545463646</v>
      </c>
      <c r="AY28" s="51">
        <f t="shared" ca="1" si="17"/>
        <v>25.708432456372922</v>
      </c>
      <c r="AZ28" s="51">
        <f t="shared" ca="1" si="17"/>
        <v>26.222601105500377</v>
      </c>
      <c r="BA28" s="51">
        <f t="shared" ca="1" si="17"/>
        <v>26.747053127610389</v>
      </c>
      <c r="BB28" s="51">
        <f t="shared" ca="1" si="17"/>
        <v>27.2819941901626</v>
      </c>
      <c r="BC28" s="51">
        <f t="shared" ca="1" si="17"/>
        <v>27.82763407396585</v>
      </c>
      <c r="BD28" s="51">
        <f t="shared" ca="1" si="17"/>
        <v>28.384186755445167</v>
      </c>
      <c r="BE28" s="51">
        <f t="shared" ca="1" si="17"/>
        <v>28.951870490554072</v>
      </c>
      <c r="BF28" s="51">
        <f t="shared" ca="1" si="17"/>
        <v>29.53090790036515</v>
      </c>
      <c r="BG28" s="51">
        <f t="shared" ca="1" si="17"/>
        <v>0</v>
      </c>
      <c r="BH28" s="51">
        <f t="shared" ca="1" si="17"/>
        <v>0</v>
      </c>
      <c r="BI28" s="51">
        <f t="shared" ca="1" si="17"/>
        <v>0</v>
      </c>
      <c r="BJ28" s="51">
        <f t="shared" ca="1" si="17"/>
        <v>0</v>
      </c>
      <c r="BK28" s="51">
        <f t="shared" ca="1" si="17"/>
        <v>0</v>
      </c>
      <c r="BL28" s="51">
        <f t="shared" ca="1" si="17"/>
        <v>0</v>
      </c>
      <c r="BM28" s="51">
        <f t="shared" ca="1" si="17"/>
        <v>0</v>
      </c>
      <c r="BN28" s="51">
        <f t="shared" ca="1" si="17"/>
        <v>0</v>
      </c>
      <c r="BO28" s="51">
        <f t="shared" ca="1" si="17"/>
        <v>0</v>
      </c>
      <c r="BP28" s="51">
        <f t="shared" ca="1" si="17"/>
        <v>0</v>
      </c>
      <c r="BQ28" s="51">
        <f t="shared" ca="1" si="17"/>
        <v>0</v>
      </c>
      <c r="BR28" s="51">
        <f t="shared" ca="1" si="17"/>
        <v>0</v>
      </c>
      <c r="BS28" s="51">
        <f t="shared" ca="1" si="17"/>
        <v>0</v>
      </c>
      <c r="BT28" s="51">
        <f t="shared" ca="1" si="17"/>
        <v>0</v>
      </c>
      <c r="BU28" s="51">
        <f t="shared" ca="1" si="17"/>
        <v>0</v>
      </c>
      <c r="BV28" s="51">
        <f t="shared" ca="1" si="17"/>
        <v>0</v>
      </c>
      <c r="BW28" s="51">
        <f t="shared" ca="1" si="17"/>
        <v>0</v>
      </c>
    </row>
    <row r="29" spans="1:75" x14ac:dyDescent="0.3">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row>
    <row r="30" spans="1:75" s="201" customFormat="1" x14ac:dyDescent="0.3">
      <c r="A30" s="201" t="s">
        <v>15</v>
      </c>
      <c r="B30" s="202"/>
      <c r="C30" s="202"/>
      <c r="D30" s="202"/>
      <c r="E30" s="202"/>
      <c r="F30" s="202"/>
      <c r="G30" s="202"/>
      <c r="H30" s="202"/>
      <c r="I30" s="202"/>
      <c r="J30" s="202"/>
      <c r="K30" s="202"/>
      <c r="L30" s="202"/>
      <c r="M30" s="202"/>
      <c r="N30" s="202"/>
      <c r="O30" s="202"/>
      <c r="P30" s="202"/>
      <c r="Q30" s="202"/>
      <c r="R30" s="202"/>
      <c r="S30" s="202"/>
      <c r="T30" s="202"/>
      <c r="U30" s="202"/>
      <c r="V30" s="202"/>
      <c r="W30" s="202"/>
      <c r="X30" s="202"/>
      <c r="Y30" s="202"/>
      <c r="Z30" s="202"/>
      <c r="AA30" s="202"/>
      <c r="AB30" s="202"/>
      <c r="AC30" s="202"/>
      <c r="AD30" s="202"/>
      <c r="AE30" s="202"/>
      <c r="AF30" s="203"/>
      <c r="AG30" s="203"/>
      <c r="AH30" s="203"/>
      <c r="AI30" s="203"/>
      <c r="AJ30" s="203"/>
      <c r="AK30" s="203"/>
      <c r="AL30" s="203"/>
      <c r="AM30" s="203"/>
      <c r="AN30" s="203"/>
      <c r="AO30" s="203"/>
      <c r="AP30" s="203"/>
      <c r="AQ30" s="203"/>
      <c r="AR30" s="203"/>
      <c r="AS30" s="203"/>
      <c r="AT30" s="203"/>
      <c r="AU30" s="203"/>
      <c r="AV30" s="203"/>
      <c r="AW30" s="203"/>
      <c r="AX30" s="203"/>
      <c r="AY30" s="203"/>
      <c r="AZ30" s="203"/>
      <c r="BA30" s="203"/>
      <c r="BB30" s="203"/>
      <c r="BC30" s="203"/>
      <c r="BD30" s="203"/>
      <c r="BE30" s="203"/>
      <c r="BF30" s="203"/>
      <c r="BG30" s="203"/>
      <c r="BH30" s="203"/>
      <c r="BI30" s="203"/>
      <c r="BJ30" s="203"/>
      <c r="BK30" s="203"/>
      <c r="BL30" s="203"/>
      <c r="BM30" s="203"/>
      <c r="BN30" s="203"/>
      <c r="BO30" s="203"/>
      <c r="BP30" s="203"/>
      <c r="BQ30" s="203"/>
      <c r="BR30" s="203"/>
      <c r="BS30" s="203"/>
      <c r="BT30" s="203"/>
      <c r="BU30" s="203"/>
      <c r="BV30" s="203"/>
      <c r="BW30" s="203"/>
    </row>
    <row r="31" spans="1:75" s="11" customFormat="1" ht="9.6" x14ac:dyDescent="0.2"/>
    <row r="32" spans="1:75" x14ac:dyDescent="0.3">
      <c r="A32" s="4" t="s">
        <v>12</v>
      </c>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2"/>
      <c r="AG32" s="48">
        <f t="shared" ref="AG32:BL32" ca="1" si="18">SUM(AG33:AG36)</f>
        <v>11.7</v>
      </c>
      <c r="AH32" s="48">
        <f t="shared" ca="1" si="18"/>
        <v>11.7</v>
      </c>
      <c r="AI32" s="48">
        <f t="shared" ca="1" si="18"/>
        <v>23.4</v>
      </c>
      <c r="AJ32" s="48">
        <f t="shared" ca="1" si="18"/>
        <v>0</v>
      </c>
      <c r="AK32" s="48">
        <f t="shared" ca="1" si="18"/>
        <v>11.7</v>
      </c>
      <c r="AL32" s="48">
        <f t="shared" ca="1" si="18"/>
        <v>11.7</v>
      </c>
      <c r="AM32" s="48">
        <f t="shared" ca="1" si="18"/>
        <v>0</v>
      </c>
      <c r="AN32" s="48">
        <f t="shared" ca="1" si="18"/>
        <v>0</v>
      </c>
      <c r="AO32" s="48">
        <f t="shared" ca="1" si="18"/>
        <v>0</v>
      </c>
      <c r="AP32" s="48">
        <f t="shared" ca="1" si="18"/>
        <v>0</v>
      </c>
      <c r="AQ32" s="48">
        <f t="shared" ca="1" si="18"/>
        <v>0</v>
      </c>
      <c r="AR32" s="48">
        <f t="shared" ca="1" si="18"/>
        <v>0</v>
      </c>
      <c r="AS32" s="48">
        <f t="shared" ca="1" si="18"/>
        <v>0</v>
      </c>
      <c r="AT32" s="48">
        <f t="shared" ca="1" si="18"/>
        <v>0</v>
      </c>
      <c r="AU32" s="48">
        <f t="shared" ca="1" si="18"/>
        <v>0</v>
      </c>
      <c r="AV32" s="48">
        <f t="shared" ca="1" si="18"/>
        <v>0</v>
      </c>
      <c r="AW32" s="48">
        <f t="shared" ca="1" si="18"/>
        <v>93.1</v>
      </c>
      <c r="AX32" s="48">
        <f t="shared" ca="1" si="18"/>
        <v>0</v>
      </c>
      <c r="AY32" s="48">
        <f t="shared" ca="1" si="18"/>
        <v>0</v>
      </c>
      <c r="AZ32" s="48">
        <f t="shared" ca="1" si="18"/>
        <v>0</v>
      </c>
      <c r="BA32" s="48">
        <f t="shared" ca="1" si="18"/>
        <v>0</v>
      </c>
      <c r="BB32" s="48">
        <f t="shared" ca="1" si="18"/>
        <v>0</v>
      </c>
      <c r="BC32" s="48">
        <f t="shared" ca="1" si="18"/>
        <v>0</v>
      </c>
      <c r="BD32" s="48">
        <f t="shared" ca="1" si="18"/>
        <v>0</v>
      </c>
      <c r="BE32" s="48">
        <f t="shared" ca="1" si="18"/>
        <v>0</v>
      </c>
      <c r="BF32" s="48">
        <f t="shared" ca="1" si="18"/>
        <v>0</v>
      </c>
      <c r="BG32" s="48">
        <f t="shared" ca="1" si="18"/>
        <v>0</v>
      </c>
      <c r="BH32" s="48">
        <f t="shared" ca="1" si="18"/>
        <v>0</v>
      </c>
      <c r="BI32" s="48">
        <f t="shared" ca="1" si="18"/>
        <v>0</v>
      </c>
      <c r="BJ32" s="48">
        <f ca="1">SUM(BJ33:BJ36)</f>
        <v>940.40099999999995</v>
      </c>
      <c r="BK32" s="48">
        <f t="shared" ca="1" si="18"/>
        <v>0</v>
      </c>
      <c r="BL32" s="48">
        <f t="shared" ca="1" si="18"/>
        <v>0</v>
      </c>
      <c r="BM32" s="48">
        <f t="shared" ref="BM32:BW32" ca="1" si="19">SUM(BM33:BM36)</f>
        <v>0</v>
      </c>
      <c r="BN32" s="48">
        <f t="shared" ca="1" si="19"/>
        <v>0</v>
      </c>
      <c r="BO32" s="48">
        <f t="shared" ca="1" si="19"/>
        <v>0</v>
      </c>
      <c r="BP32" s="48">
        <f t="shared" ca="1" si="19"/>
        <v>0</v>
      </c>
      <c r="BQ32" s="48">
        <f t="shared" ca="1" si="19"/>
        <v>0</v>
      </c>
      <c r="BR32" s="48">
        <f t="shared" ca="1" si="19"/>
        <v>0</v>
      </c>
      <c r="BS32" s="48">
        <f t="shared" ca="1" si="19"/>
        <v>0</v>
      </c>
      <c r="BT32" s="48">
        <f t="shared" ca="1" si="19"/>
        <v>0</v>
      </c>
      <c r="BU32" s="48">
        <f t="shared" ca="1" si="19"/>
        <v>0</v>
      </c>
      <c r="BV32" s="48">
        <f t="shared" ca="1" si="19"/>
        <v>0</v>
      </c>
      <c r="BW32" s="48">
        <f t="shared" ca="1" si="19"/>
        <v>0</v>
      </c>
    </row>
    <row r="33" spans="1:75" x14ac:dyDescent="0.3">
      <c r="A33" s="5" t="s">
        <v>64</v>
      </c>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2"/>
      <c r="AG33" s="196">
        <f t="shared" ref="AG33:BW33" ca="1" si="20">SUMIFS(INDIRECT("'"&amp;$A33&amp;$B$11&amp;"'!"&amp;"$w:$w"),INDIRECT("'"&amp;$A33&amp;$B$11&amp;"'!"&amp;"$A:$A"),AG$1)/1000</f>
        <v>0</v>
      </c>
      <c r="AH33" s="196">
        <f t="shared" ca="1" si="20"/>
        <v>0</v>
      </c>
      <c r="AI33" s="196">
        <f t="shared" ca="1" si="20"/>
        <v>0</v>
      </c>
      <c r="AJ33" s="196">
        <f t="shared" ca="1" si="20"/>
        <v>0</v>
      </c>
      <c r="AK33" s="196">
        <f t="shared" ca="1" si="20"/>
        <v>0</v>
      </c>
      <c r="AL33" s="196">
        <f t="shared" ca="1" si="20"/>
        <v>0</v>
      </c>
      <c r="AM33" s="196">
        <f t="shared" ca="1" si="20"/>
        <v>0</v>
      </c>
      <c r="AN33" s="196">
        <f t="shared" ca="1" si="20"/>
        <v>0</v>
      </c>
      <c r="AO33" s="196">
        <f t="shared" ca="1" si="20"/>
        <v>0</v>
      </c>
      <c r="AP33" s="196">
        <f t="shared" ca="1" si="20"/>
        <v>0</v>
      </c>
      <c r="AQ33" s="196">
        <f t="shared" ca="1" si="20"/>
        <v>0</v>
      </c>
      <c r="AR33" s="196">
        <f t="shared" ca="1" si="20"/>
        <v>0</v>
      </c>
      <c r="AS33" s="196">
        <f t="shared" ca="1" si="20"/>
        <v>0</v>
      </c>
      <c r="AT33" s="196">
        <f t="shared" ca="1" si="20"/>
        <v>0</v>
      </c>
      <c r="AU33" s="196">
        <f t="shared" ca="1" si="20"/>
        <v>0</v>
      </c>
      <c r="AV33" s="196">
        <f t="shared" ca="1" si="20"/>
        <v>0</v>
      </c>
      <c r="AW33" s="196">
        <f t="shared" ca="1" si="20"/>
        <v>0</v>
      </c>
      <c r="AX33" s="196">
        <f t="shared" ca="1" si="20"/>
        <v>0</v>
      </c>
      <c r="AY33" s="196">
        <f t="shared" ca="1" si="20"/>
        <v>0</v>
      </c>
      <c r="AZ33" s="196">
        <f t="shared" ca="1" si="20"/>
        <v>0</v>
      </c>
      <c r="BA33" s="196">
        <f t="shared" ca="1" si="20"/>
        <v>0</v>
      </c>
      <c r="BB33" s="196">
        <f t="shared" ca="1" si="20"/>
        <v>0</v>
      </c>
      <c r="BC33" s="196">
        <f t="shared" ca="1" si="20"/>
        <v>0</v>
      </c>
      <c r="BD33" s="196">
        <f t="shared" ca="1" si="20"/>
        <v>0</v>
      </c>
      <c r="BE33" s="196">
        <f t="shared" ca="1" si="20"/>
        <v>0</v>
      </c>
      <c r="BF33" s="196">
        <f t="shared" ca="1" si="20"/>
        <v>0</v>
      </c>
      <c r="BG33" s="196">
        <f t="shared" ca="1" si="20"/>
        <v>0</v>
      </c>
      <c r="BH33" s="196">
        <f t="shared" ca="1" si="20"/>
        <v>0</v>
      </c>
      <c r="BI33" s="196">
        <f t="shared" ca="1" si="20"/>
        <v>0</v>
      </c>
      <c r="BJ33" s="196">
        <f t="shared" ca="1" si="20"/>
        <v>249.24600000000001</v>
      </c>
      <c r="BK33" s="196">
        <f t="shared" ca="1" si="20"/>
        <v>0</v>
      </c>
      <c r="BL33" s="196">
        <f t="shared" ca="1" si="20"/>
        <v>0</v>
      </c>
      <c r="BM33" s="196">
        <f t="shared" ca="1" si="20"/>
        <v>0</v>
      </c>
      <c r="BN33" s="196">
        <f t="shared" ca="1" si="20"/>
        <v>0</v>
      </c>
      <c r="BO33" s="196">
        <f t="shared" ca="1" si="20"/>
        <v>0</v>
      </c>
      <c r="BP33" s="196">
        <f t="shared" ca="1" si="20"/>
        <v>0</v>
      </c>
      <c r="BQ33" s="196">
        <f t="shared" ca="1" si="20"/>
        <v>0</v>
      </c>
      <c r="BR33" s="196">
        <f t="shared" ca="1" si="20"/>
        <v>0</v>
      </c>
      <c r="BS33" s="196">
        <f t="shared" ca="1" si="20"/>
        <v>0</v>
      </c>
      <c r="BT33" s="196">
        <f t="shared" ca="1" si="20"/>
        <v>0</v>
      </c>
      <c r="BU33" s="196">
        <f t="shared" ca="1" si="20"/>
        <v>0</v>
      </c>
      <c r="BV33" s="196">
        <f t="shared" ca="1" si="20"/>
        <v>0</v>
      </c>
      <c r="BW33" s="196">
        <f t="shared" ca="1" si="20"/>
        <v>0</v>
      </c>
    </row>
    <row r="34" spans="1:75" x14ac:dyDescent="0.3">
      <c r="A34" s="5" t="s">
        <v>65</v>
      </c>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2"/>
      <c r="AG34" s="117"/>
      <c r="AH34" s="117"/>
      <c r="AI34" s="117"/>
      <c r="AJ34" s="117"/>
      <c r="AK34" s="117"/>
      <c r="AL34" s="117"/>
      <c r="AM34" s="117"/>
      <c r="AN34" s="117"/>
      <c r="AO34" s="117"/>
      <c r="AP34" s="117"/>
      <c r="AQ34" s="117"/>
      <c r="AR34" s="117"/>
      <c r="AS34" s="117"/>
      <c r="AT34" s="117"/>
      <c r="AU34" s="117"/>
      <c r="AV34" s="117"/>
      <c r="AW34" s="117"/>
      <c r="AX34" s="117"/>
      <c r="AY34" s="117"/>
      <c r="AZ34" s="117"/>
      <c r="BA34" s="117"/>
      <c r="BB34" s="117"/>
      <c r="BC34" s="117"/>
      <c r="BD34" s="117"/>
      <c r="BE34" s="117"/>
      <c r="BF34" s="117"/>
      <c r="BG34" s="117"/>
      <c r="BH34" s="117"/>
      <c r="BI34" s="117"/>
      <c r="BJ34" s="117"/>
      <c r="BK34" s="117"/>
      <c r="BL34" s="117"/>
      <c r="BM34" s="117"/>
      <c r="BN34" s="117"/>
      <c r="BO34" s="117"/>
      <c r="BP34" s="117"/>
      <c r="BQ34" s="117"/>
      <c r="BR34" s="117"/>
      <c r="BS34" s="117"/>
      <c r="BT34" s="117"/>
      <c r="BU34" s="117"/>
      <c r="BV34" s="117"/>
      <c r="BW34" s="117"/>
    </row>
    <row r="35" spans="1:75" x14ac:dyDescent="0.3">
      <c r="A35" s="5" t="s">
        <v>67</v>
      </c>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2"/>
      <c r="AG35" s="196">
        <f t="shared" ref="AG35:AP36" ca="1" si="21">SUMIFS(INDIRECT("'"&amp;$A35&amp;$B$11&amp;"'!"&amp;"$y:$y"),INDIRECT("'"&amp;$A35&amp;$B$11&amp;"'!"&amp;"$A:$A"),AG$1)/1000</f>
        <v>0</v>
      </c>
      <c r="AH35" s="196">
        <f t="shared" ca="1" si="21"/>
        <v>0</v>
      </c>
      <c r="AI35" s="196">
        <f t="shared" ca="1" si="21"/>
        <v>0</v>
      </c>
      <c r="AJ35" s="196">
        <f t="shared" ca="1" si="21"/>
        <v>0</v>
      </c>
      <c r="AK35" s="196">
        <f t="shared" ca="1" si="21"/>
        <v>0</v>
      </c>
      <c r="AL35" s="196">
        <f t="shared" ca="1" si="21"/>
        <v>0</v>
      </c>
      <c r="AM35" s="196">
        <f t="shared" ca="1" si="21"/>
        <v>0</v>
      </c>
      <c r="AN35" s="196">
        <f t="shared" ca="1" si="21"/>
        <v>0</v>
      </c>
      <c r="AO35" s="196">
        <f t="shared" ca="1" si="21"/>
        <v>0</v>
      </c>
      <c r="AP35" s="196">
        <f t="shared" ca="1" si="21"/>
        <v>0</v>
      </c>
      <c r="AQ35" s="196">
        <f t="shared" ref="AQ35:AZ36" ca="1" si="22">SUMIFS(INDIRECT("'"&amp;$A35&amp;$B$11&amp;"'!"&amp;"$y:$y"),INDIRECT("'"&amp;$A35&amp;$B$11&amp;"'!"&amp;"$A:$A"),AQ$1)/1000</f>
        <v>0</v>
      </c>
      <c r="AR35" s="196">
        <f t="shared" ca="1" si="22"/>
        <v>0</v>
      </c>
      <c r="AS35" s="196">
        <f t="shared" ca="1" si="22"/>
        <v>0</v>
      </c>
      <c r="AT35" s="196">
        <f t="shared" ca="1" si="22"/>
        <v>0</v>
      </c>
      <c r="AU35" s="196">
        <f t="shared" ca="1" si="22"/>
        <v>0</v>
      </c>
      <c r="AV35" s="196">
        <f t="shared" ca="1" si="22"/>
        <v>0</v>
      </c>
      <c r="AW35" s="196">
        <f t="shared" ca="1" si="22"/>
        <v>93.1</v>
      </c>
      <c r="AX35" s="196">
        <f t="shared" ca="1" si="22"/>
        <v>0</v>
      </c>
      <c r="AY35" s="196">
        <f t="shared" ca="1" si="22"/>
        <v>0</v>
      </c>
      <c r="AZ35" s="196">
        <f t="shared" ca="1" si="22"/>
        <v>0</v>
      </c>
      <c r="BA35" s="196">
        <f t="shared" ref="BA35:BJ36" ca="1" si="23">SUMIFS(INDIRECT("'"&amp;$A35&amp;$B$11&amp;"'!"&amp;"$y:$y"),INDIRECT("'"&amp;$A35&amp;$B$11&amp;"'!"&amp;"$A:$A"),BA$1)/1000</f>
        <v>0</v>
      </c>
      <c r="BB35" s="196">
        <f t="shared" ca="1" si="23"/>
        <v>0</v>
      </c>
      <c r="BC35" s="196">
        <f t="shared" ca="1" si="23"/>
        <v>0</v>
      </c>
      <c r="BD35" s="196">
        <f t="shared" ca="1" si="23"/>
        <v>0</v>
      </c>
      <c r="BE35" s="196">
        <f t="shared" ca="1" si="23"/>
        <v>0</v>
      </c>
      <c r="BF35" s="196">
        <f t="shared" ca="1" si="23"/>
        <v>0</v>
      </c>
      <c r="BG35" s="196">
        <f t="shared" ca="1" si="23"/>
        <v>0</v>
      </c>
      <c r="BH35" s="196">
        <f t="shared" ca="1" si="23"/>
        <v>0</v>
      </c>
      <c r="BI35" s="196">
        <f t="shared" ca="1" si="23"/>
        <v>0</v>
      </c>
      <c r="BJ35" s="196">
        <f t="shared" ca="1" si="23"/>
        <v>0</v>
      </c>
      <c r="BK35" s="196">
        <f t="shared" ref="BK35:BW36" ca="1" si="24">SUMIFS(INDIRECT("'"&amp;$A35&amp;$B$11&amp;"'!"&amp;"$y:$y"),INDIRECT("'"&amp;$A35&amp;$B$11&amp;"'!"&amp;"$A:$A"),BK$1)/1000</f>
        <v>0</v>
      </c>
      <c r="BL35" s="196">
        <f t="shared" ca="1" si="24"/>
        <v>0</v>
      </c>
      <c r="BM35" s="196">
        <f t="shared" ca="1" si="24"/>
        <v>0</v>
      </c>
      <c r="BN35" s="196">
        <f t="shared" ca="1" si="24"/>
        <v>0</v>
      </c>
      <c r="BO35" s="196">
        <f t="shared" ca="1" si="24"/>
        <v>0</v>
      </c>
      <c r="BP35" s="196">
        <f t="shared" ca="1" si="24"/>
        <v>0</v>
      </c>
      <c r="BQ35" s="196">
        <f t="shared" ca="1" si="24"/>
        <v>0</v>
      </c>
      <c r="BR35" s="196">
        <f t="shared" ca="1" si="24"/>
        <v>0</v>
      </c>
      <c r="BS35" s="196">
        <f t="shared" ca="1" si="24"/>
        <v>0</v>
      </c>
      <c r="BT35" s="196">
        <f t="shared" ca="1" si="24"/>
        <v>0</v>
      </c>
      <c r="BU35" s="196">
        <f t="shared" ca="1" si="24"/>
        <v>0</v>
      </c>
      <c r="BV35" s="196">
        <f t="shared" ca="1" si="24"/>
        <v>0</v>
      </c>
      <c r="BW35" s="196">
        <f t="shared" ca="1" si="24"/>
        <v>0</v>
      </c>
    </row>
    <row r="36" spans="1:75" x14ac:dyDescent="0.3">
      <c r="A36" s="5" t="s">
        <v>66</v>
      </c>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2"/>
      <c r="AG36" s="196">
        <f t="shared" ca="1" si="21"/>
        <v>11.7</v>
      </c>
      <c r="AH36" s="196">
        <f t="shared" ca="1" si="21"/>
        <v>11.7</v>
      </c>
      <c r="AI36" s="196">
        <f t="shared" ca="1" si="21"/>
        <v>23.4</v>
      </c>
      <c r="AJ36" s="196">
        <f t="shared" ca="1" si="21"/>
        <v>0</v>
      </c>
      <c r="AK36" s="196">
        <f t="shared" ca="1" si="21"/>
        <v>11.7</v>
      </c>
      <c r="AL36" s="196">
        <f t="shared" ca="1" si="21"/>
        <v>11.7</v>
      </c>
      <c r="AM36" s="196">
        <f t="shared" ca="1" si="21"/>
        <v>0</v>
      </c>
      <c r="AN36" s="196">
        <f t="shared" ca="1" si="21"/>
        <v>0</v>
      </c>
      <c r="AO36" s="196">
        <f t="shared" ca="1" si="21"/>
        <v>0</v>
      </c>
      <c r="AP36" s="196">
        <f t="shared" ca="1" si="21"/>
        <v>0</v>
      </c>
      <c r="AQ36" s="196">
        <f t="shared" ca="1" si="22"/>
        <v>0</v>
      </c>
      <c r="AR36" s="196">
        <f t="shared" ca="1" si="22"/>
        <v>0</v>
      </c>
      <c r="AS36" s="196">
        <f t="shared" ca="1" si="22"/>
        <v>0</v>
      </c>
      <c r="AT36" s="196">
        <f t="shared" ca="1" si="22"/>
        <v>0</v>
      </c>
      <c r="AU36" s="196">
        <f t="shared" ca="1" si="22"/>
        <v>0</v>
      </c>
      <c r="AV36" s="196">
        <f t="shared" ca="1" si="22"/>
        <v>0</v>
      </c>
      <c r="AW36" s="196">
        <f t="shared" ca="1" si="22"/>
        <v>0</v>
      </c>
      <c r="AX36" s="196">
        <f t="shared" ca="1" si="22"/>
        <v>0</v>
      </c>
      <c r="AY36" s="196">
        <f t="shared" ca="1" si="22"/>
        <v>0</v>
      </c>
      <c r="AZ36" s="196">
        <f t="shared" ca="1" si="22"/>
        <v>0</v>
      </c>
      <c r="BA36" s="196">
        <f t="shared" ca="1" si="23"/>
        <v>0</v>
      </c>
      <c r="BB36" s="196">
        <f t="shared" ca="1" si="23"/>
        <v>0</v>
      </c>
      <c r="BC36" s="196">
        <f t="shared" ca="1" si="23"/>
        <v>0</v>
      </c>
      <c r="BD36" s="196">
        <f t="shared" ca="1" si="23"/>
        <v>0</v>
      </c>
      <c r="BE36" s="196">
        <f t="shared" ca="1" si="23"/>
        <v>0</v>
      </c>
      <c r="BF36" s="196">
        <f t="shared" ca="1" si="23"/>
        <v>0</v>
      </c>
      <c r="BG36" s="196">
        <f t="shared" ca="1" si="23"/>
        <v>0</v>
      </c>
      <c r="BH36" s="196">
        <f t="shared" ca="1" si="23"/>
        <v>0</v>
      </c>
      <c r="BI36" s="196">
        <f t="shared" ca="1" si="23"/>
        <v>0</v>
      </c>
      <c r="BJ36" s="196">
        <f t="shared" ca="1" si="23"/>
        <v>691.15499999999997</v>
      </c>
      <c r="BK36" s="196">
        <f t="shared" ca="1" si="24"/>
        <v>0</v>
      </c>
      <c r="BL36" s="196">
        <f t="shared" ca="1" si="24"/>
        <v>0</v>
      </c>
      <c r="BM36" s="196">
        <f t="shared" ca="1" si="24"/>
        <v>0</v>
      </c>
      <c r="BN36" s="196">
        <f t="shared" ca="1" si="24"/>
        <v>0</v>
      </c>
      <c r="BO36" s="196">
        <f t="shared" ca="1" si="24"/>
        <v>0</v>
      </c>
      <c r="BP36" s="196">
        <f t="shared" ca="1" si="24"/>
        <v>0</v>
      </c>
      <c r="BQ36" s="196">
        <f t="shared" ca="1" si="24"/>
        <v>0</v>
      </c>
      <c r="BR36" s="196">
        <f t="shared" ca="1" si="24"/>
        <v>0</v>
      </c>
      <c r="BS36" s="196">
        <f t="shared" ca="1" si="24"/>
        <v>0</v>
      </c>
      <c r="BT36" s="196">
        <f t="shared" ca="1" si="24"/>
        <v>0</v>
      </c>
      <c r="BU36" s="196">
        <f t="shared" ca="1" si="24"/>
        <v>0</v>
      </c>
      <c r="BV36" s="196">
        <f t="shared" ca="1" si="24"/>
        <v>0</v>
      </c>
      <c r="BW36" s="196">
        <f t="shared" ca="1" si="24"/>
        <v>0</v>
      </c>
    </row>
    <row r="37" spans="1:75" x14ac:dyDescent="0.3">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2"/>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row>
    <row r="38" spans="1:75" x14ac:dyDescent="0.3">
      <c r="A38" s="4" t="s">
        <v>13</v>
      </c>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2"/>
      <c r="AG38" s="48">
        <f t="shared" ref="AG38:BL38" ca="1" si="25">SUM(AG39:AG42)</f>
        <v>11.7</v>
      </c>
      <c r="AH38" s="48">
        <f t="shared" ca="1" si="25"/>
        <v>11.933999999999999</v>
      </c>
      <c r="AI38" s="48">
        <f t="shared" ca="1" si="25"/>
        <v>24.345359999999999</v>
      </c>
      <c r="AJ38" s="48">
        <f t="shared" ca="1" si="25"/>
        <v>0</v>
      </c>
      <c r="AK38" s="48">
        <f t="shared" ca="1" si="25"/>
        <v>12.664456271999999</v>
      </c>
      <c r="AL38" s="48">
        <f t="shared" ca="1" si="25"/>
        <v>12.917745397439999</v>
      </c>
      <c r="AM38" s="48">
        <f t="shared" ca="1" si="25"/>
        <v>0</v>
      </c>
      <c r="AN38" s="48">
        <f t="shared" ca="1" si="25"/>
        <v>0</v>
      </c>
      <c r="AO38" s="48">
        <f t="shared" ca="1" si="25"/>
        <v>0</v>
      </c>
      <c r="AP38" s="48">
        <f t="shared" ca="1" si="25"/>
        <v>0</v>
      </c>
      <c r="AQ38" s="48">
        <f t="shared" ca="1" si="25"/>
        <v>0</v>
      </c>
      <c r="AR38" s="48">
        <f t="shared" ca="1" si="25"/>
        <v>0</v>
      </c>
      <c r="AS38" s="48">
        <f t="shared" ca="1" si="25"/>
        <v>0</v>
      </c>
      <c r="AT38" s="48">
        <f t="shared" ca="1" si="25"/>
        <v>0</v>
      </c>
      <c r="AU38" s="48">
        <f t="shared" ca="1" si="25"/>
        <v>0</v>
      </c>
      <c r="AV38" s="48">
        <f t="shared" ca="1" si="25"/>
        <v>0</v>
      </c>
      <c r="AW38" s="48">
        <f t="shared" ca="1" si="25"/>
        <v>127.80634914393602</v>
      </c>
      <c r="AX38" s="48">
        <f t="shared" ca="1" si="25"/>
        <v>0</v>
      </c>
      <c r="AY38" s="48">
        <f t="shared" ca="1" si="25"/>
        <v>0</v>
      </c>
      <c r="AZ38" s="48">
        <f t="shared" ca="1" si="25"/>
        <v>0</v>
      </c>
      <c r="BA38" s="48">
        <f t="shared" ca="1" si="25"/>
        <v>0</v>
      </c>
      <c r="BB38" s="48">
        <f t="shared" ca="1" si="25"/>
        <v>0</v>
      </c>
      <c r="BC38" s="48">
        <f t="shared" ca="1" si="25"/>
        <v>0</v>
      </c>
      <c r="BD38" s="48">
        <f t="shared" ca="1" si="25"/>
        <v>0</v>
      </c>
      <c r="BE38" s="48">
        <f t="shared" ca="1" si="25"/>
        <v>0</v>
      </c>
      <c r="BF38" s="48">
        <f t="shared" ca="1" si="25"/>
        <v>0</v>
      </c>
      <c r="BG38" s="48">
        <f t="shared" ca="1" si="25"/>
        <v>0</v>
      </c>
      <c r="BH38" s="48">
        <f t="shared" ca="1" si="25"/>
        <v>0</v>
      </c>
      <c r="BI38" s="48">
        <f t="shared" ca="1" si="25"/>
        <v>0</v>
      </c>
      <c r="BJ38" s="48">
        <f t="shared" ca="1" si="25"/>
        <v>1670.0061226003716</v>
      </c>
      <c r="BK38" s="48">
        <f t="shared" ca="1" si="25"/>
        <v>0</v>
      </c>
      <c r="BL38" s="48">
        <f t="shared" ca="1" si="25"/>
        <v>0</v>
      </c>
      <c r="BM38" s="48">
        <f t="shared" ref="BM38:BW38" ca="1" si="26">SUM(BM39:BM42)</f>
        <v>0</v>
      </c>
      <c r="BN38" s="48">
        <f t="shared" ca="1" si="26"/>
        <v>0</v>
      </c>
      <c r="BO38" s="48">
        <f t="shared" ca="1" si="26"/>
        <v>0</v>
      </c>
      <c r="BP38" s="48">
        <f t="shared" ca="1" si="26"/>
        <v>0</v>
      </c>
      <c r="BQ38" s="48">
        <f t="shared" ca="1" si="26"/>
        <v>0</v>
      </c>
      <c r="BR38" s="48">
        <f t="shared" ca="1" si="26"/>
        <v>0</v>
      </c>
      <c r="BS38" s="48">
        <f t="shared" ca="1" si="26"/>
        <v>0</v>
      </c>
      <c r="BT38" s="48">
        <f t="shared" ca="1" si="26"/>
        <v>0</v>
      </c>
      <c r="BU38" s="48">
        <f t="shared" ca="1" si="26"/>
        <v>0</v>
      </c>
      <c r="BV38" s="48">
        <f t="shared" ca="1" si="26"/>
        <v>0</v>
      </c>
      <c r="BW38" s="48">
        <f t="shared" ca="1" si="26"/>
        <v>0</v>
      </c>
    </row>
    <row r="39" spans="1:75" x14ac:dyDescent="0.3">
      <c r="A39" s="5" t="s">
        <v>64</v>
      </c>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2"/>
      <c r="AG39" s="51">
        <f t="shared" ref="AG39:BW39" ca="1" si="27">AG33*AG$14</f>
        <v>0</v>
      </c>
      <c r="AH39" s="51">
        <f t="shared" ca="1" si="27"/>
        <v>0</v>
      </c>
      <c r="AI39" s="51">
        <f t="shared" ca="1" si="27"/>
        <v>0</v>
      </c>
      <c r="AJ39" s="51">
        <f t="shared" ca="1" si="27"/>
        <v>0</v>
      </c>
      <c r="AK39" s="51">
        <f t="shared" ca="1" si="27"/>
        <v>0</v>
      </c>
      <c r="AL39" s="51">
        <f t="shared" ca="1" si="27"/>
        <v>0</v>
      </c>
      <c r="AM39" s="51">
        <f t="shared" ca="1" si="27"/>
        <v>0</v>
      </c>
      <c r="AN39" s="51">
        <f t="shared" ca="1" si="27"/>
        <v>0</v>
      </c>
      <c r="AO39" s="51">
        <f t="shared" ca="1" si="27"/>
        <v>0</v>
      </c>
      <c r="AP39" s="51">
        <f t="shared" ca="1" si="27"/>
        <v>0</v>
      </c>
      <c r="AQ39" s="51">
        <f t="shared" ca="1" si="27"/>
        <v>0</v>
      </c>
      <c r="AR39" s="51">
        <f t="shared" ca="1" si="27"/>
        <v>0</v>
      </c>
      <c r="AS39" s="51">
        <f t="shared" ca="1" si="27"/>
        <v>0</v>
      </c>
      <c r="AT39" s="51">
        <f t="shared" ca="1" si="27"/>
        <v>0</v>
      </c>
      <c r="AU39" s="51">
        <f t="shared" ca="1" si="27"/>
        <v>0</v>
      </c>
      <c r="AV39" s="51">
        <f t="shared" ca="1" si="27"/>
        <v>0</v>
      </c>
      <c r="AW39" s="51">
        <f t="shared" ca="1" si="27"/>
        <v>0</v>
      </c>
      <c r="AX39" s="51">
        <f t="shared" ca="1" si="27"/>
        <v>0</v>
      </c>
      <c r="AY39" s="51">
        <f t="shared" ca="1" si="27"/>
        <v>0</v>
      </c>
      <c r="AZ39" s="51">
        <f t="shared" ca="1" si="27"/>
        <v>0</v>
      </c>
      <c r="BA39" s="51">
        <f t="shared" ca="1" si="27"/>
        <v>0</v>
      </c>
      <c r="BB39" s="51">
        <f t="shared" ca="1" si="27"/>
        <v>0</v>
      </c>
      <c r="BC39" s="51">
        <f t="shared" ca="1" si="27"/>
        <v>0</v>
      </c>
      <c r="BD39" s="51">
        <f t="shared" ca="1" si="27"/>
        <v>0</v>
      </c>
      <c r="BE39" s="51">
        <f t="shared" ca="1" si="27"/>
        <v>0</v>
      </c>
      <c r="BF39" s="51">
        <f t="shared" ca="1" si="27"/>
        <v>0</v>
      </c>
      <c r="BG39" s="51">
        <f t="shared" ca="1" si="27"/>
        <v>0</v>
      </c>
      <c r="BH39" s="51">
        <f t="shared" ca="1" si="27"/>
        <v>0</v>
      </c>
      <c r="BI39" s="51">
        <f t="shared" ca="1" si="27"/>
        <v>0</v>
      </c>
      <c r="BJ39" s="51">
        <f t="shared" ca="1" si="27"/>
        <v>442.62218567786744</v>
      </c>
      <c r="BK39" s="51">
        <f t="shared" ca="1" si="27"/>
        <v>0</v>
      </c>
      <c r="BL39" s="51">
        <f t="shared" ca="1" si="27"/>
        <v>0</v>
      </c>
      <c r="BM39" s="51">
        <f t="shared" ca="1" si="27"/>
        <v>0</v>
      </c>
      <c r="BN39" s="51">
        <f t="shared" ca="1" si="27"/>
        <v>0</v>
      </c>
      <c r="BO39" s="51">
        <f t="shared" ca="1" si="27"/>
        <v>0</v>
      </c>
      <c r="BP39" s="51">
        <f t="shared" ca="1" si="27"/>
        <v>0</v>
      </c>
      <c r="BQ39" s="51">
        <f t="shared" ca="1" si="27"/>
        <v>0</v>
      </c>
      <c r="BR39" s="51">
        <f t="shared" ca="1" si="27"/>
        <v>0</v>
      </c>
      <c r="BS39" s="51">
        <f t="shared" ca="1" si="27"/>
        <v>0</v>
      </c>
      <c r="BT39" s="51">
        <f t="shared" ca="1" si="27"/>
        <v>0</v>
      </c>
      <c r="BU39" s="51">
        <f t="shared" ca="1" si="27"/>
        <v>0</v>
      </c>
      <c r="BV39" s="51">
        <f t="shared" ca="1" si="27"/>
        <v>0</v>
      </c>
      <c r="BW39" s="51">
        <f t="shared" ca="1" si="27"/>
        <v>0</v>
      </c>
    </row>
    <row r="40" spans="1:75" x14ac:dyDescent="0.3">
      <c r="A40" s="5" t="s">
        <v>65</v>
      </c>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2"/>
      <c r="AG40" s="117"/>
      <c r="AH40" s="117"/>
      <c r="AI40" s="117"/>
      <c r="AJ40" s="117"/>
      <c r="AK40" s="117"/>
      <c r="AL40" s="117"/>
      <c r="AM40" s="117"/>
      <c r="AN40" s="117"/>
      <c r="AO40" s="117"/>
      <c r="AP40" s="117"/>
      <c r="AQ40" s="117"/>
      <c r="AR40" s="117"/>
      <c r="AS40" s="117"/>
      <c r="AT40" s="117"/>
      <c r="AU40" s="117"/>
      <c r="AV40" s="117"/>
      <c r="AW40" s="117"/>
      <c r="AX40" s="117"/>
      <c r="AY40" s="117"/>
      <c r="AZ40" s="117"/>
      <c r="BA40" s="117"/>
      <c r="BB40" s="117"/>
      <c r="BC40" s="117"/>
      <c r="BD40" s="117"/>
      <c r="BE40" s="117"/>
      <c r="BF40" s="117"/>
      <c r="BG40" s="117"/>
      <c r="BH40" s="117"/>
      <c r="BI40" s="117"/>
      <c r="BJ40" s="117"/>
      <c r="BK40" s="117"/>
      <c r="BL40" s="117"/>
      <c r="BM40" s="117"/>
      <c r="BN40" s="117"/>
      <c r="BO40" s="117"/>
      <c r="BP40" s="117"/>
      <c r="BQ40" s="117"/>
      <c r="BR40" s="117"/>
      <c r="BS40" s="117"/>
      <c r="BT40" s="117"/>
      <c r="BU40" s="117"/>
      <c r="BV40" s="117"/>
      <c r="BW40" s="117"/>
    </row>
    <row r="41" spans="1:75" x14ac:dyDescent="0.3">
      <c r="A41" s="5" t="s">
        <v>67</v>
      </c>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2"/>
      <c r="AG41" s="51">
        <f t="shared" ref="AG41:BW41" ca="1" si="28">AG35*AG$14</f>
        <v>0</v>
      </c>
      <c r="AH41" s="51">
        <f t="shared" ca="1" si="28"/>
        <v>0</v>
      </c>
      <c r="AI41" s="51">
        <f t="shared" ca="1" si="28"/>
        <v>0</v>
      </c>
      <c r="AJ41" s="51">
        <f t="shared" ca="1" si="28"/>
        <v>0</v>
      </c>
      <c r="AK41" s="51">
        <f t="shared" ca="1" si="28"/>
        <v>0</v>
      </c>
      <c r="AL41" s="51">
        <f t="shared" ca="1" si="28"/>
        <v>0</v>
      </c>
      <c r="AM41" s="51">
        <f t="shared" ca="1" si="28"/>
        <v>0</v>
      </c>
      <c r="AN41" s="51">
        <f t="shared" ca="1" si="28"/>
        <v>0</v>
      </c>
      <c r="AO41" s="51">
        <f t="shared" ca="1" si="28"/>
        <v>0</v>
      </c>
      <c r="AP41" s="51">
        <f t="shared" ca="1" si="28"/>
        <v>0</v>
      </c>
      <c r="AQ41" s="51">
        <f t="shared" ca="1" si="28"/>
        <v>0</v>
      </c>
      <c r="AR41" s="51">
        <f t="shared" ca="1" si="28"/>
        <v>0</v>
      </c>
      <c r="AS41" s="51">
        <f t="shared" ca="1" si="28"/>
        <v>0</v>
      </c>
      <c r="AT41" s="51">
        <f t="shared" ca="1" si="28"/>
        <v>0</v>
      </c>
      <c r="AU41" s="51">
        <f t="shared" ca="1" si="28"/>
        <v>0</v>
      </c>
      <c r="AV41" s="51">
        <f t="shared" ca="1" si="28"/>
        <v>0</v>
      </c>
      <c r="AW41" s="51">
        <f t="shared" ca="1" si="28"/>
        <v>127.80634914393602</v>
      </c>
      <c r="AX41" s="51">
        <f t="shared" ca="1" si="28"/>
        <v>0</v>
      </c>
      <c r="AY41" s="51">
        <f t="shared" ca="1" si="28"/>
        <v>0</v>
      </c>
      <c r="AZ41" s="51">
        <f t="shared" ca="1" si="28"/>
        <v>0</v>
      </c>
      <c r="BA41" s="51">
        <f t="shared" ca="1" si="28"/>
        <v>0</v>
      </c>
      <c r="BB41" s="51">
        <f t="shared" ca="1" si="28"/>
        <v>0</v>
      </c>
      <c r="BC41" s="51">
        <f t="shared" ca="1" si="28"/>
        <v>0</v>
      </c>
      <c r="BD41" s="51">
        <f t="shared" ca="1" si="28"/>
        <v>0</v>
      </c>
      <c r="BE41" s="51">
        <f t="shared" ca="1" si="28"/>
        <v>0</v>
      </c>
      <c r="BF41" s="51">
        <f t="shared" ca="1" si="28"/>
        <v>0</v>
      </c>
      <c r="BG41" s="51">
        <f t="shared" ca="1" si="28"/>
        <v>0</v>
      </c>
      <c r="BH41" s="51">
        <f t="shared" ca="1" si="28"/>
        <v>0</v>
      </c>
      <c r="BI41" s="51">
        <f t="shared" ca="1" si="28"/>
        <v>0</v>
      </c>
      <c r="BJ41" s="51">
        <f t="shared" ca="1" si="28"/>
        <v>0</v>
      </c>
      <c r="BK41" s="51">
        <f t="shared" ca="1" si="28"/>
        <v>0</v>
      </c>
      <c r="BL41" s="51">
        <f t="shared" ca="1" si="28"/>
        <v>0</v>
      </c>
      <c r="BM41" s="51">
        <f t="shared" ca="1" si="28"/>
        <v>0</v>
      </c>
      <c r="BN41" s="51">
        <f t="shared" ca="1" si="28"/>
        <v>0</v>
      </c>
      <c r="BO41" s="51">
        <f t="shared" ca="1" si="28"/>
        <v>0</v>
      </c>
      <c r="BP41" s="51">
        <f t="shared" ca="1" si="28"/>
        <v>0</v>
      </c>
      <c r="BQ41" s="51">
        <f t="shared" ca="1" si="28"/>
        <v>0</v>
      </c>
      <c r="BR41" s="51">
        <f t="shared" ca="1" si="28"/>
        <v>0</v>
      </c>
      <c r="BS41" s="51">
        <f t="shared" ca="1" si="28"/>
        <v>0</v>
      </c>
      <c r="BT41" s="51">
        <f t="shared" ca="1" si="28"/>
        <v>0</v>
      </c>
      <c r="BU41" s="51">
        <f t="shared" ca="1" si="28"/>
        <v>0</v>
      </c>
      <c r="BV41" s="51">
        <f t="shared" ca="1" si="28"/>
        <v>0</v>
      </c>
      <c r="BW41" s="51">
        <f t="shared" ca="1" si="28"/>
        <v>0</v>
      </c>
    </row>
    <row r="42" spans="1:75" x14ac:dyDescent="0.3">
      <c r="A42" s="5" t="s">
        <v>66</v>
      </c>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2"/>
      <c r="AG42" s="51">
        <f t="shared" ref="AG42:BW42" ca="1" si="29">AG36*AG$14</f>
        <v>11.7</v>
      </c>
      <c r="AH42" s="51">
        <f t="shared" ca="1" si="29"/>
        <v>11.933999999999999</v>
      </c>
      <c r="AI42" s="51">
        <f t="shared" ca="1" si="29"/>
        <v>24.345359999999999</v>
      </c>
      <c r="AJ42" s="51">
        <f t="shared" ca="1" si="29"/>
        <v>0</v>
      </c>
      <c r="AK42" s="51">
        <f t="shared" ca="1" si="29"/>
        <v>12.664456271999999</v>
      </c>
      <c r="AL42" s="51">
        <f t="shared" ca="1" si="29"/>
        <v>12.917745397439999</v>
      </c>
      <c r="AM42" s="51">
        <f t="shared" ca="1" si="29"/>
        <v>0</v>
      </c>
      <c r="AN42" s="51">
        <f t="shared" ca="1" si="29"/>
        <v>0</v>
      </c>
      <c r="AO42" s="51">
        <f t="shared" ca="1" si="29"/>
        <v>0</v>
      </c>
      <c r="AP42" s="51">
        <f t="shared" ca="1" si="29"/>
        <v>0</v>
      </c>
      <c r="AQ42" s="51">
        <f t="shared" ca="1" si="29"/>
        <v>0</v>
      </c>
      <c r="AR42" s="51">
        <f t="shared" ca="1" si="29"/>
        <v>0</v>
      </c>
      <c r="AS42" s="51">
        <f t="shared" ca="1" si="29"/>
        <v>0</v>
      </c>
      <c r="AT42" s="51">
        <f t="shared" ca="1" si="29"/>
        <v>0</v>
      </c>
      <c r="AU42" s="51">
        <f t="shared" ca="1" si="29"/>
        <v>0</v>
      </c>
      <c r="AV42" s="51">
        <f t="shared" ca="1" si="29"/>
        <v>0</v>
      </c>
      <c r="AW42" s="51">
        <f t="shared" ca="1" si="29"/>
        <v>0</v>
      </c>
      <c r="AX42" s="51">
        <f t="shared" ca="1" si="29"/>
        <v>0</v>
      </c>
      <c r="AY42" s="51">
        <f t="shared" ca="1" si="29"/>
        <v>0</v>
      </c>
      <c r="AZ42" s="51">
        <f t="shared" ca="1" si="29"/>
        <v>0</v>
      </c>
      <c r="BA42" s="51">
        <f t="shared" ca="1" si="29"/>
        <v>0</v>
      </c>
      <c r="BB42" s="51">
        <f t="shared" ca="1" si="29"/>
        <v>0</v>
      </c>
      <c r="BC42" s="51">
        <f t="shared" ca="1" si="29"/>
        <v>0</v>
      </c>
      <c r="BD42" s="51">
        <f t="shared" ca="1" si="29"/>
        <v>0</v>
      </c>
      <c r="BE42" s="51">
        <f t="shared" ca="1" si="29"/>
        <v>0</v>
      </c>
      <c r="BF42" s="51">
        <f t="shared" ca="1" si="29"/>
        <v>0</v>
      </c>
      <c r="BG42" s="51">
        <f t="shared" ca="1" si="29"/>
        <v>0</v>
      </c>
      <c r="BH42" s="51">
        <f t="shared" ca="1" si="29"/>
        <v>0</v>
      </c>
      <c r="BI42" s="51">
        <f t="shared" ca="1" si="29"/>
        <v>0</v>
      </c>
      <c r="BJ42" s="51">
        <f t="shared" ca="1" si="29"/>
        <v>1227.3839369225041</v>
      </c>
      <c r="BK42" s="51">
        <f t="shared" ca="1" si="29"/>
        <v>0</v>
      </c>
      <c r="BL42" s="51">
        <f t="shared" ca="1" si="29"/>
        <v>0</v>
      </c>
      <c r="BM42" s="51">
        <f t="shared" ca="1" si="29"/>
        <v>0</v>
      </c>
      <c r="BN42" s="51">
        <f t="shared" ca="1" si="29"/>
        <v>0</v>
      </c>
      <c r="BO42" s="51">
        <f t="shared" ca="1" si="29"/>
        <v>0</v>
      </c>
      <c r="BP42" s="51">
        <f t="shared" ca="1" si="29"/>
        <v>0</v>
      </c>
      <c r="BQ42" s="51">
        <f t="shared" ca="1" si="29"/>
        <v>0</v>
      </c>
      <c r="BR42" s="51">
        <f t="shared" ca="1" si="29"/>
        <v>0</v>
      </c>
      <c r="BS42" s="51">
        <f t="shared" ca="1" si="29"/>
        <v>0</v>
      </c>
      <c r="BT42" s="51">
        <f t="shared" ca="1" si="29"/>
        <v>0</v>
      </c>
      <c r="BU42" s="51">
        <f t="shared" ca="1" si="29"/>
        <v>0</v>
      </c>
      <c r="BV42" s="51">
        <f t="shared" ca="1" si="29"/>
        <v>0</v>
      </c>
      <c r="BW42" s="51">
        <f t="shared" ca="1" si="29"/>
        <v>0</v>
      </c>
    </row>
    <row r="43" spans="1:75" x14ac:dyDescent="0.3">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row>
    <row r="44" spans="1:75" s="201" customFormat="1" x14ac:dyDescent="0.3">
      <c r="A44" s="201" t="s">
        <v>377</v>
      </c>
      <c r="B44" s="202"/>
      <c r="C44" s="202"/>
      <c r="D44" s="202"/>
      <c r="E44" s="202"/>
      <c r="F44" s="202"/>
      <c r="G44" s="202"/>
      <c r="H44" s="202"/>
      <c r="I44" s="202"/>
      <c r="J44" s="202"/>
      <c r="K44" s="202"/>
      <c r="L44" s="202"/>
      <c r="M44" s="202"/>
      <c r="N44" s="202"/>
      <c r="O44" s="202"/>
      <c r="P44" s="202"/>
      <c r="Q44" s="202"/>
      <c r="R44" s="202"/>
      <c r="S44" s="202"/>
      <c r="T44" s="202"/>
      <c r="U44" s="202"/>
      <c r="V44" s="202"/>
      <c r="W44" s="202"/>
      <c r="X44" s="202"/>
      <c r="Y44" s="202"/>
      <c r="Z44" s="202"/>
      <c r="AA44" s="202"/>
      <c r="AB44" s="202"/>
      <c r="AC44" s="202"/>
      <c r="AD44" s="202"/>
      <c r="AE44" s="202"/>
      <c r="AF44" s="203"/>
      <c r="AG44" s="203"/>
      <c r="AH44" s="203"/>
      <c r="AI44" s="203"/>
      <c r="AJ44" s="203"/>
      <c r="AK44" s="203"/>
      <c r="AL44" s="203"/>
      <c r="AM44" s="203"/>
      <c r="AN44" s="203"/>
      <c r="AO44" s="203"/>
      <c r="AP44" s="203"/>
      <c r="AQ44" s="203"/>
      <c r="AR44" s="203"/>
      <c r="AS44" s="203"/>
      <c r="AT44" s="203"/>
      <c r="AU44" s="203"/>
      <c r="AV44" s="203"/>
      <c r="AW44" s="203"/>
      <c r="AX44" s="203"/>
      <c r="AY44" s="203"/>
      <c r="AZ44" s="203"/>
      <c r="BA44" s="203"/>
      <c r="BB44" s="203"/>
      <c r="BC44" s="203"/>
      <c r="BD44" s="203"/>
      <c r="BE44" s="203"/>
      <c r="BF44" s="203"/>
      <c r="BG44" s="203"/>
      <c r="BH44" s="203"/>
      <c r="BI44" s="203"/>
      <c r="BJ44" s="203"/>
      <c r="BK44" s="203"/>
      <c r="BL44" s="203"/>
      <c r="BM44" s="203"/>
      <c r="BN44" s="203"/>
      <c r="BO44" s="203"/>
      <c r="BP44" s="203"/>
      <c r="BQ44" s="203"/>
      <c r="BR44" s="203"/>
      <c r="BS44" s="203"/>
      <c r="BT44" s="203"/>
      <c r="BU44" s="203"/>
      <c r="BV44" s="203"/>
      <c r="BW44" s="203"/>
    </row>
    <row r="45" spans="1:75" x14ac:dyDescent="0.3">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row>
    <row r="46" spans="1:75" x14ac:dyDescent="0.3">
      <c r="A46" s="4" t="s">
        <v>71</v>
      </c>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2"/>
      <c r="AG46" s="69">
        <f ca="1">SUMPRODUCT(AG$47:AG$50,AG$6:AG$9)/SUM(AG$6:AG$9)</f>
        <v>2.4045763291305072E-2</v>
      </c>
      <c r="AH46" s="69">
        <f t="shared" ref="AH46:BK46" ca="1" si="30">SUMPRODUCT(AH$47:AH$50,AH$6:AH$9)/SUM(AH$6:AH$9)</f>
        <v>2.1047237920456863E-2</v>
      </c>
      <c r="AI46" s="69">
        <f t="shared" ca="1" si="30"/>
        <v>2.9912654761923181E-2</v>
      </c>
      <c r="AJ46" s="69">
        <f t="shared" ca="1" si="30"/>
        <v>4.1292166282425505E-2</v>
      </c>
      <c r="AK46" s="69">
        <f t="shared" ca="1" si="30"/>
        <v>4.5583958965196916E-2</v>
      </c>
      <c r="AL46" s="69">
        <f t="shared" ca="1" si="30"/>
        <v>5.325192391108826E-2</v>
      </c>
      <c r="AM46" s="69">
        <f t="shared" ca="1" si="30"/>
        <v>4.885706072639992E-2</v>
      </c>
      <c r="AN46" s="69">
        <f t="shared" ca="1" si="30"/>
        <v>3.5804474759625685E-2</v>
      </c>
      <c r="AO46" s="69">
        <f t="shared" ca="1" si="30"/>
        <v>2.7879942994209948E-2</v>
      </c>
      <c r="AP46" s="69">
        <f t="shared" ca="1" si="30"/>
        <v>1.8274463614797707E-2</v>
      </c>
      <c r="AQ46" s="69">
        <f t="shared" ca="1" si="30"/>
        <v>1.3641977290119666E-2</v>
      </c>
      <c r="AR46" s="69">
        <f t="shared" ca="1" si="30"/>
        <v>1.000389626138239E-2</v>
      </c>
      <c r="AS46" s="69">
        <f t="shared" ca="1" si="30"/>
        <v>6.5538088452076603E-3</v>
      </c>
      <c r="AT46" s="69">
        <f t="shared" ca="1" si="30"/>
        <v>2.6787868933105721E-3</v>
      </c>
      <c r="AU46" s="69">
        <f t="shared" ca="1" si="30"/>
        <v>0</v>
      </c>
      <c r="AV46" s="69">
        <f t="shared" ca="1" si="30"/>
        <v>0</v>
      </c>
      <c r="AW46" s="69">
        <f t="shared" ca="1" si="30"/>
        <v>0</v>
      </c>
      <c r="AX46" s="69">
        <f t="shared" ca="1" si="30"/>
        <v>0</v>
      </c>
      <c r="AY46" s="69">
        <f t="shared" ca="1" si="30"/>
        <v>0</v>
      </c>
      <c r="AZ46" s="69">
        <f t="shared" ca="1" si="30"/>
        <v>0</v>
      </c>
      <c r="BA46" s="69">
        <f t="shared" ca="1" si="30"/>
        <v>0</v>
      </c>
      <c r="BB46" s="69">
        <f t="shared" ca="1" si="30"/>
        <v>0</v>
      </c>
      <c r="BC46" s="69">
        <f t="shared" ca="1" si="30"/>
        <v>0</v>
      </c>
      <c r="BD46" s="69">
        <f t="shared" ca="1" si="30"/>
        <v>0</v>
      </c>
      <c r="BE46" s="69">
        <f t="shared" ca="1" si="30"/>
        <v>0</v>
      </c>
      <c r="BF46" s="69">
        <f t="shared" ca="1" si="30"/>
        <v>0</v>
      </c>
      <c r="BG46" s="69">
        <f t="shared" ca="1" si="30"/>
        <v>0</v>
      </c>
      <c r="BH46" s="69">
        <f t="shared" ca="1" si="30"/>
        <v>0</v>
      </c>
      <c r="BI46" s="69">
        <f t="shared" ca="1" si="30"/>
        <v>0</v>
      </c>
      <c r="BJ46" s="69" t="e">
        <f t="shared" ca="1" si="30"/>
        <v>#DIV/0!</v>
      </c>
      <c r="BK46" s="69" t="e">
        <f t="shared" ca="1" si="30"/>
        <v>#DIV/0!</v>
      </c>
      <c r="BL46" s="69">
        <f t="shared" ref="BL46:BW46" ca="1" si="31">IFERROR(SUMPRODUCT(BL$47:BL$50,BL$6:BL$9)/SUM(BL$6:BL$9),0)</f>
        <v>0</v>
      </c>
      <c r="BM46" s="69">
        <f t="shared" ca="1" si="31"/>
        <v>0</v>
      </c>
      <c r="BN46" s="69">
        <f t="shared" ca="1" si="31"/>
        <v>0</v>
      </c>
      <c r="BO46" s="69">
        <f t="shared" ca="1" si="31"/>
        <v>0</v>
      </c>
      <c r="BP46" s="69">
        <f t="shared" ca="1" si="31"/>
        <v>0</v>
      </c>
      <c r="BQ46" s="69">
        <f t="shared" ca="1" si="31"/>
        <v>0</v>
      </c>
      <c r="BR46" s="69">
        <f t="shared" ca="1" si="31"/>
        <v>0</v>
      </c>
      <c r="BS46" s="69">
        <f t="shared" ca="1" si="31"/>
        <v>0</v>
      </c>
      <c r="BT46" s="69">
        <f t="shared" ca="1" si="31"/>
        <v>0</v>
      </c>
      <c r="BU46" s="69">
        <f t="shared" ca="1" si="31"/>
        <v>0</v>
      </c>
      <c r="BV46" s="69">
        <f t="shared" ca="1" si="31"/>
        <v>0</v>
      </c>
      <c r="BW46" s="69">
        <f t="shared" ca="1" si="31"/>
        <v>0</v>
      </c>
    </row>
    <row r="47" spans="1:75" x14ac:dyDescent="0.3">
      <c r="A47" s="5" t="s">
        <v>64</v>
      </c>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2"/>
      <c r="AG47" s="199">
        <f t="shared" ref="AG47:BW47" ca="1" si="32">SUMIFS(INDIRECT("'"&amp;$A47&amp;$B$11&amp;"'!"&amp;"$AF:$AF"),INDIRECT("'"&amp;$A47&amp;$B$11&amp;"'!"&amp;"$A:$A"),AG$1)</f>
        <v>3.7631880617072316E-2</v>
      </c>
      <c r="AH47" s="199">
        <f t="shared" ca="1" si="32"/>
        <v>2.0839828169556488E-2</v>
      </c>
      <c r="AI47" s="199">
        <f t="shared" ca="1" si="32"/>
        <v>1.8133904421529838E-2</v>
      </c>
      <c r="AJ47" s="199">
        <f t="shared" ca="1" si="32"/>
        <v>2.3873056386543249E-2</v>
      </c>
      <c r="AK47" s="199">
        <f t="shared" ca="1" si="32"/>
        <v>2.4054382511817865E-2</v>
      </c>
      <c r="AL47" s="199">
        <f t="shared" ca="1" si="32"/>
        <v>1.9376834927549956E-2</v>
      </c>
      <c r="AM47" s="199">
        <f t="shared" ca="1" si="32"/>
        <v>1.004939820648134E-2</v>
      </c>
      <c r="AN47" s="199">
        <f t="shared" ca="1" si="32"/>
        <v>1.5075415048580556E-3</v>
      </c>
      <c r="AO47" s="199">
        <f t="shared" ca="1" si="32"/>
        <v>0</v>
      </c>
      <c r="AP47" s="199">
        <f t="shared" ca="1" si="32"/>
        <v>0</v>
      </c>
      <c r="AQ47" s="199">
        <f t="shared" ca="1" si="32"/>
        <v>0</v>
      </c>
      <c r="AR47" s="199">
        <f t="shared" ca="1" si="32"/>
        <v>0</v>
      </c>
      <c r="AS47" s="199">
        <f t="shared" ca="1" si="32"/>
        <v>0</v>
      </c>
      <c r="AT47" s="199">
        <f t="shared" ca="1" si="32"/>
        <v>0</v>
      </c>
      <c r="AU47" s="199">
        <f t="shared" ca="1" si="32"/>
        <v>0</v>
      </c>
      <c r="AV47" s="199">
        <f t="shared" ca="1" si="32"/>
        <v>0</v>
      </c>
      <c r="AW47" s="199">
        <f t="shared" ca="1" si="32"/>
        <v>0</v>
      </c>
      <c r="AX47" s="199">
        <f t="shared" ca="1" si="32"/>
        <v>0</v>
      </c>
      <c r="AY47" s="199">
        <f t="shared" ca="1" si="32"/>
        <v>0</v>
      </c>
      <c r="AZ47" s="199">
        <f t="shared" ca="1" si="32"/>
        <v>0</v>
      </c>
      <c r="BA47" s="199">
        <f t="shared" ca="1" si="32"/>
        <v>0</v>
      </c>
      <c r="BB47" s="199">
        <f t="shared" ca="1" si="32"/>
        <v>0</v>
      </c>
      <c r="BC47" s="199">
        <f t="shared" ca="1" si="32"/>
        <v>0</v>
      </c>
      <c r="BD47" s="199">
        <f t="shared" ca="1" si="32"/>
        <v>0</v>
      </c>
      <c r="BE47" s="199">
        <f t="shared" ca="1" si="32"/>
        <v>0</v>
      </c>
      <c r="BF47" s="199">
        <f t="shared" ca="1" si="32"/>
        <v>0</v>
      </c>
      <c r="BG47" s="199">
        <f t="shared" ca="1" si="32"/>
        <v>0</v>
      </c>
      <c r="BH47" s="199">
        <f t="shared" ca="1" si="32"/>
        <v>0</v>
      </c>
      <c r="BI47" s="199">
        <f t="shared" ca="1" si="32"/>
        <v>0</v>
      </c>
      <c r="BJ47" s="199">
        <f t="shared" ca="1" si="32"/>
        <v>0</v>
      </c>
      <c r="BK47" s="199">
        <f t="shared" ca="1" si="32"/>
        <v>0</v>
      </c>
      <c r="BL47" s="199">
        <f t="shared" ca="1" si="32"/>
        <v>0</v>
      </c>
      <c r="BM47" s="199">
        <f t="shared" ca="1" si="32"/>
        <v>0</v>
      </c>
      <c r="BN47" s="199">
        <f t="shared" ca="1" si="32"/>
        <v>0</v>
      </c>
      <c r="BO47" s="199">
        <f t="shared" ca="1" si="32"/>
        <v>0</v>
      </c>
      <c r="BP47" s="199">
        <f t="shared" ca="1" si="32"/>
        <v>0</v>
      </c>
      <c r="BQ47" s="199">
        <f t="shared" ca="1" si="32"/>
        <v>0</v>
      </c>
      <c r="BR47" s="199">
        <f t="shared" ca="1" si="32"/>
        <v>0</v>
      </c>
      <c r="BS47" s="199">
        <f t="shared" ca="1" si="32"/>
        <v>0</v>
      </c>
      <c r="BT47" s="199">
        <f t="shared" ca="1" si="32"/>
        <v>0</v>
      </c>
      <c r="BU47" s="199">
        <f t="shared" ca="1" si="32"/>
        <v>0</v>
      </c>
      <c r="BV47" s="199">
        <f t="shared" ca="1" si="32"/>
        <v>0</v>
      </c>
      <c r="BW47" s="199">
        <f t="shared" ca="1" si="32"/>
        <v>0</v>
      </c>
    </row>
    <row r="48" spans="1:75" x14ac:dyDescent="0.3">
      <c r="A48" s="5" t="s">
        <v>65</v>
      </c>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2"/>
      <c r="AG48" s="200"/>
      <c r="AH48" s="200"/>
      <c r="AI48" s="200"/>
      <c r="AJ48" s="200"/>
      <c r="AK48" s="200"/>
      <c r="AL48" s="200"/>
      <c r="AM48" s="200"/>
      <c r="AN48" s="200"/>
      <c r="AO48" s="200"/>
      <c r="AP48" s="200"/>
      <c r="AQ48" s="200"/>
      <c r="AR48" s="200"/>
      <c r="AS48" s="200"/>
      <c r="AT48" s="200"/>
      <c r="AU48" s="200"/>
      <c r="AV48" s="200"/>
      <c r="AW48" s="200"/>
      <c r="AX48" s="200"/>
      <c r="AY48" s="200"/>
      <c r="AZ48" s="200"/>
      <c r="BA48" s="200"/>
      <c r="BB48" s="200"/>
      <c r="BC48" s="200"/>
      <c r="BD48" s="200"/>
      <c r="BE48" s="200"/>
      <c r="BF48" s="200"/>
      <c r="BG48" s="200"/>
      <c r="BH48" s="200"/>
      <c r="BI48" s="200"/>
      <c r="BJ48" s="200"/>
      <c r="BK48" s="200"/>
      <c r="BL48" s="200"/>
      <c r="BM48" s="200"/>
      <c r="BN48" s="200"/>
      <c r="BO48" s="200"/>
      <c r="BP48" s="200"/>
      <c r="BQ48" s="200"/>
      <c r="BR48" s="200"/>
      <c r="BS48" s="200"/>
      <c r="BT48" s="200"/>
      <c r="BU48" s="200"/>
      <c r="BV48" s="200"/>
      <c r="BW48" s="200"/>
    </row>
    <row r="49" spans="1:75" x14ac:dyDescent="0.3">
      <c r="A49" s="5" t="s">
        <v>67</v>
      </c>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2"/>
      <c r="AG49" s="199">
        <f t="shared" ref="AG49:AP50" ca="1" si="33">SUMIFS(INDIRECT("'"&amp;$A49&amp;$B$11&amp;"'!"&amp;"$Ah:$Ah"),INDIRECT("'"&amp;$A49&amp;$B$11&amp;"'!"&amp;"$A:$A"),AG$1)</f>
        <v>0</v>
      </c>
      <c r="AH49" s="199">
        <f t="shared" ca="1" si="33"/>
        <v>0</v>
      </c>
      <c r="AI49" s="199">
        <f t="shared" ca="1" si="33"/>
        <v>0</v>
      </c>
      <c r="AJ49" s="199">
        <f t="shared" ca="1" si="33"/>
        <v>0</v>
      </c>
      <c r="AK49" s="199">
        <f t="shared" ca="1" si="33"/>
        <v>0</v>
      </c>
      <c r="AL49" s="199">
        <f t="shared" ca="1" si="33"/>
        <v>0</v>
      </c>
      <c r="AM49" s="199">
        <f t="shared" ca="1" si="33"/>
        <v>0</v>
      </c>
      <c r="AN49" s="199">
        <f t="shared" ca="1" si="33"/>
        <v>0</v>
      </c>
      <c r="AO49" s="199">
        <f t="shared" ca="1" si="33"/>
        <v>0</v>
      </c>
      <c r="AP49" s="199">
        <f t="shared" ca="1" si="33"/>
        <v>0</v>
      </c>
      <c r="AQ49" s="199">
        <f t="shared" ref="AQ49:AZ50" ca="1" si="34">SUMIFS(INDIRECT("'"&amp;$A49&amp;$B$11&amp;"'!"&amp;"$Ah:$Ah"),INDIRECT("'"&amp;$A49&amp;$B$11&amp;"'!"&amp;"$A:$A"),AQ$1)</f>
        <v>0</v>
      </c>
      <c r="AR49" s="199">
        <f t="shared" ca="1" si="34"/>
        <v>0</v>
      </c>
      <c r="AS49" s="199">
        <f t="shared" ca="1" si="34"/>
        <v>0</v>
      </c>
      <c r="AT49" s="199">
        <f t="shared" ca="1" si="34"/>
        <v>0</v>
      </c>
      <c r="AU49" s="199">
        <f t="shared" ca="1" si="34"/>
        <v>0</v>
      </c>
      <c r="AV49" s="199">
        <f t="shared" ca="1" si="34"/>
        <v>0</v>
      </c>
      <c r="AW49" s="199">
        <f t="shared" ca="1" si="34"/>
        <v>0</v>
      </c>
      <c r="AX49" s="199">
        <f t="shared" ca="1" si="34"/>
        <v>0</v>
      </c>
      <c r="AY49" s="199">
        <f t="shared" ca="1" si="34"/>
        <v>0</v>
      </c>
      <c r="AZ49" s="199">
        <f t="shared" ca="1" si="34"/>
        <v>0</v>
      </c>
      <c r="BA49" s="199">
        <f t="shared" ref="BA49:BJ50" ca="1" si="35">SUMIFS(INDIRECT("'"&amp;$A49&amp;$B$11&amp;"'!"&amp;"$Ah:$Ah"),INDIRECT("'"&amp;$A49&amp;$B$11&amp;"'!"&amp;"$A:$A"),BA$1)</f>
        <v>0</v>
      </c>
      <c r="BB49" s="199">
        <f t="shared" ca="1" si="35"/>
        <v>0</v>
      </c>
      <c r="BC49" s="199">
        <f t="shared" ca="1" si="35"/>
        <v>0</v>
      </c>
      <c r="BD49" s="199">
        <f t="shared" ca="1" si="35"/>
        <v>0</v>
      </c>
      <c r="BE49" s="199">
        <f t="shared" ca="1" si="35"/>
        <v>0</v>
      </c>
      <c r="BF49" s="199">
        <f t="shared" ca="1" si="35"/>
        <v>0</v>
      </c>
      <c r="BG49" s="199">
        <f t="shared" ca="1" si="35"/>
        <v>0</v>
      </c>
      <c r="BH49" s="199">
        <f t="shared" ca="1" si="35"/>
        <v>0</v>
      </c>
      <c r="BI49" s="199">
        <f t="shared" ca="1" si="35"/>
        <v>0</v>
      </c>
      <c r="BJ49" s="199">
        <f t="shared" ca="1" si="35"/>
        <v>0</v>
      </c>
      <c r="BK49" s="199">
        <f t="shared" ref="BK49:BW50" ca="1" si="36">SUMIFS(INDIRECT("'"&amp;$A49&amp;$B$11&amp;"'!"&amp;"$Ah:$Ah"),INDIRECT("'"&amp;$A49&amp;$B$11&amp;"'!"&amp;"$A:$A"),BK$1)</f>
        <v>0</v>
      </c>
      <c r="BL49" s="199">
        <f t="shared" ca="1" si="36"/>
        <v>0</v>
      </c>
      <c r="BM49" s="199">
        <f t="shared" ca="1" si="36"/>
        <v>0</v>
      </c>
      <c r="BN49" s="199">
        <f t="shared" ca="1" si="36"/>
        <v>0</v>
      </c>
      <c r="BO49" s="199">
        <f t="shared" ca="1" si="36"/>
        <v>0</v>
      </c>
      <c r="BP49" s="199">
        <f t="shared" ca="1" si="36"/>
        <v>0</v>
      </c>
      <c r="BQ49" s="199">
        <f t="shared" ca="1" si="36"/>
        <v>0</v>
      </c>
      <c r="BR49" s="199">
        <f t="shared" ca="1" si="36"/>
        <v>0</v>
      </c>
      <c r="BS49" s="199">
        <f t="shared" ca="1" si="36"/>
        <v>0</v>
      </c>
      <c r="BT49" s="199">
        <f t="shared" ca="1" si="36"/>
        <v>0</v>
      </c>
      <c r="BU49" s="199">
        <f t="shared" ca="1" si="36"/>
        <v>0</v>
      </c>
      <c r="BV49" s="199">
        <f t="shared" ca="1" si="36"/>
        <v>0</v>
      </c>
      <c r="BW49" s="199">
        <f t="shared" ca="1" si="36"/>
        <v>0</v>
      </c>
    </row>
    <row r="50" spans="1:75" x14ac:dyDescent="0.3">
      <c r="A50" s="5" t="s">
        <v>66</v>
      </c>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2"/>
      <c r="AG50" s="199">
        <f t="shared" ca="1" si="33"/>
        <v>9.1315676152994973E-3</v>
      </c>
      <c r="AH50" s="199">
        <f t="shared" ca="1" si="33"/>
        <v>2.8602295237459316E-2</v>
      </c>
      <c r="AI50" s="199">
        <f t="shared" ca="1" si="33"/>
        <v>4.966356297557855E-2</v>
      </c>
      <c r="AJ50" s="199">
        <f t="shared" ca="1" si="33"/>
        <v>6.3212259488622663E-2</v>
      </c>
      <c r="AK50" s="199">
        <f t="shared" ca="1" si="33"/>
        <v>6.7982485963637165E-2</v>
      </c>
      <c r="AL50" s="199">
        <f t="shared" ca="1" si="33"/>
        <v>7.8380970961449997E-2</v>
      </c>
      <c r="AM50" s="199">
        <f t="shared" ca="1" si="33"/>
        <v>7.2695346961737767E-2</v>
      </c>
      <c r="AN50" s="199">
        <f t="shared" ca="1" si="33"/>
        <v>5.5907384460920001E-2</v>
      </c>
      <c r="AO50" s="199">
        <f t="shared" ca="1" si="33"/>
        <v>4.4632711072149368E-2</v>
      </c>
      <c r="AP50" s="199">
        <f t="shared" ca="1" si="33"/>
        <v>3.0015254182610845E-2</v>
      </c>
      <c r="AQ50" s="199">
        <f t="shared" ca="1" si="34"/>
        <v>2.3071347934679229E-2</v>
      </c>
      <c r="AR50" s="199">
        <f t="shared" ca="1" si="34"/>
        <v>1.7350119307223778E-2</v>
      </c>
      <c r="AS50" s="199">
        <f t="shared" ca="1" si="34"/>
        <v>1.1382041393065851E-2</v>
      </c>
      <c r="AT50" s="199">
        <f t="shared" ca="1" si="34"/>
        <v>4.6977382066743581E-3</v>
      </c>
      <c r="AU50" s="199">
        <f t="shared" ca="1" si="34"/>
        <v>0</v>
      </c>
      <c r="AV50" s="199">
        <f t="shared" ca="1" si="34"/>
        <v>0</v>
      </c>
      <c r="AW50" s="199">
        <f t="shared" ca="1" si="34"/>
        <v>0</v>
      </c>
      <c r="AX50" s="199">
        <f t="shared" ca="1" si="34"/>
        <v>0</v>
      </c>
      <c r="AY50" s="199">
        <f t="shared" ca="1" si="34"/>
        <v>0</v>
      </c>
      <c r="AZ50" s="199">
        <f t="shared" ca="1" si="34"/>
        <v>0</v>
      </c>
      <c r="BA50" s="199">
        <f t="shared" ca="1" si="35"/>
        <v>0</v>
      </c>
      <c r="BB50" s="199">
        <f t="shared" ca="1" si="35"/>
        <v>0</v>
      </c>
      <c r="BC50" s="199">
        <f t="shared" ca="1" si="35"/>
        <v>0</v>
      </c>
      <c r="BD50" s="199">
        <f t="shared" ca="1" si="35"/>
        <v>0</v>
      </c>
      <c r="BE50" s="199">
        <f t="shared" ca="1" si="35"/>
        <v>0</v>
      </c>
      <c r="BF50" s="199">
        <f t="shared" ca="1" si="35"/>
        <v>0</v>
      </c>
      <c r="BG50" s="199">
        <f t="shared" ca="1" si="35"/>
        <v>0</v>
      </c>
      <c r="BH50" s="199">
        <f t="shared" ca="1" si="35"/>
        <v>0</v>
      </c>
      <c r="BI50" s="199">
        <f t="shared" ca="1" si="35"/>
        <v>0</v>
      </c>
      <c r="BJ50" s="199">
        <f t="shared" ca="1" si="35"/>
        <v>0</v>
      </c>
      <c r="BK50" s="199">
        <f t="shared" ca="1" si="36"/>
        <v>0</v>
      </c>
      <c r="BL50" s="199">
        <f t="shared" ca="1" si="36"/>
        <v>0</v>
      </c>
      <c r="BM50" s="199">
        <f t="shared" ca="1" si="36"/>
        <v>0</v>
      </c>
      <c r="BN50" s="199">
        <f t="shared" ca="1" si="36"/>
        <v>0</v>
      </c>
      <c r="BO50" s="199">
        <f t="shared" ca="1" si="36"/>
        <v>0</v>
      </c>
      <c r="BP50" s="199">
        <f t="shared" ca="1" si="36"/>
        <v>0</v>
      </c>
      <c r="BQ50" s="199">
        <f t="shared" ca="1" si="36"/>
        <v>0</v>
      </c>
      <c r="BR50" s="199">
        <f t="shared" ca="1" si="36"/>
        <v>0</v>
      </c>
      <c r="BS50" s="199">
        <f t="shared" ca="1" si="36"/>
        <v>0</v>
      </c>
      <c r="BT50" s="199">
        <f t="shared" ca="1" si="36"/>
        <v>0</v>
      </c>
      <c r="BU50" s="199">
        <f t="shared" ca="1" si="36"/>
        <v>0</v>
      </c>
      <c r="BV50" s="199">
        <f t="shared" ca="1" si="36"/>
        <v>0</v>
      </c>
      <c r="BW50" s="199">
        <f t="shared" ca="1" si="36"/>
        <v>0</v>
      </c>
    </row>
    <row r="51" spans="1:75" s="6" customFormat="1" ht="13.8" x14ac:dyDescent="0.3">
      <c r="AF51" s="2"/>
    </row>
    <row r="52" spans="1:75" x14ac:dyDescent="0.3">
      <c r="A52" s="6" t="s">
        <v>692</v>
      </c>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2"/>
      <c r="AG52" s="48">
        <f ca="1">SUM(AG53:AG56)</f>
        <v>79.899316963485205</v>
      </c>
      <c r="AH52" s="48">
        <f t="shared" ref="AH52:BL52" ca="1" si="37">SUM(AH53:AH56)</f>
        <v>85.550084051104534</v>
      </c>
      <c r="AI52" s="48">
        <f t="shared" ca="1" si="37"/>
        <v>122.98555303176641</v>
      </c>
      <c r="AJ52" s="48">
        <f t="shared" ca="1" si="37"/>
        <v>172.64432112631761</v>
      </c>
      <c r="AK52" s="48">
        <f t="shared" ca="1" si="37"/>
        <v>183.70553816652136</v>
      </c>
      <c r="AL52" s="48">
        <f t="shared" ca="1" si="37"/>
        <v>214.88126206709677</v>
      </c>
      <c r="AM52" s="48">
        <f t="shared" ca="1" si="37"/>
        <v>178.13948144083437</v>
      </c>
      <c r="AN52" s="48">
        <f t="shared" ca="1" si="37"/>
        <v>110.61951602277372</v>
      </c>
      <c r="AO52" s="48">
        <f t="shared" ca="1" si="37"/>
        <v>75.979995632079309</v>
      </c>
      <c r="AP52" s="48">
        <f t="shared" ca="1" si="37"/>
        <v>44.389512481554291</v>
      </c>
      <c r="AQ52" s="48">
        <f t="shared" ca="1" si="37"/>
        <v>29.764645098157413</v>
      </c>
      <c r="AR52" s="48">
        <f t="shared" ca="1" si="37"/>
        <v>19.365400794602778</v>
      </c>
      <c r="AS52" s="48">
        <f t="shared" ca="1" si="37"/>
        <v>11.091399374946178</v>
      </c>
      <c r="AT52" s="48">
        <f t="shared" ca="1" si="37"/>
        <v>3.9811677580777092</v>
      </c>
      <c r="AU52" s="48">
        <f t="shared" ca="1" si="37"/>
        <v>0</v>
      </c>
      <c r="AV52" s="48">
        <f t="shared" ca="1" si="37"/>
        <v>0</v>
      </c>
      <c r="AW52" s="48">
        <f t="shared" ca="1" si="37"/>
        <v>0</v>
      </c>
      <c r="AX52" s="48">
        <f t="shared" ca="1" si="37"/>
        <v>0</v>
      </c>
      <c r="AY52" s="48">
        <f t="shared" ca="1" si="37"/>
        <v>0</v>
      </c>
      <c r="AZ52" s="48">
        <f t="shared" ca="1" si="37"/>
        <v>0</v>
      </c>
      <c r="BA52" s="48">
        <f t="shared" ca="1" si="37"/>
        <v>0</v>
      </c>
      <c r="BB52" s="48">
        <f t="shared" ca="1" si="37"/>
        <v>0</v>
      </c>
      <c r="BC52" s="48">
        <f t="shared" ca="1" si="37"/>
        <v>0</v>
      </c>
      <c r="BD52" s="48">
        <f t="shared" ca="1" si="37"/>
        <v>0</v>
      </c>
      <c r="BE52" s="48">
        <f t="shared" ca="1" si="37"/>
        <v>0</v>
      </c>
      <c r="BF52" s="48">
        <f t="shared" ca="1" si="37"/>
        <v>0</v>
      </c>
      <c r="BG52" s="48">
        <f t="shared" ca="1" si="37"/>
        <v>0</v>
      </c>
      <c r="BH52" s="48">
        <f t="shared" ca="1" si="37"/>
        <v>0</v>
      </c>
      <c r="BI52" s="48">
        <f t="shared" ca="1" si="37"/>
        <v>0</v>
      </c>
      <c r="BJ52" s="48">
        <f t="shared" ca="1" si="37"/>
        <v>0</v>
      </c>
      <c r="BK52" s="48">
        <f t="shared" ca="1" si="37"/>
        <v>0</v>
      </c>
      <c r="BL52" s="48">
        <f t="shared" ca="1" si="37"/>
        <v>0</v>
      </c>
      <c r="BM52" s="48">
        <f t="shared" ref="BM52:BW52" ca="1" si="38">SUM(BM53:BM56)</f>
        <v>0</v>
      </c>
      <c r="BN52" s="48">
        <f t="shared" ca="1" si="38"/>
        <v>0</v>
      </c>
      <c r="BO52" s="48">
        <f t="shared" ca="1" si="38"/>
        <v>0</v>
      </c>
      <c r="BP52" s="48">
        <f t="shared" ca="1" si="38"/>
        <v>0</v>
      </c>
      <c r="BQ52" s="48">
        <f t="shared" ca="1" si="38"/>
        <v>0</v>
      </c>
      <c r="BR52" s="48">
        <f t="shared" ca="1" si="38"/>
        <v>0</v>
      </c>
      <c r="BS52" s="48">
        <f t="shared" ca="1" si="38"/>
        <v>0</v>
      </c>
      <c r="BT52" s="48">
        <f t="shared" ca="1" si="38"/>
        <v>0</v>
      </c>
      <c r="BU52" s="48">
        <f t="shared" ca="1" si="38"/>
        <v>0</v>
      </c>
      <c r="BV52" s="48">
        <f t="shared" ca="1" si="38"/>
        <v>0</v>
      </c>
      <c r="BW52" s="48">
        <f t="shared" ca="1" si="38"/>
        <v>0</v>
      </c>
    </row>
    <row r="53" spans="1:75" x14ac:dyDescent="0.3">
      <c r="A53" s="5" t="s">
        <v>64</v>
      </c>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2"/>
      <c r="AG53" s="51">
        <f ca="1">AG47*AG6</f>
        <v>71.084129928888927</v>
      </c>
      <c r="AH53" s="51">
        <f t="shared" ref="AH53:BW53" ca="1" si="39">AH47*AH6</f>
        <v>44.790608492639819</v>
      </c>
      <c r="AI53" s="51">
        <f t="shared" ca="1" si="39"/>
        <v>33.577777601861207</v>
      </c>
      <c r="AJ53" s="51">
        <f t="shared" ca="1" si="39"/>
        <v>39.103504505113243</v>
      </c>
      <c r="AK53" s="51">
        <f t="shared" ca="1" si="39"/>
        <v>35.402849066453129</v>
      </c>
      <c r="AL53" s="51">
        <f t="shared" ca="1" si="39"/>
        <v>24.752800091281348</v>
      </c>
      <c r="AM53" s="51">
        <f t="shared" ca="1" si="39"/>
        <v>10.478767429277895</v>
      </c>
      <c r="AN53" s="51">
        <f t="shared" ca="1" si="39"/>
        <v>1.3102474457601174</v>
      </c>
      <c r="AO53" s="51">
        <f t="shared" ca="1" si="39"/>
        <v>0</v>
      </c>
      <c r="AP53" s="51">
        <f t="shared" ca="1" si="39"/>
        <v>0</v>
      </c>
      <c r="AQ53" s="51">
        <f t="shared" ca="1" si="39"/>
        <v>0</v>
      </c>
      <c r="AR53" s="51">
        <f t="shared" ca="1" si="39"/>
        <v>0</v>
      </c>
      <c r="AS53" s="51">
        <f t="shared" ca="1" si="39"/>
        <v>0</v>
      </c>
      <c r="AT53" s="51">
        <f t="shared" ca="1" si="39"/>
        <v>0</v>
      </c>
      <c r="AU53" s="51">
        <f t="shared" ca="1" si="39"/>
        <v>0</v>
      </c>
      <c r="AV53" s="51">
        <f t="shared" ca="1" si="39"/>
        <v>0</v>
      </c>
      <c r="AW53" s="51">
        <f t="shared" ca="1" si="39"/>
        <v>0</v>
      </c>
      <c r="AX53" s="51">
        <f t="shared" ca="1" si="39"/>
        <v>0</v>
      </c>
      <c r="AY53" s="51">
        <f t="shared" ca="1" si="39"/>
        <v>0</v>
      </c>
      <c r="AZ53" s="51">
        <f t="shared" ca="1" si="39"/>
        <v>0</v>
      </c>
      <c r="BA53" s="51">
        <f t="shared" ca="1" si="39"/>
        <v>0</v>
      </c>
      <c r="BB53" s="51">
        <f t="shared" ca="1" si="39"/>
        <v>0</v>
      </c>
      <c r="BC53" s="51">
        <f t="shared" ca="1" si="39"/>
        <v>0</v>
      </c>
      <c r="BD53" s="51">
        <f t="shared" ca="1" si="39"/>
        <v>0</v>
      </c>
      <c r="BE53" s="51">
        <f t="shared" ca="1" si="39"/>
        <v>0</v>
      </c>
      <c r="BF53" s="51">
        <f t="shared" ca="1" si="39"/>
        <v>0</v>
      </c>
      <c r="BG53" s="51">
        <f t="shared" ca="1" si="39"/>
        <v>0</v>
      </c>
      <c r="BH53" s="51">
        <f t="shared" ca="1" si="39"/>
        <v>0</v>
      </c>
      <c r="BI53" s="51">
        <f t="shared" ca="1" si="39"/>
        <v>0</v>
      </c>
      <c r="BJ53" s="51">
        <f t="shared" ca="1" si="39"/>
        <v>0</v>
      </c>
      <c r="BK53" s="51">
        <f t="shared" ca="1" si="39"/>
        <v>0</v>
      </c>
      <c r="BL53" s="51">
        <f t="shared" ca="1" si="39"/>
        <v>0</v>
      </c>
      <c r="BM53" s="51">
        <f t="shared" ca="1" si="39"/>
        <v>0</v>
      </c>
      <c r="BN53" s="51">
        <f t="shared" ca="1" si="39"/>
        <v>0</v>
      </c>
      <c r="BO53" s="51">
        <f t="shared" ca="1" si="39"/>
        <v>0</v>
      </c>
      <c r="BP53" s="51">
        <f t="shared" ca="1" si="39"/>
        <v>0</v>
      </c>
      <c r="BQ53" s="51">
        <f t="shared" ca="1" si="39"/>
        <v>0</v>
      </c>
      <c r="BR53" s="51">
        <f t="shared" ca="1" si="39"/>
        <v>0</v>
      </c>
      <c r="BS53" s="51">
        <f t="shared" ca="1" si="39"/>
        <v>0</v>
      </c>
      <c r="BT53" s="51">
        <f t="shared" ca="1" si="39"/>
        <v>0</v>
      </c>
      <c r="BU53" s="51">
        <f t="shared" ca="1" si="39"/>
        <v>0</v>
      </c>
      <c r="BV53" s="51">
        <f t="shared" ca="1" si="39"/>
        <v>0</v>
      </c>
      <c r="BW53" s="51">
        <f t="shared" ca="1" si="39"/>
        <v>0</v>
      </c>
    </row>
    <row r="54" spans="1:75" x14ac:dyDescent="0.3">
      <c r="A54" s="5" t="s">
        <v>65</v>
      </c>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2"/>
      <c r="AG54" s="117"/>
      <c r="AH54" s="117"/>
      <c r="AI54" s="117"/>
      <c r="AJ54" s="117"/>
      <c r="AK54" s="117"/>
      <c r="AL54" s="117"/>
      <c r="AM54" s="117"/>
      <c r="AN54" s="117"/>
      <c r="AO54" s="117"/>
      <c r="AP54" s="117"/>
      <c r="AQ54" s="117"/>
      <c r="AR54" s="117"/>
      <c r="AS54" s="117"/>
      <c r="AT54" s="117"/>
      <c r="AU54" s="117"/>
      <c r="AV54" s="117"/>
      <c r="AW54" s="117"/>
      <c r="AX54" s="117"/>
      <c r="AY54" s="117"/>
      <c r="AZ54" s="117"/>
      <c r="BA54" s="117"/>
      <c r="BB54" s="117"/>
      <c r="BC54" s="117"/>
      <c r="BD54" s="117"/>
      <c r="BE54" s="117"/>
      <c r="BF54" s="117"/>
      <c r="BG54" s="117"/>
      <c r="BH54" s="117"/>
      <c r="BI54" s="117"/>
      <c r="BJ54" s="117"/>
      <c r="BK54" s="117"/>
      <c r="BL54" s="117"/>
      <c r="BM54" s="117"/>
      <c r="BN54" s="117"/>
      <c r="BO54" s="117"/>
      <c r="BP54" s="117"/>
      <c r="BQ54" s="117"/>
      <c r="BR54" s="117"/>
      <c r="BS54" s="117"/>
      <c r="BT54" s="117"/>
      <c r="BU54" s="117"/>
      <c r="BV54" s="117"/>
      <c r="BW54" s="117"/>
    </row>
    <row r="55" spans="1:75" x14ac:dyDescent="0.3">
      <c r="A55" s="5" t="s">
        <v>67</v>
      </c>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2"/>
      <c r="AG55" s="51">
        <f ca="1">AG49*AG8</f>
        <v>0</v>
      </c>
      <c r="AH55" s="51">
        <f t="shared" ref="AH55:BW55" ca="1" si="40">AH49*AH8</f>
        <v>0</v>
      </c>
      <c r="AI55" s="51">
        <f t="shared" ca="1" si="40"/>
        <v>0</v>
      </c>
      <c r="AJ55" s="51">
        <f t="shared" ca="1" si="40"/>
        <v>0</v>
      </c>
      <c r="AK55" s="51">
        <f t="shared" ca="1" si="40"/>
        <v>0</v>
      </c>
      <c r="AL55" s="51">
        <f t="shared" ca="1" si="40"/>
        <v>0</v>
      </c>
      <c r="AM55" s="51">
        <f t="shared" ca="1" si="40"/>
        <v>0</v>
      </c>
      <c r="AN55" s="51">
        <f t="shared" ca="1" si="40"/>
        <v>0</v>
      </c>
      <c r="AO55" s="51">
        <f t="shared" ca="1" si="40"/>
        <v>0</v>
      </c>
      <c r="AP55" s="51">
        <f t="shared" ca="1" si="40"/>
        <v>0</v>
      </c>
      <c r="AQ55" s="51">
        <f t="shared" ca="1" si="40"/>
        <v>0</v>
      </c>
      <c r="AR55" s="51">
        <f t="shared" ca="1" si="40"/>
        <v>0</v>
      </c>
      <c r="AS55" s="51">
        <f t="shared" ca="1" si="40"/>
        <v>0</v>
      </c>
      <c r="AT55" s="51">
        <f t="shared" ca="1" si="40"/>
        <v>0</v>
      </c>
      <c r="AU55" s="51">
        <f t="shared" ca="1" si="40"/>
        <v>0</v>
      </c>
      <c r="AV55" s="51">
        <f t="shared" ca="1" si="40"/>
        <v>0</v>
      </c>
      <c r="AW55" s="51">
        <f t="shared" ca="1" si="40"/>
        <v>0</v>
      </c>
      <c r="AX55" s="51">
        <f t="shared" ca="1" si="40"/>
        <v>0</v>
      </c>
      <c r="AY55" s="51">
        <f t="shared" ca="1" si="40"/>
        <v>0</v>
      </c>
      <c r="AZ55" s="51">
        <f t="shared" ca="1" si="40"/>
        <v>0</v>
      </c>
      <c r="BA55" s="51">
        <f t="shared" ca="1" si="40"/>
        <v>0</v>
      </c>
      <c r="BB55" s="51">
        <f t="shared" ca="1" si="40"/>
        <v>0</v>
      </c>
      <c r="BC55" s="51">
        <f t="shared" ca="1" si="40"/>
        <v>0</v>
      </c>
      <c r="BD55" s="51">
        <f t="shared" ca="1" si="40"/>
        <v>0</v>
      </c>
      <c r="BE55" s="51">
        <f t="shared" ca="1" si="40"/>
        <v>0</v>
      </c>
      <c r="BF55" s="51">
        <f t="shared" ca="1" si="40"/>
        <v>0</v>
      </c>
      <c r="BG55" s="51">
        <f t="shared" ca="1" si="40"/>
        <v>0</v>
      </c>
      <c r="BH55" s="51">
        <f t="shared" ca="1" si="40"/>
        <v>0</v>
      </c>
      <c r="BI55" s="51">
        <f t="shared" ca="1" si="40"/>
        <v>0</v>
      </c>
      <c r="BJ55" s="51">
        <f t="shared" ca="1" si="40"/>
        <v>0</v>
      </c>
      <c r="BK55" s="51">
        <f t="shared" ca="1" si="40"/>
        <v>0</v>
      </c>
      <c r="BL55" s="51">
        <f t="shared" ca="1" si="40"/>
        <v>0</v>
      </c>
      <c r="BM55" s="51">
        <f t="shared" ca="1" si="40"/>
        <v>0</v>
      </c>
      <c r="BN55" s="51">
        <f t="shared" ca="1" si="40"/>
        <v>0</v>
      </c>
      <c r="BO55" s="51">
        <f t="shared" ca="1" si="40"/>
        <v>0</v>
      </c>
      <c r="BP55" s="51">
        <f t="shared" ca="1" si="40"/>
        <v>0</v>
      </c>
      <c r="BQ55" s="51">
        <f t="shared" ca="1" si="40"/>
        <v>0</v>
      </c>
      <c r="BR55" s="51">
        <f t="shared" ca="1" si="40"/>
        <v>0</v>
      </c>
      <c r="BS55" s="51">
        <f t="shared" ca="1" si="40"/>
        <v>0</v>
      </c>
      <c r="BT55" s="51">
        <f t="shared" ca="1" si="40"/>
        <v>0</v>
      </c>
      <c r="BU55" s="51">
        <f t="shared" ca="1" si="40"/>
        <v>0</v>
      </c>
      <c r="BV55" s="51">
        <f t="shared" ca="1" si="40"/>
        <v>0</v>
      </c>
      <c r="BW55" s="51">
        <f t="shared" ca="1" si="40"/>
        <v>0</v>
      </c>
    </row>
    <row r="56" spans="1:75" x14ac:dyDescent="0.3">
      <c r="A56" s="5" t="s">
        <v>66</v>
      </c>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2"/>
      <c r="AG56" s="51">
        <f ca="1">AG50*AG9</f>
        <v>8.8151870345962724</v>
      </c>
      <c r="AH56" s="51">
        <f t="shared" ref="AH56:BW56" ca="1" si="41">AH50*AH9</f>
        <v>40.759475558464707</v>
      </c>
      <c r="AI56" s="51">
        <f t="shared" ca="1" si="41"/>
        <v>89.4077754299052</v>
      </c>
      <c r="AJ56" s="51">
        <f t="shared" ca="1" si="41"/>
        <v>133.54081662120436</v>
      </c>
      <c r="AK56" s="51">
        <f t="shared" ca="1" si="41"/>
        <v>148.30268910006822</v>
      </c>
      <c r="AL56" s="51">
        <f t="shared" ca="1" si="41"/>
        <v>190.12846197581541</v>
      </c>
      <c r="AM56" s="51">
        <f t="shared" ca="1" si="41"/>
        <v>167.66071401155648</v>
      </c>
      <c r="AN56" s="51">
        <f t="shared" ca="1" si="41"/>
        <v>109.30926857701361</v>
      </c>
      <c r="AO56" s="51">
        <f t="shared" ca="1" si="41"/>
        <v>75.979995632079309</v>
      </c>
      <c r="AP56" s="51">
        <f t="shared" ca="1" si="41"/>
        <v>44.389512481554291</v>
      </c>
      <c r="AQ56" s="51">
        <f t="shared" ca="1" si="41"/>
        <v>29.764645098157413</v>
      </c>
      <c r="AR56" s="51">
        <f t="shared" ca="1" si="41"/>
        <v>19.365400794602778</v>
      </c>
      <c r="AS56" s="51">
        <f t="shared" ca="1" si="41"/>
        <v>11.091399374946178</v>
      </c>
      <c r="AT56" s="51">
        <f t="shared" ca="1" si="41"/>
        <v>3.9811677580777092</v>
      </c>
      <c r="AU56" s="51">
        <f t="shared" ca="1" si="41"/>
        <v>0</v>
      </c>
      <c r="AV56" s="51">
        <f t="shared" ca="1" si="41"/>
        <v>0</v>
      </c>
      <c r="AW56" s="51">
        <f t="shared" ca="1" si="41"/>
        <v>0</v>
      </c>
      <c r="AX56" s="51">
        <f t="shared" ca="1" si="41"/>
        <v>0</v>
      </c>
      <c r="AY56" s="51">
        <f t="shared" ca="1" si="41"/>
        <v>0</v>
      </c>
      <c r="AZ56" s="51">
        <f t="shared" ca="1" si="41"/>
        <v>0</v>
      </c>
      <c r="BA56" s="51">
        <f t="shared" ca="1" si="41"/>
        <v>0</v>
      </c>
      <c r="BB56" s="51">
        <f t="shared" ca="1" si="41"/>
        <v>0</v>
      </c>
      <c r="BC56" s="51">
        <f t="shared" ca="1" si="41"/>
        <v>0</v>
      </c>
      <c r="BD56" s="51">
        <f t="shared" ca="1" si="41"/>
        <v>0</v>
      </c>
      <c r="BE56" s="51">
        <f t="shared" ca="1" si="41"/>
        <v>0</v>
      </c>
      <c r="BF56" s="51">
        <f t="shared" ca="1" si="41"/>
        <v>0</v>
      </c>
      <c r="BG56" s="51">
        <f t="shared" ca="1" si="41"/>
        <v>0</v>
      </c>
      <c r="BH56" s="51">
        <f t="shared" ca="1" si="41"/>
        <v>0</v>
      </c>
      <c r="BI56" s="51">
        <f t="shared" ca="1" si="41"/>
        <v>0</v>
      </c>
      <c r="BJ56" s="51">
        <f t="shared" ca="1" si="41"/>
        <v>0</v>
      </c>
      <c r="BK56" s="51">
        <f t="shared" ca="1" si="41"/>
        <v>0</v>
      </c>
      <c r="BL56" s="51">
        <f t="shared" ca="1" si="41"/>
        <v>0</v>
      </c>
      <c r="BM56" s="51">
        <f t="shared" ca="1" si="41"/>
        <v>0</v>
      </c>
      <c r="BN56" s="51">
        <f t="shared" ca="1" si="41"/>
        <v>0</v>
      </c>
      <c r="BO56" s="51">
        <f t="shared" ca="1" si="41"/>
        <v>0</v>
      </c>
      <c r="BP56" s="51">
        <f t="shared" ca="1" si="41"/>
        <v>0</v>
      </c>
      <c r="BQ56" s="51">
        <f t="shared" ca="1" si="41"/>
        <v>0</v>
      </c>
      <c r="BR56" s="51">
        <f t="shared" ca="1" si="41"/>
        <v>0</v>
      </c>
      <c r="BS56" s="51">
        <f t="shared" ca="1" si="41"/>
        <v>0</v>
      </c>
      <c r="BT56" s="51">
        <f t="shared" ca="1" si="41"/>
        <v>0</v>
      </c>
      <c r="BU56" s="51">
        <f t="shared" ca="1" si="41"/>
        <v>0</v>
      </c>
      <c r="BV56" s="51">
        <f t="shared" ca="1" si="41"/>
        <v>0</v>
      </c>
      <c r="BW56" s="51">
        <f t="shared" ca="1" si="41"/>
        <v>0</v>
      </c>
    </row>
    <row r="57" spans="1:75" x14ac:dyDescent="0.3">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2"/>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row>
    <row r="58" spans="1:75" x14ac:dyDescent="0.3">
      <c r="A58" s="4" t="s">
        <v>70</v>
      </c>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2"/>
      <c r="AG58" s="69">
        <f ca="1">SUMPRODUCT(AG59:AG62,AG6:AG9)/AG5</f>
        <v>8.0799751173182527E-2</v>
      </c>
      <c r="AH58" s="69">
        <f t="shared" ref="AH58:BW58" ca="1" si="42">SUMPRODUCT(AH59:AH62,AH6:AH9)/AH5</f>
        <v>7.5252414478072391E-2</v>
      </c>
      <c r="AI58" s="69">
        <f t="shared" ca="1" si="42"/>
        <v>7.0645717590047216E-2</v>
      </c>
      <c r="AJ58" s="69">
        <f t="shared" ca="1" si="42"/>
        <v>6.7182765323491406E-2</v>
      </c>
      <c r="AK58" s="69">
        <f t="shared" ca="1" si="42"/>
        <v>6.5715999581897E-2</v>
      </c>
      <c r="AL58" s="69">
        <f t="shared" ca="1" si="42"/>
        <v>6.3181015906489058E-2</v>
      </c>
      <c r="AM58" s="69">
        <f t="shared" ca="1" si="42"/>
        <v>6.2196804579323257E-2</v>
      </c>
      <c r="AN58" s="69">
        <f t="shared" ca="1" si="42"/>
        <v>6.2886600082511832E-2</v>
      </c>
      <c r="AO58" s="69">
        <f t="shared" ca="1" si="42"/>
        <v>6.3921326218363064E-2</v>
      </c>
      <c r="AP58" s="69">
        <f t="shared" ca="1" si="42"/>
        <v>8.3861699515831112E-2</v>
      </c>
      <c r="AQ58" s="69">
        <f t="shared" ca="1" si="42"/>
        <v>8.3885422325164244E-2</v>
      </c>
      <c r="AR58" s="69">
        <f t="shared" ca="1" si="42"/>
        <v>8.5444541103693164E-2</v>
      </c>
      <c r="AS58" s="69">
        <f t="shared" ca="1" si="42"/>
        <v>8.5506706395797646E-2</v>
      </c>
      <c r="AT58" s="69">
        <f t="shared" ca="1" si="42"/>
        <v>8.5575964646267447E-2</v>
      </c>
      <c r="AU58" s="69">
        <f t="shared" ca="1" si="42"/>
        <v>8.5642200906578619E-2</v>
      </c>
      <c r="AV58" s="69">
        <f t="shared" ca="1" si="42"/>
        <v>8.6126478523207803E-2</v>
      </c>
      <c r="AW58" s="69">
        <f t="shared" ca="1" si="42"/>
        <v>8.6328376138738699E-2</v>
      </c>
      <c r="AX58" s="69">
        <f t="shared" ca="1" si="42"/>
        <v>8.6325262476328851E-2</v>
      </c>
      <c r="AY58" s="69">
        <f t="shared" ca="1" si="42"/>
        <v>8.6331495528463559E-2</v>
      </c>
      <c r="AZ58" s="69">
        <f t="shared" ca="1" si="42"/>
        <v>8.6335553029435269E-2</v>
      </c>
      <c r="BA58" s="69">
        <f t="shared" ca="1" si="42"/>
        <v>8.6347199803266272E-2</v>
      </c>
      <c r="BB58" s="69">
        <f t="shared" ca="1" si="42"/>
        <v>8.6359618052122555E-2</v>
      </c>
      <c r="BC58" s="69">
        <f t="shared" ca="1" si="42"/>
        <v>8.6370866040618027E-2</v>
      </c>
      <c r="BD58" s="69">
        <f t="shared" ca="1" si="42"/>
        <v>8.6375456137106524E-2</v>
      </c>
      <c r="BE58" s="69">
        <f t="shared" ca="1" si="42"/>
        <v>8.6399952723578685E-2</v>
      </c>
      <c r="BF58" s="69">
        <f t="shared" ca="1" si="42"/>
        <v>8.6411369064822108E-2</v>
      </c>
      <c r="BG58" s="69">
        <f t="shared" ca="1" si="42"/>
        <v>8.6416242864443313E-2</v>
      </c>
      <c r="BH58" s="69">
        <f t="shared" ca="1" si="42"/>
        <v>8.6411281369354789E-2</v>
      </c>
      <c r="BI58" s="69">
        <f t="shared" ca="1" si="42"/>
        <v>8.6506084238310313E-2</v>
      </c>
      <c r="BJ58" s="69" t="e">
        <f ca="1">SUMPRODUCT(BJ59:BJ62,BJ6:BJ9)/BJ5</f>
        <v>#DIV/0!</v>
      </c>
      <c r="BK58" s="69" t="e">
        <f t="shared" ca="1" si="42"/>
        <v>#DIV/0!</v>
      </c>
      <c r="BL58" s="69" t="e">
        <f t="shared" ca="1" si="42"/>
        <v>#DIV/0!</v>
      </c>
      <c r="BM58" s="69" t="e">
        <f t="shared" ca="1" si="42"/>
        <v>#DIV/0!</v>
      </c>
      <c r="BN58" s="69" t="e">
        <f t="shared" ca="1" si="42"/>
        <v>#DIV/0!</v>
      </c>
      <c r="BO58" s="69" t="e">
        <f t="shared" ca="1" si="42"/>
        <v>#DIV/0!</v>
      </c>
      <c r="BP58" s="69" t="e">
        <f t="shared" ca="1" si="42"/>
        <v>#DIV/0!</v>
      </c>
      <c r="BQ58" s="69" t="e">
        <f t="shared" ca="1" si="42"/>
        <v>#DIV/0!</v>
      </c>
      <c r="BR58" s="69" t="e">
        <f t="shared" ca="1" si="42"/>
        <v>#DIV/0!</v>
      </c>
      <c r="BS58" s="69" t="e">
        <f t="shared" ca="1" si="42"/>
        <v>#DIV/0!</v>
      </c>
      <c r="BT58" s="69" t="e">
        <f t="shared" ca="1" si="42"/>
        <v>#DIV/0!</v>
      </c>
      <c r="BU58" s="69" t="e">
        <f t="shared" ca="1" si="42"/>
        <v>#DIV/0!</v>
      </c>
      <c r="BV58" s="69" t="e">
        <f t="shared" ca="1" si="42"/>
        <v>#DIV/0!</v>
      </c>
      <c r="BW58" s="69" t="e">
        <f t="shared" ca="1" si="42"/>
        <v>#DIV/0!</v>
      </c>
    </row>
    <row r="59" spans="1:75" x14ac:dyDescent="0.3">
      <c r="A59" s="5" t="s">
        <v>64</v>
      </c>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2"/>
      <c r="AG59" s="199">
        <f t="shared" ref="AG59:BW59" ca="1" si="43">SUMIFS(INDIRECT("'"&amp;$A59&amp;$B$11&amp;"'!"&amp;"$AE:$AE"),INDIRECT("'"&amp;$A59&amp;$B$11&amp;"'!"&amp;"$A:$A"),AG$1)</f>
        <v>8.5000312767301828E-2</v>
      </c>
      <c r="AH59" s="199">
        <f t="shared" ca="1" si="43"/>
        <v>8.5000022922951377E-2</v>
      </c>
      <c r="AI59" s="199">
        <f t="shared" ca="1" si="43"/>
        <v>8.499951643764353E-2</v>
      </c>
      <c r="AJ59" s="199">
        <f t="shared" ca="1" si="43"/>
        <v>8.5000372908604238E-2</v>
      </c>
      <c r="AK59" s="199">
        <f t="shared" ca="1" si="43"/>
        <v>8.4999781638673749E-2</v>
      </c>
      <c r="AL59" s="199">
        <f t="shared" ca="1" si="43"/>
        <v>8.5000301337075659E-2</v>
      </c>
      <c r="AM59" s="199">
        <f t="shared" ca="1" si="43"/>
        <v>8.4999710042544668E-2</v>
      </c>
      <c r="AN59" s="199">
        <f t="shared" ca="1" si="43"/>
        <v>8.499951900438972E-2</v>
      </c>
      <c r="AO59" s="199">
        <f t="shared" ca="1" si="43"/>
        <v>8.5000273465498724E-2</v>
      </c>
      <c r="AP59" s="199">
        <f t="shared" ca="1" si="43"/>
        <v>8.499984293029246E-2</v>
      </c>
      <c r="AQ59" s="199">
        <f t="shared" ca="1" si="43"/>
        <v>8.500056823096977E-2</v>
      </c>
      <c r="AR59" s="199">
        <f t="shared" ca="1" si="43"/>
        <v>8.500063023352504E-2</v>
      </c>
      <c r="AS59" s="199">
        <f t="shared" ca="1" si="43"/>
        <v>8.4998697397690046E-2</v>
      </c>
      <c r="AT59" s="199">
        <f t="shared" ca="1" si="43"/>
        <v>8.5001639263854359E-2</v>
      </c>
      <c r="AU59" s="199">
        <f t="shared" ca="1" si="43"/>
        <v>8.4998069940705093E-2</v>
      </c>
      <c r="AV59" s="199">
        <f t="shared" ca="1" si="43"/>
        <v>8.6258805934904953E-2</v>
      </c>
      <c r="AW59" s="199">
        <f t="shared" ca="1" si="43"/>
        <v>8.6246038020497129E-2</v>
      </c>
      <c r="AX59" s="199">
        <f t="shared" ca="1" si="43"/>
        <v>8.6236294266560223E-2</v>
      </c>
      <c r="AY59" s="199">
        <f t="shared" ca="1" si="43"/>
        <v>8.6236212425555903E-2</v>
      </c>
      <c r="AZ59" s="199">
        <f t="shared" ca="1" si="43"/>
        <v>8.6239689517857057E-2</v>
      </c>
      <c r="BA59" s="199">
        <f t="shared" ca="1" si="43"/>
        <v>8.6245128167669299E-2</v>
      </c>
      <c r="BB59" s="199">
        <f t="shared" ca="1" si="43"/>
        <v>8.6250329199729775E-2</v>
      </c>
      <c r="BC59" s="199">
        <f t="shared" ca="1" si="43"/>
        <v>8.6247590331669219E-2</v>
      </c>
      <c r="BD59" s="199">
        <f t="shared" ca="1" si="43"/>
        <v>8.624949492942259E-2</v>
      </c>
      <c r="BE59" s="199">
        <f t="shared" ca="1" si="43"/>
        <v>8.6262680493938801E-2</v>
      </c>
      <c r="BF59" s="199">
        <f t="shared" ca="1" si="43"/>
        <v>8.6269110605109278E-2</v>
      </c>
      <c r="BG59" s="199">
        <f t="shared" ca="1" si="43"/>
        <v>8.6284631205387749E-2</v>
      </c>
      <c r="BH59" s="199">
        <f t="shared" ca="1" si="43"/>
        <v>8.6296289937679196E-2</v>
      </c>
      <c r="BI59" s="199">
        <f t="shared" ca="1" si="43"/>
        <v>8.647927392656185E-2</v>
      </c>
      <c r="BJ59" s="199">
        <f t="shared" ca="1" si="43"/>
        <v>0</v>
      </c>
      <c r="BK59" s="199">
        <f t="shared" ca="1" si="43"/>
        <v>0</v>
      </c>
      <c r="BL59" s="199">
        <f t="shared" ca="1" si="43"/>
        <v>0</v>
      </c>
      <c r="BM59" s="199">
        <f t="shared" ca="1" si="43"/>
        <v>0</v>
      </c>
      <c r="BN59" s="199">
        <f t="shared" ca="1" si="43"/>
        <v>0</v>
      </c>
      <c r="BO59" s="199">
        <f t="shared" ca="1" si="43"/>
        <v>0</v>
      </c>
      <c r="BP59" s="199">
        <f t="shared" ca="1" si="43"/>
        <v>0</v>
      </c>
      <c r="BQ59" s="199">
        <f t="shared" ca="1" si="43"/>
        <v>0</v>
      </c>
      <c r="BR59" s="199">
        <f t="shared" ca="1" si="43"/>
        <v>0</v>
      </c>
      <c r="BS59" s="199">
        <f t="shared" ca="1" si="43"/>
        <v>0</v>
      </c>
      <c r="BT59" s="199">
        <f t="shared" ca="1" si="43"/>
        <v>0</v>
      </c>
      <c r="BU59" s="199">
        <f t="shared" ca="1" si="43"/>
        <v>0</v>
      </c>
      <c r="BV59" s="199">
        <f t="shared" ca="1" si="43"/>
        <v>0</v>
      </c>
      <c r="BW59" s="199">
        <f t="shared" ca="1" si="43"/>
        <v>0</v>
      </c>
    </row>
    <row r="60" spans="1:75" x14ac:dyDescent="0.3">
      <c r="A60" s="5" t="s">
        <v>65</v>
      </c>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2"/>
      <c r="AG60" s="200"/>
      <c r="AH60" s="200"/>
      <c r="AI60" s="200"/>
      <c r="AJ60" s="200"/>
      <c r="AK60" s="200"/>
      <c r="AL60" s="200"/>
      <c r="AM60" s="200"/>
      <c r="AN60" s="200"/>
      <c r="AO60" s="200"/>
      <c r="AP60" s="200"/>
      <c r="AQ60" s="200"/>
      <c r="AR60" s="200"/>
      <c r="AS60" s="200"/>
      <c r="AT60" s="200"/>
      <c r="AU60" s="200"/>
      <c r="AV60" s="200"/>
      <c r="AW60" s="200"/>
      <c r="AX60" s="200"/>
      <c r="AY60" s="200"/>
      <c r="AZ60" s="200"/>
      <c r="BA60" s="200"/>
      <c r="BB60" s="200"/>
      <c r="BC60" s="200"/>
      <c r="BD60" s="200"/>
      <c r="BE60" s="200"/>
      <c r="BF60" s="200"/>
      <c r="BG60" s="200"/>
      <c r="BH60" s="200"/>
      <c r="BI60" s="200"/>
      <c r="BJ60" s="200"/>
      <c r="BK60" s="200"/>
      <c r="BL60" s="200"/>
      <c r="BM60" s="200"/>
      <c r="BN60" s="200"/>
      <c r="BO60" s="200"/>
      <c r="BP60" s="200"/>
      <c r="BQ60" s="200"/>
      <c r="BR60" s="200"/>
      <c r="BS60" s="200"/>
      <c r="BT60" s="200"/>
      <c r="BU60" s="200"/>
      <c r="BV60" s="200"/>
      <c r="BW60" s="200"/>
    </row>
    <row r="61" spans="1:75" x14ac:dyDescent="0.3">
      <c r="A61" s="5" t="s">
        <v>67</v>
      </c>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2"/>
      <c r="AG61" s="199">
        <f t="shared" ref="AG61:AP62" ca="1" si="44">SUMIFS(INDIRECT("'"&amp;$A61&amp;$B$11&amp;"'!"&amp;"$Ag:$Ag"),INDIRECT("'"&amp;$A61&amp;$B$11&amp;"'!"&amp;"$A:$A"),AG$1)</f>
        <v>6.625956631711917E-2</v>
      </c>
      <c r="AH61" s="199">
        <f t="shared" ca="1" si="44"/>
        <v>6.2084263033542794E-2</v>
      </c>
      <c r="AI61" s="199">
        <f t="shared" ca="1" si="44"/>
        <v>6.0934430991703599E-2</v>
      </c>
      <c r="AJ61" s="199">
        <f t="shared" ca="1" si="44"/>
        <v>6.031702425757534E-2</v>
      </c>
      <c r="AK61" s="199">
        <f t="shared" ca="1" si="44"/>
        <v>6.1306594488188974E-2</v>
      </c>
      <c r="AL61" s="199">
        <f t="shared" ca="1" si="44"/>
        <v>6.2582094711372271E-2</v>
      </c>
      <c r="AM61" s="199">
        <f t="shared" ca="1" si="44"/>
        <v>6.3815965012006814E-2</v>
      </c>
      <c r="AN61" s="199">
        <f t="shared" ca="1" si="44"/>
        <v>6.5242272293413145E-2</v>
      </c>
      <c r="AO61" s="199">
        <f t="shared" ca="1" si="44"/>
        <v>6.6740005572475808E-2</v>
      </c>
      <c r="AP61" s="199">
        <f t="shared" ca="1" si="44"/>
        <v>6.8578908123360496E-2</v>
      </c>
      <c r="AQ61" s="199">
        <f t="shared" ref="AQ61:AZ62" ca="1" si="45">SUMIFS(INDIRECT("'"&amp;$A61&amp;$B$11&amp;"'!"&amp;"$Ag:$Ag"),INDIRECT("'"&amp;$A61&amp;$B$11&amp;"'!"&amp;"$A:$A"),AQ$1)</f>
        <v>6.8846436005558773E-2</v>
      </c>
      <c r="AR61" s="199">
        <f t="shared" ca="1" si="45"/>
        <v>8.4998178988842168E-2</v>
      </c>
      <c r="AS61" s="199">
        <f t="shared" ca="1" si="45"/>
        <v>8.5000439354441876E-2</v>
      </c>
      <c r="AT61" s="199">
        <f t="shared" ca="1" si="45"/>
        <v>8.5000162617491132E-2</v>
      </c>
      <c r="AU61" s="199">
        <f t="shared" ca="1" si="45"/>
        <v>8.5000632579659854E-2</v>
      </c>
      <c r="AV61" s="199">
        <f t="shared" ca="1" si="45"/>
        <v>8.5000998601957256E-2</v>
      </c>
      <c r="AW61" s="199">
        <f t="shared" ca="1" si="45"/>
        <v>0</v>
      </c>
      <c r="AX61" s="199">
        <f t="shared" ca="1" si="45"/>
        <v>0</v>
      </c>
      <c r="AY61" s="199">
        <f t="shared" ca="1" si="45"/>
        <v>0</v>
      </c>
      <c r="AZ61" s="199">
        <f t="shared" ca="1" si="45"/>
        <v>0</v>
      </c>
      <c r="BA61" s="199">
        <f t="shared" ref="BA61:BJ62" ca="1" si="46">SUMIFS(INDIRECT("'"&amp;$A61&amp;$B$11&amp;"'!"&amp;"$Ag:$Ag"),INDIRECT("'"&amp;$A61&amp;$B$11&amp;"'!"&amp;"$A:$A"),BA$1)</f>
        <v>0</v>
      </c>
      <c r="BB61" s="199">
        <f t="shared" ca="1" si="46"/>
        <v>0</v>
      </c>
      <c r="BC61" s="199">
        <f t="shared" ca="1" si="46"/>
        <v>0</v>
      </c>
      <c r="BD61" s="199">
        <f t="shared" ca="1" si="46"/>
        <v>0</v>
      </c>
      <c r="BE61" s="199">
        <f t="shared" ca="1" si="46"/>
        <v>0</v>
      </c>
      <c r="BF61" s="199">
        <f t="shared" ca="1" si="46"/>
        <v>0</v>
      </c>
      <c r="BG61" s="199">
        <f t="shared" ca="1" si="46"/>
        <v>0</v>
      </c>
      <c r="BH61" s="199">
        <f t="shared" ca="1" si="46"/>
        <v>0</v>
      </c>
      <c r="BI61" s="199">
        <f t="shared" ca="1" si="46"/>
        <v>0</v>
      </c>
      <c r="BJ61" s="199">
        <f t="shared" ca="1" si="46"/>
        <v>0</v>
      </c>
      <c r="BK61" s="199">
        <f t="shared" ref="BK61:BW62" ca="1" si="47">SUMIFS(INDIRECT("'"&amp;$A61&amp;$B$11&amp;"'!"&amp;"$Ag:$Ag"),INDIRECT("'"&amp;$A61&amp;$B$11&amp;"'!"&amp;"$A:$A"),BK$1)</f>
        <v>0</v>
      </c>
      <c r="BL61" s="199">
        <f t="shared" ca="1" si="47"/>
        <v>0</v>
      </c>
      <c r="BM61" s="199">
        <f t="shared" ca="1" si="47"/>
        <v>0</v>
      </c>
      <c r="BN61" s="199">
        <f t="shared" ca="1" si="47"/>
        <v>0</v>
      </c>
      <c r="BO61" s="199">
        <f t="shared" ca="1" si="47"/>
        <v>0</v>
      </c>
      <c r="BP61" s="199">
        <f t="shared" ca="1" si="47"/>
        <v>0</v>
      </c>
      <c r="BQ61" s="199">
        <f t="shared" ca="1" si="47"/>
        <v>0</v>
      </c>
      <c r="BR61" s="199">
        <f t="shared" ca="1" si="47"/>
        <v>0</v>
      </c>
      <c r="BS61" s="199">
        <f t="shared" ca="1" si="47"/>
        <v>0</v>
      </c>
      <c r="BT61" s="199">
        <f t="shared" ca="1" si="47"/>
        <v>0</v>
      </c>
      <c r="BU61" s="199">
        <f t="shared" ca="1" si="47"/>
        <v>0</v>
      </c>
      <c r="BV61" s="199">
        <f t="shared" ca="1" si="47"/>
        <v>0</v>
      </c>
      <c r="BW61" s="199">
        <f t="shared" ca="1" si="47"/>
        <v>0</v>
      </c>
    </row>
    <row r="62" spans="1:75" x14ac:dyDescent="0.3">
      <c r="A62" s="5" t="s">
        <v>66</v>
      </c>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2"/>
      <c r="AG62" s="199">
        <f t="shared" ca="1" si="44"/>
        <v>7.9637190186256174E-2</v>
      </c>
      <c r="AH62" s="199">
        <f t="shared" ca="1" si="44"/>
        <v>6.5081949530799765E-2</v>
      </c>
      <c r="AI62" s="199">
        <f t="shared" ca="1" si="44"/>
        <v>5.8361235657819026E-2</v>
      </c>
      <c r="AJ62" s="199">
        <f t="shared" ca="1" si="44"/>
        <v>5.4767034207534718E-2</v>
      </c>
      <c r="AK62" s="199">
        <f t="shared" ca="1" si="44"/>
        <v>5.346737323201263E-2</v>
      </c>
      <c r="AL62" s="199">
        <f t="shared" ca="1" si="44"/>
        <v>5.1772325224190549E-2</v>
      </c>
      <c r="AM62" s="199">
        <f t="shared" ca="1" si="44"/>
        <v>5.1678799763415266E-2</v>
      </c>
      <c r="AN62" s="199">
        <f t="shared" ca="1" si="44"/>
        <v>5.2737294651946251E-2</v>
      </c>
      <c r="AO62" s="199">
        <f t="shared" ca="1" si="44"/>
        <v>5.3866207848537684E-2</v>
      </c>
      <c r="AP62" s="199">
        <f t="shared" ca="1" si="44"/>
        <v>8.5593937652945068E-2</v>
      </c>
      <c r="AQ62" s="199">
        <f t="shared" ca="1" si="45"/>
        <v>8.5672665091395372E-2</v>
      </c>
      <c r="AR62" s="199">
        <f t="shared" ca="1" si="45"/>
        <v>8.5770932248536061E-2</v>
      </c>
      <c r="AS62" s="199">
        <f t="shared" ca="1" si="45"/>
        <v>8.5880651272019534E-2</v>
      </c>
      <c r="AT62" s="199">
        <f t="shared" ca="1" si="45"/>
        <v>8.6009099418769178E-2</v>
      </c>
      <c r="AU62" s="199">
        <f t="shared" ca="1" si="45"/>
        <v>8.613739079036066E-2</v>
      </c>
      <c r="AV62" s="199">
        <f t="shared" ca="1" si="45"/>
        <v>8.6273035682401258E-2</v>
      </c>
      <c r="AW62" s="199">
        <f t="shared" ca="1" si="45"/>
        <v>8.63774562424071E-2</v>
      </c>
      <c r="AX62" s="199">
        <f t="shared" ca="1" si="45"/>
        <v>8.6381039743155127E-2</v>
      </c>
      <c r="AY62" s="199">
        <f t="shared" ca="1" si="45"/>
        <v>8.6394855887669861E-2</v>
      </c>
      <c r="AZ62" s="199">
        <f t="shared" ca="1" si="45"/>
        <v>8.6404331339238041E-2</v>
      </c>
      <c r="BA62" s="199">
        <f t="shared" ca="1" si="46"/>
        <v>8.6425529552645985E-2</v>
      </c>
      <c r="BB62" s="199">
        <f t="shared" ca="1" si="46"/>
        <v>8.6450934214080261E-2</v>
      </c>
      <c r="BC62" s="199">
        <f t="shared" ca="1" si="46"/>
        <v>8.6478305818154688E-2</v>
      </c>
      <c r="BD62" s="199">
        <f t="shared" ca="1" si="46"/>
        <v>8.6488814931520594E-2</v>
      </c>
      <c r="BE62" s="199">
        <f t="shared" ca="1" si="46"/>
        <v>8.6527482223490937E-2</v>
      </c>
      <c r="BF62" s="199">
        <f t="shared" ca="1" si="46"/>
        <v>8.6561243043693864E-2</v>
      </c>
      <c r="BG62" s="199">
        <f t="shared" ca="1" si="46"/>
        <v>8.6563307493540048E-2</v>
      </c>
      <c r="BH62" s="199">
        <f t="shared" ca="1" si="46"/>
        <v>8.6542274842092023E-2</v>
      </c>
      <c r="BI62" s="199">
        <f t="shared" ca="1" si="46"/>
        <v>8.6542725567115814E-2</v>
      </c>
      <c r="BJ62" s="199">
        <f t="shared" ca="1" si="46"/>
        <v>0</v>
      </c>
      <c r="BK62" s="199">
        <f t="shared" ca="1" si="47"/>
        <v>0</v>
      </c>
      <c r="BL62" s="199">
        <f t="shared" ca="1" si="47"/>
        <v>0</v>
      </c>
      <c r="BM62" s="199">
        <f t="shared" ca="1" si="47"/>
        <v>0</v>
      </c>
      <c r="BN62" s="199">
        <f t="shared" ca="1" si="47"/>
        <v>0</v>
      </c>
      <c r="BO62" s="199">
        <f t="shared" ca="1" si="47"/>
        <v>0</v>
      </c>
      <c r="BP62" s="199">
        <f t="shared" ca="1" si="47"/>
        <v>0</v>
      </c>
      <c r="BQ62" s="199">
        <f t="shared" ca="1" si="47"/>
        <v>0</v>
      </c>
      <c r="BR62" s="199">
        <f t="shared" ca="1" si="47"/>
        <v>0</v>
      </c>
      <c r="BS62" s="199">
        <f t="shared" ca="1" si="47"/>
        <v>0</v>
      </c>
      <c r="BT62" s="199">
        <f t="shared" ca="1" si="47"/>
        <v>0</v>
      </c>
      <c r="BU62" s="199">
        <f t="shared" ca="1" si="47"/>
        <v>0</v>
      </c>
      <c r="BV62" s="199">
        <f t="shared" ca="1" si="47"/>
        <v>0</v>
      </c>
      <c r="BW62" s="199">
        <f t="shared" ca="1" si="47"/>
        <v>0</v>
      </c>
    </row>
    <row r="63" spans="1:75" x14ac:dyDescent="0.3">
      <c r="AF63" s="2"/>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row>
    <row r="64" spans="1:75" x14ac:dyDescent="0.3">
      <c r="A64" s="6" t="s">
        <v>691</v>
      </c>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2"/>
      <c r="AG64" s="48">
        <f t="shared" ref="AG64:BL64" ca="1" si="48">SUM(AG65:AG68)</f>
        <v>268.48159700096835</v>
      </c>
      <c r="AH64" s="48">
        <f t="shared" ca="1" si="48"/>
        <v>305.87625834696252</v>
      </c>
      <c r="AI64" s="48">
        <f t="shared" ca="1" si="48"/>
        <v>290.45909553296167</v>
      </c>
      <c r="AJ64" s="48">
        <f t="shared" ca="1" si="48"/>
        <v>280.89402796964561</v>
      </c>
      <c r="AK64" s="48">
        <f t="shared" ca="1" si="48"/>
        <v>264.83862620533864</v>
      </c>
      <c r="AL64" s="48">
        <f t="shared" ca="1" si="48"/>
        <v>254.94696603517019</v>
      </c>
      <c r="AM64" s="48">
        <f t="shared" ca="1" si="48"/>
        <v>226.77799995141001</v>
      </c>
      <c r="AN64" s="48">
        <f t="shared" ca="1" si="48"/>
        <v>194.29094581467075</v>
      </c>
      <c r="AO64" s="48">
        <f t="shared" ca="1" si="48"/>
        <v>174.20200923210569</v>
      </c>
      <c r="AP64" s="48">
        <f t="shared" ca="1" si="48"/>
        <v>203.70392455010222</v>
      </c>
      <c r="AQ64" s="48">
        <f t="shared" ca="1" si="48"/>
        <v>183.02477502479866</v>
      </c>
      <c r="AR64" s="48">
        <f t="shared" ca="1" si="48"/>
        <v>165.4023333459956</v>
      </c>
      <c r="AS64" s="48">
        <f t="shared" ca="1" si="48"/>
        <v>144.70807011186275</v>
      </c>
      <c r="AT64" s="48">
        <f t="shared" ca="1" si="48"/>
        <v>127.18155078587614</v>
      </c>
      <c r="AU64" s="48">
        <f t="shared" ca="1" si="48"/>
        <v>114.47442238511464</v>
      </c>
      <c r="AV64" s="48">
        <f t="shared" ca="1" si="48"/>
        <v>104.0682494891108</v>
      </c>
      <c r="AW64" s="48">
        <f t="shared" ca="1" si="48"/>
        <v>83.847975414423772</v>
      </c>
      <c r="AX64" s="48">
        <f t="shared" ca="1" si="48"/>
        <v>74.933932595791873</v>
      </c>
      <c r="AY64" s="48">
        <f t="shared" ca="1" si="48"/>
        <v>67.176131022573657</v>
      </c>
      <c r="AZ64" s="48">
        <f t="shared" ca="1" si="48"/>
        <v>59.936348678806439</v>
      </c>
      <c r="BA64" s="48">
        <f t="shared" ca="1" si="48"/>
        <v>54.311969972904834</v>
      </c>
      <c r="BB64" s="48">
        <f t="shared" ca="1" si="48"/>
        <v>48.140115326197574</v>
      </c>
      <c r="BC64" s="48">
        <f t="shared" ca="1" si="48"/>
        <v>44.503248274627445</v>
      </c>
      <c r="BD64" s="48">
        <f t="shared" ca="1" si="48"/>
        <v>41.618077403524623</v>
      </c>
      <c r="BE64" s="48">
        <f t="shared" ca="1" si="48"/>
        <v>39.174731957764855</v>
      </c>
      <c r="BF64" s="48">
        <f t="shared" ca="1" si="48"/>
        <v>35.020559456993936</v>
      </c>
      <c r="BG64" s="48">
        <f t="shared" ca="1" si="48"/>
        <v>32.571841207065759</v>
      </c>
      <c r="BH64" s="48">
        <f t="shared" ca="1" si="48"/>
        <v>30.934381001714399</v>
      </c>
      <c r="BI64" s="48">
        <f ca="1">SUM(BI65:BI68)</f>
        <v>19.8170072154286</v>
      </c>
      <c r="BJ64" s="48">
        <f t="shared" ca="1" si="48"/>
        <v>0</v>
      </c>
      <c r="BK64" s="48">
        <f t="shared" ca="1" si="48"/>
        <v>0</v>
      </c>
      <c r="BL64" s="48">
        <f t="shared" ca="1" si="48"/>
        <v>0</v>
      </c>
      <c r="BM64" s="48">
        <f t="shared" ref="BM64:BW64" ca="1" si="49">SUM(BM65:BM68)</f>
        <v>0</v>
      </c>
      <c r="BN64" s="48">
        <f t="shared" ca="1" si="49"/>
        <v>0</v>
      </c>
      <c r="BO64" s="48">
        <f t="shared" ca="1" si="49"/>
        <v>0</v>
      </c>
      <c r="BP64" s="48">
        <f t="shared" ca="1" si="49"/>
        <v>0</v>
      </c>
      <c r="BQ64" s="48">
        <f t="shared" ca="1" si="49"/>
        <v>0</v>
      </c>
      <c r="BR64" s="48">
        <f t="shared" ca="1" si="49"/>
        <v>0</v>
      </c>
      <c r="BS64" s="48">
        <f t="shared" ca="1" si="49"/>
        <v>0</v>
      </c>
      <c r="BT64" s="48">
        <f t="shared" ca="1" si="49"/>
        <v>0</v>
      </c>
      <c r="BU64" s="48">
        <f t="shared" ca="1" si="49"/>
        <v>0</v>
      </c>
      <c r="BV64" s="48">
        <f t="shared" ca="1" si="49"/>
        <v>0</v>
      </c>
      <c r="BW64" s="48">
        <f t="shared" ca="1" si="49"/>
        <v>0</v>
      </c>
    </row>
    <row r="65" spans="1:75" x14ac:dyDescent="0.3">
      <c r="A65" s="5" t="s">
        <v>64</v>
      </c>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2"/>
      <c r="AG65" s="51">
        <f ca="1">AG6*AG59</f>
        <v>160.5599608010541</v>
      </c>
      <c r="AH65" s="51">
        <f t="shared" ref="AH65:BW65" ca="1" si="50">AH6*AH59</f>
        <v>182.68877831579309</v>
      </c>
      <c r="AI65" s="51">
        <f t="shared" ca="1" si="50"/>
        <v>157.38998027475867</v>
      </c>
      <c r="AJ65" s="51">
        <f t="shared" ca="1" si="50"/>
        <v>139.22861032747679</v>
      </c>
      <c r="AK65" s="51">
        <f t="shared" ca="1" si="50"/>
        <v>125.10129655404833</v>
      </c>
      <c r="AL65" s="51">
        <f t="shared" ca="1" si="50"/>
        <v>108.58303095227645</v>
      </c>
      <c r="AM65" s="51">
        <f t="shared" ca="1" si="50"/>
        <v>88.631396108617935</v>
      </c>
      <c r="AN65" s="51">
        <f t="shared" ca="1" si="50"/>
        <v>73.875513415351307</v>
      </c>
      <c r="AO65" s="51">
        <f t="shared" ca="1" si="50"/>
        <v>66.25800311243529</v>
      </c>
      <c r="AP65" s="51">
        <f t="shared" ca="1" si="50"/>
        <v>61.904017465008529</v>
      </c>
      <c r="AQ65" s="51">
        <f t="shared" ca="1" si="50"/>
        <v>58.432610342120626</v>
      </c>
      <c r="AR65" s="51">
        <f t="shared" ca="1" si="50"/>
        <v>53.74904731221875</v>
      </c>
      <c r="AS65" s="51">
        <f t="shared" ca="1" si="50"/>
        <v>46.347667967760373</v>
      </c>
      <c r="AT65" s="51">
        <f t="shared" ca="1" si="50"/>
        <v>40.80198670005835</v>
      </c>
      <c r="AU65" s="51">
        <f t="shared" ca="1" si="50"/>
        <v>37.03141757005843</v>
      </c>
      <c r="AV65" s="51">
        <f t="shared" ca="1" si="50"/>
        <v>33.907015215402552</v>
      </c>
      <c r="AW65" s="51">
        <f t="shared" ca="1" si="50"/>
        <v>31.284415615631978</v>
      </c>
      <c r="AX65" s="51">
        <f t="shared" ca="1" si="50"/>
        <v>28.845822870855841</v>
      </c>
      <c r="AY65" s="51">
        <f t="shared" ca="1" si="50"/>
        <v>26.799756512444006</v>
      </c>
      <c r="AZ65" s="51">
        <f t="shared" ca="1" si="50"/>
        <v>25.010313083527009</v>
      </c>
      <c r="BA65" s="51">
        <f t="shared" ca="1" si="50"/>
        <v>23.554220640327792</v>
      </c>
      <c r="BB65" s="51">
        <f t="shared" ca="1" si="50"/>
        <v>21.885830933897324</v>
      </c>
      <c r="BC65" s="51">
        <f t="shared" ca="1" si="50"/>
        <v>20.694729801651146</v>
      </c>
      <c r="BD65" s="51">
        <f t="shared" ca="1" si="50"/>
        <v>19.684502399092732</v>
      </c>
      <c r="BE65" s="51">
        <f t="shared" ca="1" si="50"/>
        <v>18.836721516839894</v>
      </c>
      <c r="BF65" s="51">
        <f t="shared" ca="1" si="50"/>
        <v>17.937171791642221</v>
      </c>
      <c r="BG65" s="51">
        <f t="shared" ca="1" si="50"/>
        <v>17.162817729670831</v>
      </c>
      <c r="BH65" s="51">
        <f t="shared" ca="1" si="50"/>
        <v>16.451454832621874</v>
      </c>
      <c r="BI65" s="51">
        <f t="shared" ca="1" si="50"/>
        <v>11.440152350838357</v>
      </c>
      <c r="BJ65" s="51">
        <f ca="1">BJ6*BJ59</f>
        <v>0</v>
      </c>
      <c r="BK65" s="51">
        <f t="shared" ca="1" si="50"/>
        <v>0</v>
      </c>
      <c r="BL65" s="51">
        <f t="shared" ca="1" si="50"/>
        <v>0</v>
      </c>
      <c r="BM65" s="51">
        <f t="shared" ca="1" si="50"/>
        <v>0</v>
      </c>
      <c r="BN65" s="51">
        <f t="shared" ca="1" si="50"/>
        <v>0</v>
      </c>
      <c r="BO65" s="51">
        <f t="shared" ca="1" si="50"/>
        <v>0</v>
      </c>
      <c r="BP65" s="51">
        <f t="shared" ca="1" si="50"/>
        <v>0</v>
      </c>
      <c r="BQ65" s="51">
        <f t="shared" ca="1" si="50"/>
        <v>0</v>
      </c>
      <c r="BR65" s="51">
        <f t="shared" ca="1" si="50"/>
        <v>0</v>
      </c>
      <c r="BS65" s="51">
        <f t="shared" ca="1" si="50"/>
        <v>0</v>
      </c>
      <c r="BT65" s="51">
        <f t="shared" ca="1" si="50"/>
        <v>0</v>
      </c>
      <c r="BU65" s="51">
        <f t="shared" ca="1" si="50"/>
        <v>0</v>
      </c>
      <c r="BV65" s="51">
        <f t="shared" ca="1" si="50"/>
        <v>0</v>
      </c>
      <c r="BW65" s="51">
        <f t="shared" ca="1" si="50"/>
        <v>0</v>
      </c>
    </row>
    <row r="66" spans="1:75" x14ac:dyDescent="0.3">
      <c r="A66" s="5" t="s">
        <v>65</v>
      </c>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2"/>
      <c r="AG66" s="117"/>
      <c r="AH66" s="117"/>
      <c r="AI66" s="117"/>
      <c r="AJ66" s="117"/>
      <c r="AK66" s="117"/>
      <c r="AL66" s="117"/>
      <c r="AM66" s="117"/>
      <c r="AN66" s="117"/>
      <c r="AO66" s="117"/>
      <c r="AP66" s="117"/>
      <c r="AQ66" s="117"/>
      <c r="AR66" s="117"/>
      <c r="AS66" s="117"/>
      <c r="AT66" s="117"/>
      <c r="AU66" s="117"/>
      <c r="AV66" s="117"/>
      <c r="AW66" s="117"/>
      <c r="AX66" s="117"/>
      <c r="AY66" s="117"/>
      <c r="AZ66" s="117"/>
      <c r="BA66" s="117"/>
      <c r="BB66" s="117"/>
      <c r="BC66" s="117"/>
      <c r="BD66" s="117"/>
      <c r="BE66" s="117"/>
      <c r="BF66" s="117"/>
      <c r="BG66" s="117"/>
      <c r="BH66" s="117"/>
      <c r="BI66" s="117"/>
      <c r="BJ66" s="117"/>
      <c r="BK66" s="117"/>
      <c r="BL66" s="117"/>
      <c r="BM66" s="117"/>
      <c r="BN66" s="117"/>
      <c r="BO66" s="117"/>
      <c r="BP66" s="117"/>
      <c r="BQ66" s="117"/>
      <c r="BR66" s="117"/>
      <c r="BS66" s="117"/>
      <c r="BT66" s="117"/>
      <c r="BU66" s="117"/>
      <c r="BV66" s="117"/>
      <c r="BW66" s="117"/>
    </row>
    <row r="67" spans="1:75" x14ac:dyDescent="0.3">
      <c r="A67" s="5" t="s">
        <v>67</v>
      </c>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2"/>
      <c r="AG67" s="51">
        <f t="shared" ref="AG67:BW67" ca="1" si="51">AG8*AG61</f>
        <v>31.043628394839459</v>
      </c>
      <c r="AH67" s="51">
        <f t="shared" ca="1" si="51"/>
        <v>30.44296043318554</v>
      </c>
      <c r="AI67" s="51">
        <f t="shared" ca="1" si="51"/>
        <v>28.003188875274702</v>
      </c>
      <c r="AJ67" s="51">
        <f t="shared" ca="1" si="51"/>
        <v>25.965796537627021</v>
      </c>
      <c r="AK67" s="51">
        <f t="shared" ca="1" si="51"/>
        <v>23.099123251104043</v>
      </c>
      <c r="AL67" s="51">
        <f t="shared" ca="1" si="51"/>
        <v>20.779977050167638</v>
      </c>
      <c r="AM67" s="51">
        <f t="shared" ca="1" si="51"/>
        <v>18.957345799152691</v>
      </c>
      <c r="AN67" s="51">
        <f t="shared" ca="1" si="51"/>
        <v>17.3042752468277</v>
      </c>
      <c r="AO67" s="51">
        <f t="shared" ca="1" si="51"/>
        <v>16.245470701721469</v>
      </c>
      <c r="AP67" s="51">
        <f t="shared" ca="1" si="51"/>
        <v>15.215166517013257</v>
      </c>
      <c r="AQ67" s="51">
        <f t="shared" ca="1" si="51"/>
        <v>14.064748673937709</v>
      </c>
      <c r="AR67" s="51">
        <f t="shared" ca="1" si="51"/>
        <v>15.919738032866929</v>
      </c>
      <c r="AS67" s="51">
        <f t="shared" ca="1" si="51"/>
        <v>14.672725307963741</v>
      </c>
      <c r="AT67" s="51">
        <f t="shared" ca="1" si="51"/>
        <v>13.489880062810251</v>
      </c>
      <c r="AU67" s="51">
        <f t="shared" ca="1" si="51"/>
        <v>12.377287916770651</v>
      </c>
      <c r="AV67" s="51">
        <f t="shared" ca="1" si="51"/>
        <v>11.459717459683247</v>
      </c>
      <c r="AW67" s="51">
        <f t="shared" ca="1" si="51"/>
        <v>0</v>
      </c>
      <c r="AX67" s="51">
        <f t="shared" ca="1" si="51"/>
        <v>0</v>
      </c>
      <c r="AY67" s="51">
        <f t="shared" ca="1" si="51"/>
        <v>0</v>
      </c>
      <c r="AZ67" s="51">
        <f t="shared" ca="1" si="51"/>
        <v>0</v>
      </c>
      <c r="BA67" s="51">
        <f t="shared" ca="1" si="51"/>
        <v>0</v>
      </c>
      <c r="BB67" s="51">
        <f t="shared" ca="1" si="51"/>
        <v>0</v>
      </c>
      <c r="BC67" s="51">
        <f t="shared" ca="1" si="51"/>
        <v>0</v>
      </c>
      <c r="BD67" s="51">
        <f t="shared" ca="1" si="51"/>
        <v>0</v>
      </c>
      <c r="BE67" s="51">
        <f t="shared" ca="1" si="51"/>
        <v>0</v>
      </c>
      <c r="BF67" s="51">
        <f t="shared" ca="1" si="51"/>
        <v>0</v>
      </c>
      <c r="BG67" s="51">
        <f t="shared" ca="1" si="51"/>
        <v>0</v>
      </c>
      <c r="BH67" s="51">
        <f t="shared" ca="1" si="51"/>
        <v>0</v>
      </c>
      <c r="BI67" s="51">
        <f t="shared" ca="1" si="51"/>
        <v>0</v>
      </c>
      <c r="BJ67" s="51">
        <f t="shared" ca="1" si="51"/>
        <v>0</v>
      </c>
      <c r="BK67" s="51">
        <f t="shared" ca="1" si="51"/>
        <v>0</v>
      </c>
      <c r="BL67" s="51">
        <f t="shared" ca="1" si="51"/>
        <v>0</v>
      </c>
      <c r="BM67" s="51">
        <f t="shared" ca="1" si="51"/>
        <v>0</v>
      </c>
      <c r="BN67" s="51">
        <f t="shared" ca="1" si="51"/>
        <v>0</v>
      </c>
      <c r="BO67" s="51">
        <f t="shared" ca="1" si="51"/>
        <v>0</v>
      </c>
      <c r="BP67" s="51">
        <f t="shared" ca="1" si="51"/>
        <v>0</v>
      </c>
      <c r="BQ67" s="51">
        <f t="shared" ca="1" si="51"/>
        <v>0</v>
      </c>
      <c r="BR67" s="51">
        <f t="shared" ca="1" si="51"/>
        <v>0</v>
      </c>
      <c r="BS67" s="51">
        <f t="shared" ca="1" si="51"/>
        <v>0</v>
      </c>
      <c r="BT67" s="51">
        <f t="shared" ca="1" si="51"/>
        <v>0</v>
      </c>
      <c r="BU67" s="51">
        <f t="shared" ca="1" si="51"/>
        <v>0</v>
      </c>
      <c r="BV67" s="51">
        <f t="shared" ca="1" si="51"/>
        <v>0</v>
      </c>
      <c r="BW67" s="51">
        <f t="shared" ca="1" si="51"/>
        <v>0</v>
      </c>
    </row>
    <row r="68" spans="1:75" x14ac:dyDescent="0.3">
      <c r="A68" s="5" t="s">
        <v>66</v>
      </c>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2"/>
      <c r="AG68" s="51">
        <f t="shared" ref="AG68:BW68" ca="1" si="52">AG9*AG62</f>
        <v>76.878007805074802</v>
      </c>
      <c r="AH68" s="51">
        <f t="shared" ca="1" si="52"/>
        <v>92.744519597983881</v>
      </c>
      <c r="AI68" s="51">
        <f t="shared" ca="1" si="52"/>
        <v>105.0659263829283</v>
      </c>
      <c r="AJ68" s="51">
        <f t="shared" ca="1" si="52"/>
        <v>115.69962110454181</v>
      </c>
      <c r="AK68" s="51">
        <f t="shared" ca="1" si="52"/>
        <v>116.63820640018629</v>
      </c>
      <c r="AL68" s="51">
        <f t="shared" ca="1" si="52"/>
        <v>125.58395803272612</v>
      </c>
      <c r="AM68" s="51">
        <f t="shared" ca="1" si="52"/>
        <v>119.18925804363938</v>
      </c>
      <c r="AN68" s="51">
        <f t="shared" ca="1" si="52"/>
        <v>103.11115715249173</v>
      </c>
      <c r="AO68" s="51">
        <f t="shared" ca="1" si="52"/>
        <v>91.698535417948918</v>
      </c>
      <c r="AP68" s="51">
        <f t="shared" ca="1" si="52"/>
        <v>126.58474056808043</v>
      </c>
      <c r="AQ68" s="51">
        <f t="shared" ca="1" si="52"/>
        <v>110.52741600874032</v>
      </c>
      <c r="AR68" s="51">
        <f t="shared" ca="1" si="52"/>
        <v>95.733548000909906</v>
      </c>
      <c r="AS68" s="51">
        <f t="shared" ca="1" si="52"/>
        <v>83.687676836138621</v>
      </c>
      <c r="AT68" s="51">
        <f t="shared" ca="1" si="52"/>
        <v>72.889684023007547</v>
      </c>
      <c r="AU68" s="51">
        <f t="shared" ca="1" si="52"/>
        <v>65.065716898285558</v>
      </c>
      <c r="AV68" s="51">
        <f t="shared" ca="1" si="52"/>
        <v>58.701516814024998</v>
      </c>
      <c r="AW68" s="51">
        <f t="shared" ca="1" si="52"/>
        <v>52.563559798791793</v>
      </c>
      <c r="AX68" s="51">
        <f t="shared" ca="1" si="52"/>
        <v>46.088109724936032</v>
      </c>
      <c r="AY68" s="51">
        <f t="shared" ca="1" si="52"/>
        <v>40.376374510129644</v>
      </c>
      <c r="AZ68" s="51">
        <f t="shared" ca="1" si="52"/>
        <v>34.92603559527943</v>
      </c>
      <c r="BA68" s="51">
        <f t="shared" ca="1" si="52"/>
        <v>30.757749332577038</v>
      </c>
      <c r="BB68" s="51">
        <f t="shared" ca="1" si="52"/>
        <v>26.254284392300246</v>
      </c>
      <c r="BC68" s="51">
        <f t="shared" ca="1" si="52"/>
        <v>23.808518472976299</v>
      </c>
      <c r="BD68" s="51">
        <f t="shared" ca="1" si="52"/>
        <v>21.933575004431894</v>
      </c>
      <c r="BE68" s="51">
        <f t="shared" ca="1" si="52"/>
        <v>20.338010440924961</v>
      </c>
      <c r="BF68" s="51">
        <f t="shared" ca="1" si="52"/>
        <v>17.083387665351719</v>
      </c>
      <c r="BG68" s="51">
        <f t="shared" ca="1" si="52"/>
        <v>15.409023477394927</v>
      </c>
      <c r="BH68" s="51">
        <f t="shared" ca="1" si="52"/>
        <v>14.482926169092526</v>
      </c>
      <c r="BI68" s="51">
        <f t="shared" ca="1" si="52"/>
        <v>8.3768548645902428</v>
      </c>
      <c r="BJ68" s="51">
        <f t="shared" ca="1" si="52"/>
        <v>0</v>
      </c>
      <c r="BK68" s="51">
        <f t="shared" ca="1" si="52"/>
        <v>0</v>
      </c>
      <c r="BL68" s="51">
        <f t="shared" ca="1" si="52"/>
        <v>0</v>
      </c>
      <c r="BM68" s="51">
        <f t="shared" ca="1" si="52"/>
        <v>0</v>
      </c>
      <c r="BN68" s="51">
        <f t="shared" ca="1" si="52"/>
        <v>0</v>
      </c>
      <c r="BO68" s="51">
        <f t="shared" ca="1" si="52"/>
        <v>0</v>
      </c>
      <c r="BP68" s="51">
        <f t="shared" ca="1" si="52"/>
        <v>0</v>
      </c>
      <c r="BQ68" s="51">
        <f t="shared" ca="1" si="52"/>
        <v>0</v>
      </c>
      <c r="BR68" s="51">
        <f t="shared" ca="1" si="52"/>
        <v>0</v>
      </c>
      <c r="BS68" s="51">
        <f t="shared" ca="1" si="52"/>
        <v>0</v>
      </c>
      <c r="BT68" s="51">
        <f t="shared" ca="1" si="52"/>
        <v>0</v>
      </c>
      <c r="BU68" s="51">
        <f t="shared" ca="1" si="52"/>
        <v>0</v>
      </c>
      <c r="BV68" s="51">
        <f t="shared" ca="1" si="52"/>
        <v>0</v>
      </c>
      <c r="BW68" s="51">
        <f t="shared" ca="1" si="52"/>
        <v>0</v>
      </c>
    </row>
    <row r="70" spans="1:75" x14ac:dyDescent="0.3">
      <c r="A70" s="6" t="s">
        <v>693</v>
      </c>
      <c r="V70" s="48">
        <f t="shared" ref="V70:AE70" si="53">-V71*V5</f>
        <v>59.228286046210606</v>
      </c>
      <c r="W70" s="51">
        <f t="shared" si="53"/>
        <v>24.290214728806301</v>
      </c>
      <c r="X70" s="51">
        <f t="shared" si="53"/>
        <v>31.696964418605269</v>
      </c>
      <c r="Y70" s="51">
        <f t="shared" si="53"/>
        <v>27.509646709162013</v>
      </c>
      <c r="Z70" s="51">
        <f t="shared" si="53"/>
        <v>14.494261137567797</v>
      </c>
      <c r="AA70" s="48">
        <f t="shared" si="53"/>
        <v>97.872829030521856</v>
      </c>
      <c r="AB70" s="51">
        <f t="shared" si="53"/>
        <v>47.796199838363314</v>
      </c>
      <c r="AC70" s="51">
        <f t="shared" si="53"/>
        <v>51.967635905237358</v>
      </c>
      <c r="AD70" s="51">
        <f t="shared" si="53"/>
        <v>70.323882186187959</v>
      </c>
      <c r="AE70" s="51">
        <f t="shared" si="53"/>
        <v>61.335867690970595</v>
      </c>
      <c r="AF70" s="48">
        <f>AB70+AC70+AD70+AE70</f>
        <v>231.42358562075924</v>
      </c>
      <c r="AG70" s="48">
        <f ca="1">AG64+AG52</f>
        <v>348.38091396445355</v>
      </c>
      <c r="AH70" s="48">
        <f ca="1">AH64+AH52</f>
        <v>391.42634239806705</v>
      </c>
      <c r="AI70" s="48">
        <f t="shared" ref="AI70:BW70" ca="1" si="54">AI64+AI52</f>
        <v>413.44464856472808</v>
      </c>
      <c r="AJ70" s="48">
        <f t="shared" ca="1" si="54"/>
        <v>453.53834909596321</v>
      </c>
      <c r="AK70" s="48">
        <f t="shared" ca="1" si="54"/>
        <v>448.54416437186001</v>
      </c>
      <c r="AL70" s="48">
        <f t="shared" ca="1" si="54"/>
        <v>469.82822810226696</v>
      </c>
      <c r="AM70" s="48">
        <f t="shared" ca="1" si="54"/>
        <v>404.91748139224438</v>
      </c>
      <c r="AN70" s="48">
        <f t="shared" ca="1" si="54"/>
        <v>304.91046183744447</v>
      </c>
      <c r="AO70" s="48">
        <f t="shared" ca="1" si="54"/>
        <v>250.18200486418499</v>
      </c>
      <c r="AP70" s="48">
        <f t="shared" ca="1" si="54"/>
        <v>248.09343703165649</v>
      </c>
      <c r="AQ70" s="48">
        <f t="shared" ca="1" si="54"/>
        <v>212.78942012295607</v>
      </c>
      <c r="AR70" s="48">
        <f t="shared" ca="1" si="54"/>
        <v>184.76773414059838</v>
      </c>
      <c r="AS70" s="48">
        <f t="shared" ca="1" si="54"/>
        <v>155.79946948680893</v>
      </c>
      <c r="AT70" s="48">
        <f t="shared" ca="1" si="54"/>
        <v>131.16271854395384</v>
      </c>
      <c r="AU70" s="48">
        <f t="shared" ca="1" si="54"/>
        <v>114.47442238511464</v>
      </c>
      <c r="AV70" s="48">
        <f t="shared" ca="1" si="54"/>
        <v>104.0682494891108</v>
      </c>
      <c r="AW70" s="48">
        <f t="shared" ca="1" si="54"/>
        <v>83.847975414423772</v>
      </c>
      <c r="AX70" s="48">
        <f t="shared" ca="1" si="54"/>
        <v>74.933932595791873</v>
      </c>
      <c r="AY70" s="48">
        <f t="shared" ca="1" si="54"/>
        <v>67.176131022573657</v>
      </c>
      <c r="AZ70" s="48">
        <f t="shared" ca="1" si="54"/>
        <v>59.936348678806439</v>
      </c>
      <c r="BA70" s="48">
        <f t="shared" ca="1" si="54"/>
        <v>54.311969972904834</v>
      </c>
      <c r="BB70" s="48">
        <f t="shared" ca="1" si="54"/>
        <v>48.140115326197574</v>
      </c>
      <c r="BC70" s="48">
        <f t="shared" ca="1" si="54"/>
        <v>44.503248274627445</v>
      </c>
      <c r="BD70" s="48">
        <f t="shared" ca="1" si="54"/>
        <v>41.618077403524623</v>
      </c>
      <c r="BE70" s="48">
        <f t="shared" ca="1" si="54"/>
        <v>39.174731957764855</v>
      </c>
      <c r="BF70" s="48">
        <f t="shared" ca="1" si="54"/>
        <v>35.020559456993936</v>
      </c>
      <c r="BG70" s="48">
        <f t="shared" ca="1" si="54"/>
        <v>32.571841207065759</v>
      </c>
      <c r="BH70" s="48">
        <f t="shared" ca="1" si="54"/>
        <v>30.934381001714399</v>
      </c>
      <c r="BI70" s="48">
        <f t="shared" ca="1" si="54"/>
        <v>19.8170072154286</v>
      </c>
      <c r="BJ70" s="48">
        <f ca="1">BJ64+BJ52</f>
        <v>0</v>
      </c>
      <c r="BK70" s="48">
        <f t="shared" ca="1" si="54"/>
        <v>0</v>
      </c>
      <c r="BL70" s="48">
        <f t="shared" ca="1" si="54"/>
        <v>0</v>
      </c>
      <c r="BM70" s="48">
        <f t="shared" ca="1" si="54"/>
        <v>0</v>
      </c>
      <c r="BN70" s="48">
        <f t="shared" ca="1" si="54"/>
        <v>0</v>
      </c>
      <c r="BO70" s="48">
        <f t="shared" ca="1" si="54"/>
        <v>0</v>
      </c>
      <c r="BP70" s="48">
        <f t="shared" ca="1" si="54"/>
        <v>0</v>
      </c>
      <c r="BQ70" s="48">
        <f t="shared" ca="1" si="54"/>
        <v>0</v>
      </c>
      <c r="BR70" s="48">
        <f t="shared" ca="1" si="54"/>
        <v>0</v>
      </c>
      <c r="BS70" s="48">
        <f t="shared" ca="1" si="54"/>
        <v>0</v>
      </c>
      <c r="BT70" s="48">
        <f t="shared" ca="1" si="54"/>
        <v>0</v>
      </c>
      <c r="BU70" s="48">
        <f t="shared" ca="1" si="54"/>
        <v>0</v>
      </c>
      <c r="BV70" s="48">
        <f t="shared" ca="1" si="54"/>
        <v>0</v>
      </c>
      <c r="BW70" s="48">
        <f t="shared" ca="1" si="54"/>
        <v>0</v>
      </c>
    </row>
    <row r="71" spans="1:75" x14ac:dyDescent="0.3">
      <c r="A71" s="5" t="s">
        <v>694</v>
      </c>
      <c r="V71" s="74">
        <f>'Fluxo de Caixa dos Acionistas'!V23</f>
        <v>-7.3041806386392363E-2</v>
      </c>
      <c r="W71" s="74">
        <f>'Fluxo de Caixa dos Acionistas'!W23</f>
        <v>-7.8437511233696841E-2</v>
      </c>
      <c r="X71" s="74">
        <f>'Fluxo de Caixa dos Acionistas'!X23</f>
        <v>-8.4001739608374662E-2</v>
      </c>
      <c r="Y71" s="74">
        <f>'Fluxo de Caixa dos Acionistas'!Y23</f>
        <v>-7.2747013021544113E-2</v>
      </c>
      <c r="Z71" s="74">
        <f>'Fluxo de Caixa dos Acionistas'!Z23</f>
        <v>-7.8563513328930926E-2</v>
      </c>
      <c r="AA71" s="74">
        <f>'Fluxo de Caixa dos Acionistas'!AA23</f>
        <v>-7.831962881915934E-2</v>
      </c>
      <c r="AB71" s="74">
        <f>'Fluxo de Caixa dos Acionistas'!AB23</f>
        <v>-8.4637587456993096E-2</v>
      </c>
      <c r="AC71" s="74">
        <f>'Fluxo de Caixa dos Acionistas'!AC23</f>
        <v>-9.7593637261239374E-2</v>
      </c>
      <c r="AD71" s="74">
        <f>'Fluxo de Caixa dos Acionistas'!AD23</f>
        <v>-8.4194707694779852E-2</v>
      </c>
      <c r="AE71" s="74">
        <f>AVERAGE(AB71:AD71)</f>
        <v>-8.880864413767077E-2</v>
      </c>
      <c r="AF71" s="69">
        <f t="shared" ref="AF71:BW71" si="55">IFERROR(-AF70/AF5,0)</f>
        <v>-8.8224854236347322E-2</v>
      </c>
      <c r="AG71" s="69">
        <f ca="1">IFERROR(-AG70/AG5,0)</f>
        <v>-0.1048455144644876</v>
      </c>
      <c r="AH71" s="69">
        <f t="shared" ca="1" si="55"/>
        <v>-9.6299652398529265E-2</v>
      </c>
      <c r="AI71" s="69">
        <f t="shared" ca="1" si="55"/>
        <v>-0.1005583723519704</v>
      </c>
      <c r="AJ71" s="69">
        <f t="shared" ca="1" si="55"/>
        <v>-0.10847493160591691</v>
      </c>
      <c r="AK71" s="69">
        <f t="shared" ca="1" si="55"/>
        <v>-0.11129995854709392</v>
      </c>
      <c r="AL71" s="69">
        <f t="shared" ca="1" si="55"/>
        <v>-0.11643293981757732</v>
      </c>
      <c r="AM71" s="69">
        <f t="shared" ca="1" si="55"/>
        <v>-0.11105386530572317</v>
      </c>
      <c r="AN71" s="69">
        <f t="shared" ca="1" si="55"/>
        <v>-9.8691074842137516E-2</v>
      </c>
      <c r="AO71" s="69">
        <f t="shared" ca="1" si="55"/>
        <v>-9.1801269212573006E-2</v>
      </c>
      <c r="AP71" s="69">
        <f t="shared" ca="1" si="55"/>
        <v>-0.10213616313062882</v>
      </c>
      <c r="AQ71" s="69">
        <f t="shared" ca="1" si="55"/>
        <v>-9.7527399615283908E-2</v>
      </c>
      <c r="AR71" s="69">
        <f t="shared" ca="1" si="55"/>
        <v>-9.544843736507555E-2</v>
      </c>
      <c r="AS71" s="69">
        <f t="shared" ca="1" si="55"/>
        <v>-9.2060515241005308E-2</v>
      </c>
      <c r="AT71" s="69">
        <f t="shared" ca="1" si="55"/>
        <v>-8.8254751539578014E-2</v>
      </c>
      <c r="AU71" s="69">
        <f t="shared" ca="1" si="55"/>
        <v>-8.5642200906578619E-2</v>
      </c>
      <c r="AV71" s="69">
        <f t="shared" ca="1" si="55"/>
        <v>-8.6126478523207803E-2</v>
      </c>
      <c r="AW71" s="69">
        <f t="shared" ca="1" si="55"/>
        <v>-8.6328376138738699E-2</v>
      </c>
      <c r="AX71" s="69">
        <f t="shared" ca="1" si="55"/>
        <v>-8.6325262476328851E-2</v>
      </c>
      <c r="AY71" s="69">
        <f t="shared" ca="1" si="55"/>
        <v>-8.6331495528463559E-2</v>
      </c>
      <c r="AZ71" s="69">
        <f t="shared" ca="1" si="55"/>
        <v>-8.6335553029435269E-2</v>
      </c>
      <c r="BA71" s="69">
        <f t="shared" ca="1" si="55"/>
        <v>-8.6347199803266272E-2</v>
      </c>
      <c r="BB71" s="69">
        <f t="shared" ca="1" si="55"/>
        <v>-8.6359618052122555E-2</v>
      </c>
      <c r="BC71" s="69">
        <f t="shared" ca="1" si="55"/>
        <v>-8.6370866040618027E-2</v>
      </c>
      <c r="BD71" s="69">
        <f t="shared" ca="1" si="55"/>
        <v>-8.6375456137106524E-2</v>
      </c>
      <c r="BE71" s="69">
        <f t="shared" ca="1" si="55"/>
        <v>-8.6399952723578685E-2</v>
      </c>
      <c r="BF71" s="69">
        <f t="shared" ca="1" si="55"/>
        <v>-8.6411369064822108E-2</v>
      </c>
      <c r="BG71" s="69">
        <f t="shared" ca="1" si="55"/>
        <v>-8.6416242864443313E-2</v>
      </c>
      <c r="BH71" s="69">
        <f t="shared" ca="1" si="55"/>
        <v>-8.6411281369354789E-2</v>
      </c>
      <c r="BI71" s="69">
        <f ca="1">IFERROR(-BI70/BI5,0)</f>
        <v>-8.6506084238310313E-2</v>
      </c>
      <c r="BJ71" s="69">
        <f ca="1">IFERROR(-BJ70/BJ5,0)</f>
        <v>0</v>
      </c>
      <c r="BK71" s="69">
        <f t="shared" ca="1" si="55"/>
        <v>0</v>
      </c>
      <c r="BL71" s="69">
        <f t="shared" ca="1" si="55"/>
        <v>0</v>
      </c>
      <c r="BM71" s="69">
        <f t="shared" ca="1" si="55"/>
        <v>0</v>
      </c>
      <c r="BN71" s="69">
        <f t="shared" ca="1" si="55"/>
        <v>0</v>
      </c>
      <c r="BO71" s="69">
        <f t="shared" ca="1" si="55"/>
        <v>0</v>
      </c>
      <c r="BP71" s="69">
        <f t="shared" ca="1" si="55"/>
        <v>0</v>
      </c>
      <c r="BQ71" s="69">
        <f t="shared" ca="1" si="55"/>
        <v>0</v>
      </c>
      <c r="BR71" s="69">
        <f t="shared" ca="1" si="55"/>
        <v>0</v>
      </c>
      <c r="BS71" s="69">
        <f t="shared" ca="1" si="55"/>
        <v>0</v>
      </c>
      <c r="BT71" s="69">
        <f t="shared" ca="1" si="55"/>
        <v>0</v>
      </c>
      <c r="BU71" s="69">
        <f t="shared" ca="1" si="55"/>
        <v>0</v>
      </c>
      <c r="BV71" s="69">
        <f t="shared" ca="1" si="55"/>
        <v>0</v>
      </c>
      <c r="BW71" s="69">
        <f t="shared" ca="1" si="55"/>
        <v>0</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1DDCF-44C3-4DD6-A77D-8BBB0227C225}">
  <sheetPr>
    <tabColor theme="8" tint="0.79998168889431442"/>
  </sheetPr>
  <dimension ref="A1:BW75"/>
  <sheetViews>
    <sheetView showGridLines="0" zoomScale="115" zoomScaleNormal="115" workbookViewId="0">
      <pane xSplit="2" ySplit="1" topLeftCell="BC2" activePane="bottomRight" state="frozen"/>
      <selection pane="topRight" activeCell="C1" sqref="C1"/>
      <selection pane="bottomLeft" activeCell="A2" sqref="A2"/>
      <selection pane="bottomRight" activeCell="BF7" sqref="BF7"/>
    </sheetView>
  </sheetViews>
  <sheetFormatPr defaultRowHeight="14.4" x14ac:dyDescent="0.3"/>
  <cols>
    <col min="1" max="1" width="56.33203125" style="2" customWidth="1"/>
    <col min="2" max="2" width="12.6640625" style="2" bestFit="1" customWidth="1"/>
    <col min="3" max="26" width="10.44140625" style="2" customWidth="1"/>
    <col min="27" max="27" width="9.88671875" bestFit="1" customWidth="1"/>
    <col min="28" max="28" width="11.33203125" bestFit="1" customWidth="1"/>
    <col min="29" max="31" width="9.88671875" customWidth="1"/>
    <col min="32" max="32" width="10.77734375" bestFit="1" customWidth="1"/>
    <col min="33" max="39" width="11" bestFit="1" customWidth="1"/>
    <col min="40" max="58" width="9.88671875" bestFit="1" customWidth="1"/>
    <col min="59" max="75" width="8.21875" bestFit="1" customWidth="1"/>
  </cols>
  <sheetData>
    <row r="1" spans="1:75" x14ac:dyDescent="0.3">
      <c r="C1" s="3" t="s">
        <v>244</v>
      </c>
      <c r="D1" s="3" t="s">
        <v>243</v>
      </c>
      <c r="E1" s="3" t="s">
        <v>242</v>
      </c>
      <c r="F1" s="3" t="s">
        <v>236</v>
      </c>
      <c r="G1" s="3">
        <v>2018</v>
      </c>
      <c r="H1" s="3" t="s">
        <v>241</v>
      </c>
      <c r="I1" s="3" t="s">
        <v>240</v>
      </c>
      <c r="J1" s="3" t="s">
        <v>239</v>
      </c>
      <c r="K1" s="3" t="s">
        <v>237</v>
      </c>
      <c r="L1" s="3">
        <v>2019</v>
      </c>
      <c r="M1" s="3" t="s">
        <v>235</v>
      </c>
      <c r="N1" s="3" t="s">
        <v>234</v>
      </c>
      <c r="O1" s="3" t="s">
        <v>238</v>
      </c>
      <c r="P1" s="3" t="s">
        <v>226</v>
      </c>
      <c r="Q1" s="3">
        <v>2020</v>
      </c>
      <c r="R1" s="3" t="s">
        <v>232</v>
      </c>
      <c r="S1" s="3" t="s">
        <v>231</v>
      </c>
      <c r="T1" s="3" t="s">
        <v>229</v>
      </c>
      <c r="U1" s="3" t="s">
        <v>225</v>
      </c>
      <c r="V1" s="3">
        <v>2021</v>
      </c>
      <c r="W1" s="3" t="s">
        <v>230</v>
      </c>
      <c r="X1" s="3" t="s">
        <v>228</v>
      </c>
      <c r="Y1" s="3" t="s">
        <v>227</v>
      </c>
      <c r="Z1" s="3" t="s">
        <v>224</v>
      </c>
      <c r="AA1" s="3">
        <v>2022</v>
      </c>
      <c r="AB1" s="3" t="s">
        <v>136</v>
      </c>
      <c r="AC1" s="3" t="s">
        <v>137</v>
      </c>
      <c r="AD1" s="3" t="s">
        <v>268</v>
      </c>
      <c r="AE1" s="3" t="s">
        <v>269</v>
      </c>
      <c r="AF1" s="3">
        <v>2023</v>
      </c>
      <c r="AG1" s="3">
        <f>AF1+1</f>
        <v>2024</v>
      </c>
      <c r="AH1" s="3">
        <f t="shared" ref="AH1:BL1" si="0">AG1+1</f>
        <v>2025</v>
      </c>
      <c r="AI1" s="3">
        <f t="shared" si="0"/>
        <v>2026</v>
      </c>
      <c r="AJ1" s="3">
        <f t="shared" si="0"/>
        <v>2027</v>
      </c>
      <c r="AK1" s="3">
        <f t="shared" si="0"/>
        <v>2028</v>
      </c>
      <c r="AL1" s="3">
        <f t="shared" si="0"/>
        <v>2029</v>
      </c>
      <c r="AM1" s="3">
        <f t="shared" si="0"/>
        <v>2030</v>
      </c>
      <c r="AN1" s="3">
        <f t="shared" si="0"/>
        <v>2031</v>
      </c>
      <c r="AO1" s="3">
        <f t="shared" si="0"/>
        <v>2032</v>
      </c>
      <c r="AP1" s="3">
        <f t="shared" si="0"/>
        <v>2033</v>
      </c>
      <c r="AQ1" s="3">
        <f t="shared" si="0"/>
        <v>2034</v>
      </c>
      <c r="AR1" s="3">
        <f t="shared" si="0"/>
        <v>2035</v>
      </c>
      <c r="AS1" s="3">
        <f t="shared" si="0"/>
        <v>2036</v>
      </c>
      <c r="AT1" s="3">
        <f t="shared" si="0"/>
        <v>2037</v>
      </c>
      <c r="AU1" s="3">
        <f t="shared" si="0"/>
        <v>2038</v>
      </c>
      <c r="AV1" s="3">
        <f t="shared" si="0"/>
        <v>2039</v>
      </c>
      <c r="AW1" s="3">
        <f t="shared" si="0"/>
        <v>2040</v>
      </c>
      <c r="AX1" s="3">
        <f t="shared" si="0"/>
        <v>2041</v>
      </c>
      <c r="AY1" s="3">
        <f t="shared" si="0"/>
        <v>2042</v>
      </c>
      <c r="AZ1" s="3">
        <f t="shared" si="0"/>
        <v>2043</v>
      </c>
      <c r="BA1" s="3">
        <f t="shared" si="0"/>
        <v>2044</v>
      </c>
      <c r="BB1" s="3">
        <f t="shared" si="0"/>
        <v>2045</v>
      </c>
      <c r="BC1" s="3">
        <f t="shared" si="0"/>
        <v>2046</v>
      </c>
      <c r="BD1" s="3">
        <f t="shared" si="0"/>
        <v>2047</v>
      </c>
      <c r="BE1" s="3">
        <f t="shared" si="0"/>
        <v>2048</v>
      </c>
      <c r="BF1" s="3">
        <f t="shared" si="0"/>
        <v>2049</v>
      </c>
      <c r="BG1" s="3">
        <f t="shared" si="0"/>
        <v>2050</v>
      </c>
      <c r="BH1" s="3">
        <f t="shared" si="0"/>
        <v>2051</v>
      </c>
      <c r="BI1" s="3">
        <f t="shared" si="0"/>
        <v>2052</v>
      </c>
      <c r="BJ1" s="3">
        <f t="shared" si="0"/>
        <v>2053</v>
      </c>
      <c r="BK1" s="3">
        <f t="shared" si="0"/>
        <v>2054</v>
      </c>
      <c r="BL1" s="3">
        <f t="shared" si="0"/>
        <v>2055</v>
      </c>
      <c r="BM1" s="3">
        <f t="shared" ref="BM1:BW1" si="1">BL1+1</f>
        <v>2056</v>
      </c>
      <c r="BN1" s="3">
        <f t="shared" si="1"/>
        <v>2057</v>
      </c>
      <c r="BO1" s="3">
        <f t="shared" si="1"/>
        <v>2058</v>
      </c>
      <c r="BP1" s="3">
        <f t="shared" si="1"/>
        <v>2059</v>
      </c>
      <c r="BQ1" s="3">
        <f t="shared" si="1"/>
        <v>2060</v>
      </c>
      <c r="BR1" s="3">
        <f t="shared" si="1"/>
        <v>2061</v>
      </c>
      <c r="BS1" s="3">
        <f t="shared" si="1"/>
        <v>2062</v>
      </c>
      <c r="BT1" s="3">
        <f t="shared" si="1"/>
        <v>2063</v>
      </c>
      <c r="BU1" s="3">
        <f t="shared" si="1"/>
        <v>2064</v>
      </c>
      <c r="BV1" s="3">
        <f t="shared" si="1"/>
        <v>2065</v>
      </c>
      <c r="BW1" s="3">
        <f t="shared" si="1"/>
        <v>2066</v>
      </c>
    </row>
    <row r="2" spans="1:75" x14ac:dyDescent="0.3">
      <c r="AB2" s="1"/>
      <c r="AC2" s="1"/>
      <c r="AD2" s="1"/>
      <c r="AE2" s="1"/>
    </row>
    <row r="3" spans="1:75" s="275" customFormat="1" ht="13.8" x14ac:dyDescent="0.3">
      <c r="A3" s="275" t="s">
        <v>1187</v>
      </c>
    </row>
    <row r="4" spans="1:75" s="27" customFormat="1" ht="13.8" x14ac:dyDescent="0.3"/>
    <row r="5" spans="1:75" x14ac:dyDescent="0.3">
      <c r="A5" s="5" t="s">
        <v>503</v>
      </c>
      <c r="B5" s="5"/>
      <c r="C5" s="60">
        <v>5.87</v>
      </c>
      <c r="D5" s="60">
        <v>5.87</v>
      </c>
      <c r="E5" s="60">
        <v>5.87</v>
      </c>
      <c r="F5" s="60">
        <v>5.87</v>
      </c>
      <c r="G5" s="60">
        <v>5.87</v>
      </c>
      <c r="H5" s="60">
        <v>5.87</v>
      </c>
      <c r="I5" s="60">
        <v>5.87</v>
      </c>
      <c r="J5" s="60">
        <v>5.87</v>
      </c>
      <c r="K5" s="60">
        <v>5.87</v>
      </c>
      <c r="L5" s="60">
        <v>5.87</v>
      </c>
      <c r="M5" s="60">
        <v>5.87</v>
      </c>
      <c r="N5" s="60">
        <v>5.87</v>
      </c>
      <c r="O5" s="60">
        <v>5.87</v>
      </c>
      <c r="P5" s="60">
        <v>5.87</v>
      </c>
      <c r="Q5" s="60">
        <v>5.87</v>
      </c>
      <c r="R5" s="60">
        <v>5.87</v>
      </c>
      <c r="S5" s="60">
        <v>5.87</v>
      </c>
      <c r="T5" s="60">
        <v>5.87</v>
      </c>
      <c r="U5" s="60">
        <v>5.87</v>
      </c>
      <c r="V5" s="60">
        <v>5.87</v>
      </c>
      <c r="W5" s="60">
        <v>5.87</v>
      </c>
      <c r="X5" s="60">
        <v>5.87</v>
      </c>
      <c r="Y5" s="60">
        <v>5.87</v>
      </c>
      <c r="Z5" s="60">
        <v>5.87</v>
      </c>
      <c r="AA5" s="60">
        <v>5.87</v>
      </c>
      <c r="AB5" s="60">
        <v>5.87</v>
      </c>
      <c r="AC5" s="60">
        <v>5.87</v>
      </c>
      <c r="AD5" s="60">
        <v>5.87</v>
      </c>
      <c r="AE5" s="60">
        <v>5.87</v>
      </c>
      <c r="AF5" s="60">
        <v>5.87</v>
      </c>
      <c r="AG5" s="60">
        <v>5.87</v>
      </c>
      <c r="AH5" s="60">
        <v>5.87</v>
      </c>
      <c r="AI5" s="60">
        <v>5.87</v>
      </c>
      <c r="AJ5" s="60">
        <v>5.87</v>
      </c>
      <c r="AK5" s="60">
        <v>5.87</v>
      </c>
      <c r="AL5" s="60">
        <v>5.87</v>
      </c>
      <c r="AM5" s="60">
        <v>5.87</v>
      </c>
      <c r="AN5" s="60">
        <v>5.87</v>
      </c>
      <c r="AO5" s="60">
        <v>5.87</v>
      </c>
      <c r="AP5" s="60">
        <v>5.87</v>
      </c>
      <c r="AQ5" s="60">
        <v>5.87</v>
      </c>
      <c r="AR5" s="60">
        <v>5.87</v>
      </c>
      <c r="AS5" s="60">
        <v>5.87</v>
      </c>
      <c r="AT5" s="60">
        <v>5.87</v>
      </c>
      <c r="AU5" s="60">
        <v>5.87</v>
      </c>
      <c r="AV5" s="60">
        <v>5.87</v>
      </c>
      <c r="AW5" s="60">
        <v>5.87</v>
      </c>
      <c r="AX5" s="60">
        <v>5.87</v>
      </c>
      <c r="AY5" s="60">
        <v>5.87</v>
      </c>
      <c r="AZ5" s="60">
        <v>5.87</v>
      </c>
      <c r="BA5" s="60">
        <v>5.87</v>
      </c>
      <c r="BB5" s="60">
        <v>5.87</v>
      </c>
      <c r="BC5" s="60">
        <v>5.87</v>
      </c>
      <c r="BD5" s="60">
        <v>5.87</v>
      </c>
      <c r="BE5" s="60">
        <v>5.87</v>
      </c>
      <c r="BF5" s="60">
        <v>5.87</v>
      </c>
      <c r="BG5" s="60">
        <v>5.87</v>
      </c>
      <c r="BH5" s="60">
        <v>5.87</v>
      </c>
      <c r="BI5" s="60">
        <v>5.87</v>
      </c>
      <c r="BJ5" s="60">
        <v>5.87</v>
      </c>
      <c r="BK5" s="60">
        <v>5.87</v>
      </c>
      <c r="BL5" s="60">
        <v>5.87</v>
      </c>
      <c r="BM5" s="60">
        <v>5.87</v>
      </c>
      <c r="BN5" s="60">
        <v>5.87</v>
      </c>
      <c r="BO5" s="60">
        <v>5.87</v>
      </c>
      <c r="BP5" s="60">
        <v>5.87</v>
      </c>
      <c r="BQ5" s="60">
        <v>5.87</v>
      </c>
      <c r="BR5" s="60">
        <v>5.87</v>
      </c>
      <c r="BS5" s="60">
        <v>5.87</v>
      </c>
      <c r="BT5" s="60">
        <v>5.87</v>
      </c>
      <c r="BU5" s="60">
        <v>5.87</v>
      </c>
      <c r="BV5" s="60">
        <v>5.87</v>
      </c>
      <c r="BW5" s="60">
        <v>5.87</v>
      </c>
    </row>
    <row r="6" spans="1:75" x14ac:dyDescent="0.3">
      <c r="A6" s="5" t="s">
        <v>504</v>
      </c>
      <c r="C6" s="27"/>
      <c r="D6" s="27"/>
      <c r="E6" s="27"/>
      <c r="F6" s="27"/>
      <c r="G6" s="27"/>
      <c r="H6" s="27"/>
      <c r="I6" s="27"/>
      <c r="J6" s="27"/>
      <c r="K6" s="27"/>
      <c r="L6" s="27"/>
      <c r="M6" s="27"/>
      <c r="N6" s="27"/>
      <c r="O6" s="27"/>
      <c r="P6" s="27"/>
      <c r="Q6" s="27"/>
      <c r="R6" s="27"/>
      <c r="S6" s="27"/>
      <c r="T6" s="27"/>
      <c r="U6" s="27"/>
      <c r="V6" s="27"/>
      <c r="W6" s="27"/>
      <c r="X6" s="27"/>
      <c r="Y6" s="27"/>
      <c r="Z6" s="27"/>
      <c r="AA6" s="27"/>
      <c r="AB6" s="71">
        <f>'Resultado Financeiro e Dívida'!AB7</f>
        <v>5.0804028095189979</v>
      </c>
      <c r="AC6" s="71">
        <f>'Resultado Financeiro e Dívida'!AC7</f>
        <v>4.8191988353858903</v>
      </c>
      <c r="AD6" s="71">
        <f>'Resultado Financeiro e Dívida'!AD7</f>
        <v>5.0076374407268203</v>
      </c>
      <c r="AE6" s="71">
        <f>'Resultado Financeiro e Dívida'!AE7</f>
        <v>4.8499999999999996</v>
      </c>
      <c r="AF6" s="71">
        <f>'Resultado Financeiro e Dívida'!AF7</f>
        <v>4.9324999999999992</v>
      </c>
      <c r="AG6" s="71">
        <f>'Resultado Financeiro e Dívida'!AG7</f>
        <v>4.9326999999999996</v>
      </c>
      <c r="AH6" s="71">
        <f>'Resultado Financeiro e Dívida'!AH7</f>
        <v>5</v>
      </c>
      <c r="AI6" s="71">
        <f>'Resultado Financeiro e Dívida'!AI7</f>
        <v>5.04</v>
      </c>
      <c r="AJ6" s="71">
        <f>'Resultado Financeiro e Dívida'!AJ7</f>
        <v>5.0999999999999996</v>
      </c>
      <c r="AK6" s="71">
        <f>'Resultado Financeiro e Dívida'!AK7</f>
        <v>5.0999999999999996</v>
      </c>
      <c r="AL6" s="71">
        <f>'Resultado Financeiro e Dívida'!AL7</f>
        <v>5.15</v>
      </c>
      <c r="AM6" s="71">
        <f>'Resultado Financeiro e Dívida'!AM7</f>
        <v>5.200490196078432</v>
      </c>
      <c r="AN6" s="71">
        <f>'Resultado Financeiro e Dívida'!AN7</f>
        <v>5.2514753940792014</v>
      </c>
      <c r="AO6" s="71">
        <f>'Resultado Financeiro e Dívida'!AO7</f>
        <v>5.3029604469623308</v>
      </c>
      <c r="AP6" s="71">
        <f>'Resultado Financeiro e Dívida'!AP7</f>
        <v>5.3549502552658828</v>
      </c>
      <c r="AQ6" s="71">
        <f>'Resultado Financeiro e Dívida'!AQ7</f>
        <v>5.4074497675724107</v>
      </c>
      <c r="AR6" s="71">
        <f>'Resultado Financeiro e Dívida'!AR7</f>
        <v>5.4604639809799842</v>
      </c>
      <c r="AS6" s="71">
        <f>'Resultado Financeiro e Dívida'!AS7</f>
        <v>5.5139979415778271</v>
      </c>
      <c r="AT6" s="71">
        <f>'Resultado Financeiro e Dívida'!AT7</f>
        <v>5.5680567449266292</v>
      </c>
      <c r="AU6" s="71">
        <f>'Resultado Financeiro e Dívida'!AU7</f>
        <v>5.6226455365435566</v>
      </c>
      <c r="AV6" s="71">
        <f>'Resultado Financeiro e Dívida'!AV7</f>
        <v>5.6777695123920227</v>
      </c>
      <c r="AW6" s="71">
        <f>'Resultado Financeiro e Dívida'!AW7</f>
        <v>5.7334339193762576</v>
      </c>
      <c r="AX6" s="71">
        <f>'Resultado Financeiro e Dívida'!AX7</f>
        <v>5.7896440558407303</v>
      </c>
      <c r="AY6" s="71">
        <f>'Resultado Financeiro e Dívida'!AY7</f>
        <v>5.8464052720744633</v>
      </c>
      <c r="AZ6" s="71">
        <f>'Resultado Financeiro e Dívida'!AZ7</f>
        <v>5.903722970820291</v>
      </c>
      <c r="BA6" s="71">
        <f>'Resultado Financeiro e Dívida'!BA7</f>
        <v>5.9616026077891178</v>
      </c>
      <c r="BB6" s="71">
        <f>'Resultado Financeiro e Dívida'!BB7</f>
        <v>6.0200496921792075</v>
      </c>
      <c r="BC6" s="71">
        <f>'Resultado Financeiro e Dívida'!BC7</f>
        <v>6.0790697872005719</v>
      </c>
      <c r="BD6" s="71">
        <f>'Resultado Financeiro e Dívida'!BD7</f>
        <v>6.1386685106044991</v>
      </c>
      <c r="BE6" s="71">
        <f>'Resultado Financeiro e Dívida'!BE7</f>
        <v>6.1988515352182691</v>
      </c>
      <c r="BF6" s="71">
        <f>'Resultado Financeiro e Dívida'!BF7</f>
        <v>6.2596245894851146</v>
      </c>
      <c r="BG6" s="71">
        <f>'Resultado Financeiro e Dívida'!BG7</f>
        <v>6.3209934580094789</v>
      </c>
      <c r="BH6" s="71">
        <f>'Resultado Financeiro e Dívida'!BH7</f>
        <v>6.3829639821076105</v>
      </c>
      <c r="BI6" s="71">
        <f>'Resultado Financeiro e Dívida'!BI7</f>
        <v>6.445542060363568</v>
      </c>
      <c r="BJ6" s="71">
        <f>'Resultado Financeiro e Dívida'!BJ7</f>
        <v>6.5087336491906616</v>
      </c>
      <c r="BK6" s="71">
        <f>'Resultado Financeiro e Dívida'!BK7</f>
        <v>6.5725447633984135</v>
      </c>
      <c r="BL6" s="71">
        <f>'Resultado Financeiro e Dívida'!BL7</f>
        <v>6.6369814767650652</v>
      </c>
      <c r="BM6" s="71">
        <f>'Resultado Financeiro e Dívida'!BM7</f>
        <v>6.7020499226157026</v>
      </c>
      <c r="BN6" s="71">
        <f>'Resultado Financeiro e Dívida'!BN7</f>
        <v>6.7677562944060528</v>
      </c>
      <c r="BO6" s="71">
        <f>'Resultado Financeiro e Dívida'!BO7</f>
        <v>6.8341068463119949</v>
      </c>
      <c r="BP6" s="71">
        <f>'Resultado Financeiro e Dívida'!BP7</f>
        <v>6.9011078938248582</v>
      </c>
      <c r="BQ6" s="71">
        <f>'Resultado Financeiro e Dívida'!BQ7</f>
        <v>6.9687658143525528</v>
      </c>
      <c r="BR6" s="71">
        <f>'Resultado Financeiro e Dívida'!BR7</f>
        <v>7.0370870478265974</v>
      </c>
      <c r="BS6" s="71">
        <f>'Resultado Financeiro e Dívida'!BS7</f>
        <v>7.106078097315093</v>
      </c>
      <c r="BT6" s="71">
        <f>'Resultado Financeiro e Dívida'!BT7</f>
        <v>7.175745529641711</v>
      </c>
      <c r="BU6" s="71">
        <f>'Resultado Financeiro e Dívida'!BU7</f>
        <v>7.2460959760107482</v>
      </c>
      <c r="BV6" s="71">
        <f>'Resultado Financeiro e Dívida'!BV7</f>
        <v>7.3171361326383053</v>
      </c>
      <c r="BW6" s="71">
        <f>'Resultado Financeiro e Dívida'!BW7</f>
        <v>7.3888727613896608</v>
      </c>
    </row>
    <row r="7" spans="1:75" x14ac:dyDescent="0.3">
      <c r="A7" s="5" t="s">
        <v>6</v>
      </c>
      <c r="AA7" s="27"/>
      <c r="AB7" s="27"/>
      <c r="AC7" s="27"/>
      <c r="AD7" s="27"/>
      <c r="AE7" s="27"/>
      <c r="AF7" s="74">
        <f>'Avaliação e Simulações'!D22</f>
        <v>0</v>
      </c>
      <c r="AG7" s="74">
        <f>'Avaliação e Simulações'!E22</f>
        <v>3.7718000000000002E-2</v>
      </c>
      <c r="AH7" s="74">
        <f>'Avaliação e Simulações'!F22</f>
        <v>3.5049999999999998E-2</v>
      </c>
      <c r="AI7" s="74">
        <f>'Avaliação e Simulações'!G22</f>
        <v>3.5000000000000003E-2</v>
      </c>
      <c r="AJ7" s="74">
        <f>'Avaliação e Simulações'!H22</f>
        <v>3.5000000000000003E-2</v>
      </c>
      <c r="AK7" s="74">
        <f>'Avaliação e Simulações'!I22</f>
        <v>3.5000000000000003E-2</v>
      </c>
      <c r="AL7" s="74">
        <f>'Avaliação e Simulações'!J22</f>
        <v>0.03</v>
      </c>
      <c r="AM7" s="74">
        <f>'Avaliação e Simulações'!K22</f>
        <v>0.03</v>
      </c>
      <c r="AN7" s="74">
        <f>'Avaliação e Simulações'!L22</f>
        <v>0.03</v>
      </c>
      <c r="AO7" s="74">
        <f>'Avaliação e Simulações'!M22</f>
        <v>0.03</v>
      </c>
      <c r="AP7" s="74">
        <f>'Avaliação e Simulações'!N22</f>
        <v>0.03</v>
      </c>
      <c r="AQ7" s="74">
        <f>'Avaliação e Simulações'!O22</f>
        <v>0.03</v>
      </c>
      <c r="AR7" s="74">
        <f>'Avaliação e Simulações'!P22</f>
        <v>0.03</v>
      </c>
      <c r="AS7" s="74">
        <f>'Avaliação e Simulações'!Q22</f>
        <v>0.03</v>
      </c>
      <c r="AT7" s="74">
        <f>'Avaliação e Simulações'!R22</f>
        <v>0.03</v>
      </c>
      <c r="AU7" s="74">
        <f>'Avaliação e Simulações'!S22</f>
        <v>0.03</v>
      </c>
      <c r="AV7" s="74">
        <f>'Avaliação e Simulações'!T22</f>
        <v>0.03</v>
      </c>
      <c r="AW7" s="74">
        <f>'Avaliação e Simulações'!U22</f>
        <v>0.03</v>
      </c>
      <c r="AX7" s="74">
        <f>'Avaliação e Simulações'!V22</f>
        <v>0.03</v>
      </c>
      <c r="AY7" s="74">
        <f>'Avaliação e Simulações'!W22</f>
        <v>0.03</v>
      </c>
      <c r="AZ7" s="74">
        <f>'Avaliação e Simulações'!X22</f>
        <v>0.03</v>
      </c>
      <c r="BA7" s="74">
        <f>'Avaliação e Simulações'!Y22</f>
        <v>0.03</v>
      </c>
      <c r="BB7" s="74">
        <f>'Avaliação e Simulações'!Z22</f>
        <v>0.03</v>
      </c>
      <c r="BC7" s="74">
        <f>'Avaliação e Simulações'!AA22</f>
        <v>0.03</v>
      </c>
      <c r="BD7" s="74">
        <f>'Avaliação e Simulações'!AB22</f>
        <v>0.03</v>
      </c>
      <c r="BE7" s="74">
        <f>'Avaliação e Simulações'!AC22</f>
        <v>0.03</v>
      </c>
      <c r="BF7" s="74">
        <f>'Avaliação e Simulações'!AD22</f>
        <v>0.03</v>
      </c>
      <c r="BG7" s="74">
        <f>'Avaliação e Simulações'!AE22</f>
        <v>0.03</v>
      </c>
      <c r="BH7" s="74">
        <f>'Avaliação e Simulações'!AF22</f>
        <v>0.03</v>
      </c>
      <c r="BI7" s="74">
        <f>'Avaliação e Simulações'!AG22</f>
        <v>0.03</v>
      </c>
      <c r="BJ7" s="74">
        <f>'Avaliação e Simulações'!AH22</f>
        <v>0.03</v>
      </c>
      <c r="BK7" s="74">
        <f>'Avaliação e Simulações'!AI22</f>
        <v>0.03</v>
      </c>
      <c r="BL7" s="74">
        <f>'Avaliação e Simulações'!AJ22</f>
        <v>0.03</v>
      </c>
      <c r="BM7" s="74">
        <f>'Avaliação e Simulações'!AK22</f>
        <v>0.03</v>
      </c>
      <c r="BN7" s="74">
        <f>'Avaliação e Simulações'!AL22</f>
        <v>0.03</v>
      </c>
      <c r="BO7" s="74">
        <f>'Avaliação e Simulações'!AM22</f>
        <v>0.03</v>
      </c>
      <c r="BP7" s="74">
        <f>'Avaliação e Simulações'!AN22</f>
        <v>0.03</v>
      </c>
      <c r="BQ7" s="74">
        <f>'Avaliação e Simulações'!AO22</f>
        <v>0.03</v>
      </c>
      <c r="BR7" s="74">
        <f>'Avaliação e Simulações'!AP22</f>
        <v>0.03</v>
      </c>
      <c r="BS7" s="74">
        <f>'Avaliação e Simulações'!AQ22</f>
        <v>0.03</v>
      </c>
      <c r="BT7" s="74">
        <f>'Avaliação e Simulações'!AR22</f>
        <v>0.03</v>
      </c>
      <c r="BU7" s="74">
        <f>'Avaliação e Simulações'!AS22</f>
        <v>0.03</v>
      </c>
      <c r="BV7" s="74">
        <f>'Avaliação e Simulações'!AT22</f>
        <v>0.03</v>
      </c>
      <c r="BW7" s="74">
        <f>'Avaliação e Simulações'!AU22</f>
        <v>0.03</v>
      </c>
    </row>
    <row r="8" spans="1:75" s="27" customFormat="1" ht="13.8" x14ac:dyDescent="0.3"/>
    <row r="9" spans="1:75" s="222" customFormat="1" ht="13.8" x14ac:dyDescent="0.3">
      <c r="A9" s="222" t="s">
        <v>133</v>
      </c>
    </row>
    <row r="11" spans="1:75" s="34" customFormat="1" x14ac:dyDescent="0.3">
      <c r="A11" s="4" t="s">
        <v>1152</v>
      </c>
      <c r="B11" s="4"/>
      <c r="C11" s="4"/>
      <c r="D11" s="4"/>
      <c r="E11" s="4"/>
      <c r="F11" s="4"/>
      <c r="G11" s="4"/>
      <c r="H11" s="4"/>
      <c r="I11" s="4"/>
      <c r="J11" s="4"/>
      <c r="K11" s="4"/>
      <c r="L11" s="4"/>
      <c r="M11" s="4"/>
      <c r="N11" s="4"/>
      <c r="O11" s="4"/>
      <c r="P11" s="4"/>
      <c r="Q11" s="4"/>
      <c r="R11" s="4"/>
      <c r="S11" s="4"/>
      <c r="T11" s="4"/>
      <c r="U11" s="4"/>
      <c r="V11" s="4"/>
      <c r="W11" s="4"/>
      <c r="X11" s="4"/>
      <c r="Y11" s="4"/>
      <c r="Z11" s="4"/>
      <c r="AF11" s="69">
        <f ca="1">IFERROR(AF12/AF13,0)</f>
        <v>5.6073426911616042E-2</v>
      </c>
      <c r="AG11" s="69">
        <f t="shared" ref="AG11:BW11" ca="1" si="2">IFERROR(AG12/AG13,0)</f>
        <v>7.9187401386018555E-2</v>
      </c>
      <c r="AH11" s="69">
        <f t="shared" ca="1" si="2"/>
        <v>9.1932449877586891E-2</v>
      </c>
      <c r="AI11" s="69">
        <f t="shared" ca="1" si="2"/>
        <v>0.10732825534728185</v>
      </c>
      <c r="AJ11" s="69">
        <f t="shared" ca="1" si="2"/>
        <v>0.11912232529878741</v>
      </c>
      <c r="AK11" s="69">
        <f t="shared" ca="1" si="2"/>
        <v>0.13752071644382052</v>
      </c>
      <c r="AL11" s="69">
        <f t="shared" ca="1" si="2"/>
        <v>0.14399867262995752</v>
      </c>
      <c r="AM11" s="69">
        <f t="shared" ca="1" si="2"/>
        <v>0.14136719115440347</v>
      </c>
      <c r="AN11" s="69">
        <f t="shared" ca="1" si="2"/>
        <v>0.14109044896089068</v>
      </c>
      <c r="AO11" s="69">
        <f t="shared" ca="1" si="2"/>
        <v>0.14259275751601697</v>
      </c>
      <c r="AP11" s="69">
        <f t="shared" ca="1" si="2"/>
        <v>0.14571530334963356</v>
      </c>
      <c r="AQ11" s="69">
        <f t="shared" ca="1" si="2"/>
        <v>0.14758369983567107</v>
      </c>
      <c r="AR11" s="69">
        <f t="shared" ca="1" si="2"/>
        <v>0.14758910308368026</v>
      </c>
      <c r="AS11" s="69">
        <f t="shared" ca="1" si="2"/>
        <v>0.14831842578720936</v>
      </c>
      <c r="AT11" s="69">
        <f t="shared" ca="1" si="2"/>
        <v>0.1530047296593228</v>
      </c>
      <c r="AU11" s="69">
        <f t="shared" ca="1" si="2"/>
        <v>0.1559520301895867</v>
      </c>
      <c r="AV11" s="69">
        <f t="shared" ca="1" si="2"/>
        <v>0.14524574346664784</v>
      </c>
      <c r="AW11" s="69">
        <f t="shared" ca="1" si="2"/>
        <v>0.14887876326693555</v>
      </c>
      <c r="AX11" s="69">
        <f t="shared" ca="1" si="2"/>
        <v>0.15370058873002523</v>
      </c>
      <c r="AY11" s="69">
        <f t="shared" ca="1" si="2"/>
        <v>0.15881509794553272</v>
      </c>
      <c r="AZ11" s="69">
        <f t="shared" ca="1" si="2"/>
        <v>0.1676701124616608</v>
      </c>
      <c r="BA11" s="69">
        <f t="shared" ca="1" si="2"/>
        <v>0.17496929166097994</v>
      </c>
      <c r="BB11" s="69">
        <f t="shared" ca="1" si="2"/>
        <v>0.192191894127378</v>
      </c>
      <c r="BC11" s="69">
        <f t="shared" ca="1" si="2"/>
        <v>0.21813564875491481</v>
      </c>
      <c r="BD11" s="69">
        <f t="shared" ca="1" si="2"/>
        <v>0.25746464117338919</v>
      </c>
      <c r="BE11" s="69">
        <f t="shared" ca="1" si="2"/>
        <v>0.30384479717813051</v>
      </c>
      <c r="BF11" s="69">
        <f t="shared" ca="1" si="2"/>
        <v>0.39775030401297123</v>
      </c>
      <c r="BG11" s="69">
        <f t="shared" ca="1" si="2"/>
        <v>0.61467272421336028</v>
      </c>
      <c r="BH11" s="69">
        <f t="shared" ca="1" si="2"/>
        <v>1</v>
      </c>
      <c r="BI11" s="69">
        <f t="shared" ca="1" si="2"/>
        <v>0</v>
      </c>
      <c r="BJ11" s="69">
        <f t="shared" ca="1" si="2"/>
        <v>0</v>
      </c>
      <c r="BK11" s="69">
        <f t="shared" ca="1" si="2"/>
        <v>0</v>
      </c>
      <c r="BL11" s="69">
        <f t="shared" ca="1" si="2"/>
        <v>0</v>
      </c>
      <c r="BM11" s="69">
        <f t="shared" ca="1" si="2"/>
        <v>0</v>
      </c>
      <c r="BN11" s="69">
        <f t="shared" ca="1" si="2"/>
        <v>0</v>
      </c>
      <c r="BO11" s="69">
        <f t="shared" ca="1" si="2"/>
        <v>0</v>
      </c>
      <c r="BP11" s="69">
        <f t="shared" ca="1" si="2"/>
        <v>0</v>
      </c>
      <c r="BQ11" s="69">
        <f t="shared" ca="1" si="2"/>
        <v>0</v>
      </c>
      <c r="BR11" s="69">
        <f t="shared" ca="1" si="2"/>
        <v>0</v>
      </c>
      <c r="BS11" s="69">
        <f t="shared" ca="1" si="2"/>
        <v>0</v>
      </c>
      <c r="BT11" s="69">
        <f t="shared" ca="1" si="2"/>
        <v>0</v>
      </c>
      <c r="BU11" s="69">
        <f t="shared" ca="1" si="2"/>
        <v>0</v>
      </c>
      <c r="BV11" s="69">
        <f t="shared" ca="1" si="2"/>
        <v>0</v>
      </c>
      <c r="BW11" s="69">
        <f t="shared" si="2"/>
        <v>0</v>
      </c>
    </row>
    <row r="12" spans="1:75" x14ac:dyDescent="0.3">
      <c r="A12" s="5" t="s">
        <v>1150</v>
      </c>
      <c r="AF12" s="51">
        <f ca="1">'Receita Líquida - O&amp;G'!AG7+'Receita Líquida - O&amp;G'!AG49*0.17245496</f>
        <v>43519.177991999997</v>
      </c>
      <c r="AG12" s="51">
        <f ca="1">'Receita Líquida - O&amp;G'!AH7+'Receita Líquida - O&amp;G'!AH49*0.17245496</f>
        <v>58012.006732319998</v>
      </c>
      <c r="AH12" s="51">
        <f ca="1">'Receita Líquida - O&amp;G'!AI7+'Receita Líquida - O&amp;G'!AI49*0.17245496</f>
        <v>62015.733344399996</v>
      </c>
      <c r="AI12" s="51">
        <f ca="1">'Receita Líquida - O&amp;G'!AJ7+'Receita Líquida - O&amp;G'!AJ49*0.17245496</f>
        <v>65745.385504799997</v>
      </c>
      <c r="AJ12" s="51">
        <f ca="1">'Receita Líquida - O&amp;G'!AK7+'Receita Líquida - O&amp;G'!AK49*0.17245496</f>
        <v>65138.260586639997</v>
      </c>
      <c r="AK12" s="51">
        <f ca="1">'Receita Líquida - O&amp;G'!AL7+'Receita Líquida - O&amp;G'!AL49*0.17245496</f>
        <v>66240.976237359995</v>
      </c>
      <c r="AL12" s="51">
        <f ca="1">'Receita Líquida - O&amp;G'!AM7+'Receita Líquida - O&amp;G'!AM49*0.17245496</f>
        <v>59822.66540536</v>
      </c>
      <c r="AM12" s="51">
        <f ca="1">'Receita Líquida - O&amp;G'!AN7+'Receita Líquida - O&amp;G'!AN49*0.17245496</f>
        <v>50272.483181440002</v>
      </c>
      <c r="AN12" s="51">
        <f ca="1">'Receita Líquida - O&amp;G'!AO7+'Receita Líquida - O&amp;G'!AO49*0.17245496</f>
        <v>43081.101912879996</v>
      </c>
      <c r="AO12" s="51">
        <f ca="1">'Receita Líquida - O&amp;G'!AP7+'Receita Líquida - O&amp;G'!AP49*0.17245496</f>
        <v>37396.769483359996</v>
      </c>
      <c r="AP12" s="51">
        <f ca="1">'Receita Líquida - O&amp;G'!AQ7+'Receita Líquida - O&amp;G'!AQ49*0.17245496</f>
        <v>32766.415347919999</v>
      </c>
      <c r="AQ12" s="51">
        <f ca="1">'Receita Líquida - O&amp;G'!AR7+'Receita Líquida - O&amp;G'!AR49*0.17245496</f>
        <v>28350.7653584</v>
      </c>
      <c r="AR12" s="51">
        <f ca="1">'Receita Líquida - O&amp;G'!AS7+'Receita Líquida - O&amp;G'!AS49*0.17245496</f>
        <v>24167.53928904</v>
      </c>
      <c r="AS12" s="51">
        <f ca="1">'Receita Líquida - O&amp;G'!AT7+'Receita Líquida - O&amp;G'!AT49*0.17245496</f>
        <v>20702.473627840001</v>
      </c>
      <c r="AT12" s="51">
        <f ca="1">'Receita Líquida - O&amp;G'!AU7+'Receita Líquida - O&amp;G'!AU49*0.17245496</f>
        <v>18189.017474</v>
      </c>
      <c r="AU12" s="51">
        <f ca="1">'Receita Líquida - O&amp;G'!AV7+'Receita Líquida - O&amp;G'!AV49*0.17245496</f>
        <v>15702.77479928</v>
      </c>
      <c r="AV12" s="51">
        <f ca="1">'Receita Líquida - O&amp;G'!AW7+'Receita Líquida - O&amp;G'!AW49*0.17245496</f>
        <v>12344</v>
      </c>
      <c r="AW12" s="51">
        <f ca="1">'Receita Líquida - O&amp;G'!AX7+'Receita Líquida - O&amp;G'!AX49*0.17245496</f>
        <v>10815</v>
      </c>
      <c r="AX12" s="51">
        <f ca="1">'Receita Líquida - O&amp;G'!AY7+'Receita Líquida - O&amp;G'!AY49*0.17245496</f>
        <v>9503</v>
      </c>
      <c r="AY12" s="51">
        <f ca="1">'Receita Líquida - O&amp;G'!AZ7+'Receita Líquida - O&amp;G'!AZ49*0.17245496</f>
        <v>8310</v>
      </c>
      <c r="AZ12" s="51">
        <f ca="1">'Receita Líquida - O&amp;G'!BA7+'Receita Líquida - O&amp;G'!BA49*0.17245496</f>
        <v>7380</v>
      </c>
      <c r="BA12" s="51">
        <f ca="1">'Receita Líquida - O&amp;G'!BB7+'Receita Líquida - O&amp;G'!BB49*0.17245496</f>
        <v>6410</v>
      </c>
      <c r="BB12" s="51">
        <f ca="1">'Receita Líquida - O&amp;G'!BC7+'Receita Líquida - O&amp;G'!BC49*0.17245496</f>
        <v>5809</v>
      </c>
      <c r="BC12" s="51">
        <f ca="1">'Receita Líquida - O&amp;G'!BD7+'Receita Líquida - O&amp;G'!BD49*0.17245496</f>
        <v>5326</v>
      </c>
      <c r="BD12" s="51">
        <f ca="1">'Receita Líquida - O&amp;G'!BE7+'Receita Líquida - O&amp;G'!BE49*0.17245496</f>
        <v>4915</v>
      </c>
      <c r="BE12" s="51">
        <f ca="1">'Receita Líquida - O&amp;G'!BF7+'Receita Líquida - O&amp;G'!BF49*0.17245496</f>
        <v>4307</v>
      </c>
      <c r="BF12" s="51">
        <f ca="1">'Receita Líquida - O&amp;G'!BG7+'Receita Líquida - O&amp;G'!BG49*0.17245496</f>
        <v>3925</v>
      </c>
      <c r="BG12" s="51">
        <f ca="1">'Receita Líquida - O&amp;G'!BH7+'Receita Líquida - O&amp;G'!BH49*0.17245496</f>
        <v>3653</v>
      </c>
      <c r="BH12" s="51">
        <f ca="1">'Receita Líquida - O&amp;G'!BI7+'Receita Líquida - O&amp;G'!BI49*0.17245496</f>
        <v>2290</v>
      </c>
      <c r="BI12" s="51">
        <f ca="1">'Receita Líquida - O&amp;G'!BJ7+'Receita Líquida - O&amp;G'!BJ49*0.17245496</f>
        <v>0</v>
      </c>
      <c r="BJ12" s="51">
        <f ca="1">'Receita Líquida - O&amp;G'!BK7+'Receita Líquida - O&amp;G'!BK49*0.17245496</f>
        <v>0</v>
      </c>
      <c r="BK12" s="51">
        <f ca="1">'Receita Líquida - O&amp;G'!BL7+'Receita Líquida - O&amp;G'!BL49*0.17245496</f>
        <v>0</v>
      </c>
      <c r="BL12" s="51">
        <f ca="1">'Receita Líquida - O&amp;G'!BM7+'Receita Líquida - O&amp;G'!BM49*0.17245496</f>
        <v>0</v>
      </c>
      <c r="BM12" s="51">
        <f ca="1">'Receita Líquida - O&amp;G'!BN7+'Receita Líquida - O&amp;G'!BN49*0.17245496</f>
        <v>0</v>
      </c>
      <c r="BN12" s="51">
        <f ca="1">'Receita Líquida - O&amp;G'!BO7+'Receita Líquida - O&amp;G'!BO49*0.17245496</f>
        <v>0</v>
      </c>
      <c r="BO12" s="51">
        <f ca="1">'Receita Líquida - O&amp;G'!BP7+'Receita Líquida - O&amp;G'!BP49*0.17245496</f>
        <v>0</v>
      </c>
      <c r="BP12" s="51">
        <f ca="1">'Receita Líquida - O&amp;G'!BQ7+'Receita Líquida - O&amp;G'!BQ49*0.17245496</f>
        <v>0</v>
      </c>
      <c r="BQ12" s="51">
        <f ca="1">'Receita Líquida - O&amp;G'!BR7+'Receita Líquida - O&amp;G'!BR49*0.17245496</f>
        <v>0</v>
      </c>
      <c r="BR12" s="51">
        <f ca="1">'Receita Líquida - O&amp;G'!BS7+'Receita Líquida - O&amp;G'!BS49*0.17245496</f>
        <v>0</v>
      </c>
      <c r="BS12" s="51">
        <f ca="1">'Receita Líquida - O&amp;G'!BT7+'Receita Líquida - O&amp;G'!BT49*0.17245496</f>
        <v>0</v>
      </c>
      <c r="BT12" s="51">
        <f ca="1">'Receita Líquida - O&amp;G'!BU7+'Receita Líquida - O&amp;G'!BU49*0.17245496</f>
        <v>0</v>
      </c>
      <c r="BU12" s="51">
        <f ca="1">'Receita Líquida - O&amp;G'!BV7+'Receita Líquida - O&amp;G'!BV49*0.17245496</f>
        <v>0</v>
      </c>
      <c r="BV12" s="51">
        <f ca="1">'Receita Líquida - O&amp;G'!BW7+'Receita Líquida - O&amp;G'!BW49*0.17245496</f>
        <v>0</v>
      </c>
      <c r="BW12" s="51">
        <f>'Receita Líquida - O&amp;G'!BX7+'Receita Líquida - O&amp;G'!BX49*0.17245496</f>
        <v>0</v>
      </c>
    </row>
    <row r="13" spans="1:75" x14ac:dyDescent="0.3">
      <c r="A13" s="5" t="s">
        <v>1151</v>
      </c>
      <c r="AF13" s="51">
        <f ca="1">SUM(AF12:$BW$12)</f>
        <v>776110.54627703992</v>
      </c>
      <c r="AG13" s="51">
        <f ca="1">SUM(AG12:$BW$12)</f>
        <v>732591.36828503991</v>
      </c>
      <c r="AH13" s="51">
        <f ca="1">SUM(AH12:$BW$12)</f>
        <v>674579.36155271996</v>
      </c>
      <c r="AI13" s="51">
        <f ca="1">SUM(AI12:$BW$12)</f>
        <v>612563.62820832001</v>
      </c>
      <c r="AJ13" s="51">
        <f ca="1">SUM(AJ12:$BW$12)</f>
        <v>546818.24270351999</v>
      </c>
      <c r="AK13" s="51">
        <f ca="1">SUM(AK12:$BW$12)</f>
        <v>481679.98211688001</v>
      </c>
      <c r="AL13" s="51">
        <f ca="1">SUM(AL12:$BW$12)</f>
        <v>415439.00587951997</v>
      </c>
      <c r="AM13" s="51">
        <f ca="1">SUM(AM12:$BW$12)</f>
        <v>355616.34047415998</v>
      </c>
      <c r="AN13" s="51">
        <f ca="1">SUM(AN12:$BW$12)</f>
        <v>305343.85729272</v>
      </c>
      <c r="AO13" s="51">
        <f ca="1">SUM(AO12:$BW$12)</f>
        <v>262262.75537983997</v>
      </c>
      <c r="AP13" s="51">
        <f ca="1">SUM(AP12:$BW$12)</f>
        <v>224865.98589647998</v>
      </c>
      <c r="AQ13" s="51">
        <f ca="1">SUM(AQ12:$BW$12)</f>
        <v>192099.57054856</v>
      </c>
      <c r="AR13" s="51">
        <f ca="1">SUM(AR12:$BW$12)</f>
        <v>163748.80519016</v>
      </c>
      <c r="AS13" s="51">
        <f ca="1">SUM(AS12:$BW$12)</f>
        <v>139581.26590112</v>
      </c>
      <c r="AT13" s="51">
        <f ca="1">SUM(AT12:$BW$12)</f>
        <v>118878.79227328001</v>
      </c>
      <c r="AU13" s="51">
        <f ca="1">SUM(AU12:$BW$12)</f>
        <v>100689.77479928</v>
      </c>
      <c r="AV13" s="51">
        <f ca="1">SUM(AV12:$BW$12)</f>
        <v>84987</v>
      </c>
      <c r="AW13" s="51">
        <f ca="1">SUM(AW12:$BW$12)</f>
        <v>72643</v>
      </c>
      <c r="AX13" s="51">
        <f ca="1">SUM(AX12:$BW$12)</f>
        <v>61828</v>
      </c>
      <c r="AY13" s="51">
        <f ca="1">SUM(AY12:$BW$12)</f>
        <v>52325</v>
      </c>
      <c r="AZ13" s="51">
        <f ca="1">SUM(AZ12:$BW$12)</f>
        <v>44015</v>
      </c>
      <c r="BA13" s="51">
        <f ca="1">SUM(BA12:$BW$12)</f>
        <v>36635</v>
      </c>
      <c r="BB13" s="51">
        <f ca="1">SUM(BB12:$BW$12)</f>
        <v>30225</v>
      </c>
      <c r="BC13" s="51">
        <f ca="1">SUM(BC12:$BW$12)</f>
        <v>24416</v>
      </c>
      <c r="BD13" s="51">
        <f ca="1">SUM(BD12:$BW$12)</f>
        <v>19090</v>
      </c>
      <c r="BE13" s="51">
        <f ca="1">SUM(BE12:$BW$12)</f>
        <v>14175</v>
      </c>
      <c r="BF13" s="51">
        <f ca="1">SUM(BF12:$BW$12)</f>
        <v>9868</v>
      </c>
      <c r="BG13" s="51">
        <f ca="1">SUM(BG12:$BW$12)</f>
        <v>5943</v>
      </c>
      <c r="BH13" s="51">
        <f ca="1">SUM(BH12:$BW$12)</f>
        <v>2290</v>
      </c>
      <c r="BI13" s="51">
        <f ca="1">SUM(BI12:$BW$12)</f>
        <v>0</v>
      </c>
      <c r="BJ13" s="51">
        <f ca="1">SUM(BJ12:$BW$12)</f>
        <v>0</v>
      </c>
      <c r="BK13" s="51">
        <f ca="1">SUM(BK12:$BW$12)</f>
        <v>0</v>
      </c>
      <c r="BL13" s="51">
        <f ca="1">SUM(BL12:$BW$12)</f>
        <v>0</v>
      </c>
      <c r="BM13" s="51">
        <f ca="1">SUM(BM12:$BW$12)</f>
        <v>0</v>
      </c>
      <c r="BN13" s="51">
        <f ca="1">SUM(BN12:$BW$12)</f>
        <v>0</v>
      </c>
      <c r="BO13" s="51">
        <f ca="1">SUM(BO12:$BW$12)</f>
        <v>0</v>
      </c>
      <c r="BP13" s="51">
        <f ca="1">SUM(BP12:$BW$12)</f>
        <v>0</v>
      </c>
      <c r="BQ13" s="51">
        <f ca="1">SUM(BQ12:$BW$12)</f>
        <v>0</v>
      </c>
      <c r="BR13" s="51">
        <f ca="1">SUM(BR12:$BW$12)</f>
        <v>0</v>
      </c>
      <c r="BS13" s="51">
        <f ca="1">SUM(BS12:$BW$12)</f>
        <v>0</v>
      </c>
      <c r="BT13" s="51">
        <f ca="1">SUM(BT12:$BW$12)</f>
        <v>0</v>
      </c>
      <c r="BU13" s="51">
        <f ca="1">SUM(BU12:$BW$12)</f>
        <v>0</v>
      </c>
      <c r="BV13" s="51">
        <f ca="1">SUM(BV12:$BW$12)</f>
        <v>0</v>
      </c>
      <c r="BW13" s="51">
        <f>SUM(BW12:$BW$12)</f>
        <v>0</v>
      </c>
    </row>
    <row r="14" spans="1:75" s="34" customFormat="1" x14ac:dyDescent="0.3">
      <c r="A14" s="4" t="s">
        <v>1156</v>
      </c>
      <c r="B14" s="4"/>
      <c r="C14" s="4"/>
      <c r="D14" s="4"/>
      <c r="E14" s="4"/>
      <c r="F14" s="4"/>
      <c r="G14" s="4"/>
      <c r="H14" s="4"/>
      <c r="I14" s="4"/>
      <c r="J14" s="4"/>
      <c r="K14" s="4"/>
      <c r="L14" s="4"/>
      <c r="M14" s="4"/>
      <c r="N14" s="4"/>
      <c r="O14" s="4"/>
      <c r="P14" s="4"/>
      <c r="Q14" s="4"/>
      <c r="R14" s="4"/>
      <c r="S14" s="4"/>
      <c r="T14" s="4"/>
      <c r="U14" s="4"/>
      <c r="V14" s="4"/>
      <c r="W14" s="4"/>
      <c r="X14" s="4"/>
      <c r="Y14" s="4"/>
      <c r="Z14" s="4"/>
      <c r="AF14" s="69">
        <f>SUMPRODUCT(AF36:AF41,B36:B41)/SUM(AF36:AF41)/100</f>
        <v>3.356838822588893E-2</v>
      </c>
      <c r="AG14" s="69">
        <f>AF14</f>
        <v>3.356838822588893E-2</v>
      </c>
      <c r="AH14" s="69">
        <f t="shared" ref="AH14:BW14" si="3">AG14</f>
        <v>3.356838822588893E-2</v>
      </c>
      <c r="AI14" s="69">
        <f t="shared" si="3"/>
        <v>3.356838822588893E-2</v>
      </c>
      <c r="AJ14" s="69">
        <f t="shared" si="3"/>
        <v>3.356838822588893E-2</v>
      </c>
      <c r="AK14" s="69">
        <f t="shared" si="3"/>
        <v>3.356838822588893E-2</v>
      </c>
      <c r="AL14" s="69">
        <f t="shared" si="3"/>
        <v>3.356838822588893E-2</v>
      </c>
      <c r="AM14" s="69">
        <f t="shared" si="3"/>
        <v>3.356838822588893E-2</v>
      </c>
      <c r="AN14" s="69">
        <f t="shared" si="3"/>
        <v>3.356838822588893E-2</v>
      </c>
      <c r="AO14" s="69">
        <f t="shared" si="3"/>
        <v>3.356838822588893E-2</v>
      </c>
      <c r="AP14" s="69">
        <f t="shared" si="3"/>
        <v>3.356838822588893E-2</v>
      </c>
      <c r="AQ14" s="69">
        <f t="shared" si="3"/>
        <v>3.356838822588893E-2</v>
      </c>
      <c r="AR14" s="69">
        <f t="shared" si="3"/>
        <v>3.356838822588893E-2</v>
      </c>
      <c r="AS14" s="69">
        <f t="shared" si="3"/>
        <v>3.356838822588893E-2</v>
      </c>
      <c r="AT14" s="69">
        <f t="shared" si="3"/>
        <v>3.356838822588893E-2</v>
      </c>
      <c r="AU14" s="69">
        <f t="shared" si="3"/>
        <v>3.356838822588893E-2</v>
      </c>
      <c r="AV14" s="69">
        <f t="shared" si="3"/>
        <v>3.356838822588893E-2</v>
      </c>
      <c r="AW14" s="69">
        <f t="shared" si="3"/>
        <v>3.356838822588893E-2</v>
      </c>
      <c r="AX14" s="69">
        <f t="shared" si="3"/>
        <v>3.356838822588893E-2</v>
      </c>
      <c r="AY14" s="69">
        <f t="shared" si="3"/>
        <v>3.356838822588893E-2</v>
      </c>
      <c r="AZ14" s="69">
        <f t="shared" si="3"/>
        <v>3.356838822588893E-2</v>
      </c>
      <c r="BA14" s="69">
        <f t="shared" si="3"/>
        <v>3.356838822588893E-2</v>
      </c>
      <c r="BB14" s="69">
        <f t="shared" si="3"/>
        <v>3.356838822588893E-2</v>
      </c>
      <c r="BC14" s="69">
        <f t="shared" si="3"/>
        <v>3.356838822588893E-2</v>
      </c>
      <c r="BD14" s="69">
        <f t="shared" si="3"/>
        <v>3.356838822588893E-2</v>
      </c>
      <c r="BE14" s="69">
        <f t="shared" si="3"/>
        <v>3.356838822588893E-2</v>
      </c>
      <c r="BF14" s="69">
        <f t="shared" si="3"/>
        <v>3.356838822588893E-2</v>
      </c>
      <c r="BG14" s="69">
        <f t="shared" si="3"/>
        <v>3.356838822588893E-2</v>
      </c>
      <c r="BH14" s="69">
        <f t="shared" si="3"/>
        <v>3.356838822588893E-2</v>
      </c>
      <c r="BI14" s="69">
        <f t="shared" si="3"/>
        <v>3.356838822588893E-2</v>
      </c>
      <c r="BJ14" s="69">
        <f t="shared" si="3"/>
        <v>3.356838822588893E-2</v>
      </c>
      <c r="BK14" s="69">
        <f t="shared" si="3"/>
        <v>3.356838822588893E-2</v>
      </c>
      <c r="BL14" s="69">
        <f t="shared" si="3"/>
        <v>3.356838822588893E-2</v>
      </c>
      <c r="BM14" s="69">
        <f t="shared" si="3"/>
        <v>3.356838822588893E-2</v>
      </c>
      <c r="BN14" s="69">
        <f t="shared" si="3"/>
        <v>3.356838822588893E-2</v>
      </c>
      <c r="BO14" s="69">
        <f t="shared" si="3"/>
        <v>3.356838822588893E-2</v>
      </c>
      <c r="BP14" s="69">
        <f t="shared" si="3"/>
        <v>3.356838822588893E-2</v>
      </c>
      <c r="BQ14" s="69">
        <f t="shared" si="3"/>
        <v>3.356838822588893E-2</v>
      </c>
      <c r="BR14" s="69">
        <f t="shared" si="3"/>
        <v>3.356838822588893E-2</v>
      </c>
      <c r="BS14" s="69">
        <f t="shared" si="3"/>
        <v>3.356838822588893E-2</v>
      </c>
      <c r="BT14" s="69">
        <f t="shared" si="3"/>
        <v>3.356838822588893E-2</v>
      </c>
      <c r="BU14" s="69">
        <f t="shared" si="3"/>
        <v>3.356838822588893E-2</v>
      </c>
      <c r="BV14" s="69">
        <f t="shared" si="3"/>
        <v>3.356838822588893E-2</v>
      </c>
      <c r="BW14" s="69">
        <f t="shared" si="3"/>
        <v>3.356838822588893E-2</v>
      </c>
    </row>
    <row r="16" spans="1:75" s="34" customFormat="1" x14ac:dyDescent="0.3">
      <c r="A16" s="4" t="s">
        <v>1147</v>
      </c>
      <c r="B16" s="4"/>
      <c r="C16" s="4"/>
      <c r="D16" s="4"/>
      <c r="E16" s="4"/>
      <c r="F16" s="4"/>
      <c r="G16" s="4"/>
      <c r="H16" s="4"/>
      <c r="I16" s="4"/>
      <c r="J16" s="4"/>
      <c r="K16" s="4"/>
      <c r="L16" s="4"/>
      <c r="M16" s="4"/>
      <c r="N16" s="4"/>
      <c r="O16" s="4"/>
      <c r="P16" s="4"/>
      <c r="Q16" s="4"/>
      <c r="R16" s="4"/>
      <c r="S16" s="4"/>
      <c r="T16" s="4"/>
      <c r="U16" s="4"/>
      <c r="V16" s="4"/>
      <c r="W16" s="4"/>
      <c r="X16" s="4"/>
      <c r="Y16" s="4"/>
      <c r="Z16" s="4"/>
      <c r="AF16" s="48">
        <f>'Balanço Planilhado'!AF31</f>
        <v>9425118</v>
      </c>
      <c r="AG16" s="48">
        <f ca="1">SUM(AG17:AG18)</f>
        <v>10712373.093454566</v>
      </c>
      <c r="AH16" s="48">
        <f t="shared" ref="AH16:BW16" ca="1" si="4">SUM(AH17:AH18)</f>
        <v>11759458.400594095</v>
      </c>
      <c r="AI16" s="48">
        <f t="shared" ca="1" si="4"/>
        <v>12152169.045969533</v>
      </c>
      <c r="AJ16" s="48">
        <f t="shared" ca="1" si="4"/>
        <v>12359828.336814087</v>
      </c>
      <c r="AK16" s="48">
        <f t="shared" ca="1" si="4"/>
        <v>12011613.909347329</v>
      </c>
      <c r="AL16" s="48">
        <f t="shared" ca="1" si="4"/>
        <v>11689149.838452619</v>
      </c>
      <c r="AM16" s="48">
        <f t="shared" ca="1" si="4"/>
        <v>10314197.803534396</v>
      </c>
      <c r="AN16" s="48">
        <f t="shared" ca="1" si="4"/>
        <v>9143430.6870687343</v>
      </c>
      <c r="AO16" s="48">
        <f t="shared" ca="1" si="4"/>
        <v>8131828.5622944301</v>
      </c>
      <c r="AP16" s="48">
        <f t="shared" ca="1" si="4"/>
        <v>7247492.4772802442</v>
      </c>
      <c r="AQ16" s="48">
        <f t="shared" ca="1" si="4"/>
        <v>6486746.4430551575</v>
      </c>
      <c r="AR16" s="48">
        <f t="shared" ca="1" si="4"/>
        <v>5846165.2513176044</v>
      </c>
      <c r="AS16" s="48">
        <f t="shared" ca="1" si="4"/>
        <v>5304259.0376492692</v>
      </c>
      <c r="AT16" s="48">
        <f t="shared" ca="1" si="4"/>
        <v>4716045.3644397371</v>
      </c>
      <c r="AU16" s="48">
        <f t="shared" ca="1" si="4"/>
        <v>4210144.6529039787</v>
      </c>
      <c r="AV16" s="48">
        <f t="shared" ca="1" si="4"/>
        <v>3830457.2189468206</v>
      </c>
      <c r="AW16" s="48">
        <f t="shared" ca="1" si="4"/>
        <v>3498745.7076198594</v>
      </c>
      <c r="AX16" s="48">
        <f t="shared" ca="1" si="4"/>
        <v>3206804.5654757586</v>
      </c>
      <c r="AY16" s="48">
        <f t="shared" ca="1" si="4"/>
        <v>2950868.3843430793</v>
      </c>
      <c r="AZ16" s="48">
        <f t="shared" ca="1" si="4"/>
        <v>2718273.7968699951</v>
      </c>
      <c r="BA16" s="48">
        <f t="shared" ca="1" si="4"/>
        <v>2513395.3889857838</v>
      </c>
      <c r="BB16" s="48">
        <f t="shared" ca="1" si="4"/>
        <v>2312799.4689431032</v>
      </c>
      <c r="BC16" s="48">
        <f t="shared" ca="1" si="4"/>
        <v>2105319.3797706757</v>
      </c>
      <c r="BD16" s="48">
        <f t="shared" ca="1" si="4"/>
        <v>1879081.7621297701</v>
      </c>
      <c r="BE16" s="48">
        <f t="shared" ca="1" si="4"/>
        <v>1645076.9957952136</v>
      </c>
      <c r="BF16" s="48">
        <f t="shared" ca="1" si="4"/>
        <v>1363348.8665936277</v>
      </c>
      <c r="BG16" s="48">
        <f t="shared" ca="1" si="4"/>
        <v>710623.065370925</v>
      </c>
      <c r="BH16" s="48">
        <f t="shared" ca="1" si="4"/>
        <v>301441</v>
      </c>
      <c r="BI16" s="48">
        <f t="shared" ca="1" si="4"/>
        <v>301441</v>
      </c>
      <c r="BJ16" s="48">
        <f t="shared" ca="1" si="4"/>
        <v>301441</v>
      </c>
      <c r="BK16" s="48">
        <f t="shared" ca="1" si="4"/>
        <v>301441</v>
      </c>
      <c r="BL16" s="48">
        <f t="shared" ca="1" si="4"/>
        <v>301441</v>
      </c>
      <c r="BM16" s="48">
        <f t="shared" ca="1" si="4"/>
        <v>301441</v>
      </c>
      <c r="BN16" s="48">
        <f t="shared" ca="1" si="4"/>
        <v>301441</v>
      </c>
      <c r="BO16" s="48">
        <f t="shared" ca="1" si="4"/>
        <v>301441</v>
      </c>
      <c r="BP16" s="48">
        <f t="shared" ca="1" si="4"/>
        <v>301441</v>
      </c>
      <c r="BQ16" s="48">
        <f t="shared" ca="1" si="4"/>
        <v>301441</v>
      </c>
      <c r="BR16" s="48">
        <f t="shared" ca="1" si="4"/>
        <v>301441</v>
      </c>
      <c r="BS16" s="48">
        <f t="shared" ca="1" si="4"/>
        <v>301441</v>
      </c>
      <c r="BT16" s="48">
        <f t="shared" ca="1" si="4"/>
        <v>301441</v>
      </c>
      <c r="BU16" s="48">
        <f t="shared" ca="1" si="4"/>
        <v>301441</v>
      </c>
      <c r="BV16" s="48">
        <f t="shared" ca="1" si="4"/>
        <v>301441</v>
      </c>
      <c r="BW16" s="48">
        <f t="shared" ca="1" si="4"/>
        <v>301441</v>
      </c>
    </row>
    <row r="17" spans="1:75" x14ac:dyDescent="0.3">
      <c r="A17" s="5" t="s">
        <v>1159</v>
      </c>
      <c r="AF17" s="51">
        <f>SUM(AF29:AF35,AF44:AF49)</f>
        <v>9123682.8699999992</v>
      </c>
      <c r="AG17" s="51">
        <f ca="1">AF17+AG21-AG24</f>
        <v>10410932.093454566</v>
      </c>
      <c r="AH17" s="51">
        <f t="shared" ref="AH17:BW17" ca="1" si="5">AG17+AH21-AH24</f>
        <v>11458017.400594095</v>
      </c>
      <c r="AI17" s="51">
        <f t="shared" ca="1" si="5"/>
        <v>11850728.045969533</v>
      </c>
      <c r="AJ17" s="51">
        <f t="shared" ca="1" si="5"/>
        <v>12058387.336814087</v>
      </c>
      <c r="AK17" s="51">
        <f t="shared" ca="1" si="5"/>
        <v>11710172.909347329</v>
      </c>
      <c r="AL17" s="51">
        <f t="shared" ca="1" si="5"/>
        <v>11387708.838452619</v>
      </c>
      <c r="AM17" s="51">
        <f t="shared" ca="1" si="5"/>
        <v>10012756.803534396</v>
      </c>
      <c r="AN17" s="51">
        <f t="shared" ca="1" si="5"/>
        <v>8841989.6870687343</v>
      </c>
      <c r="AO17" s="51">
        <f t="shared" ca="1" si="5"/>
        <v>7830387.5622944301</v>
      </c>
      <c r="AP17" s="51">
        <f t="shared" ca="1" si="5"/>
        <v>6946051.4772802442</v>
      </c>
      <c r="AQ17" s="51">
        <f t="shared" ca="1" si="5"/>
        <v>6185305.4430551575</v>
      </c>
      <c r="AR17" s="51">
        <f t="shared" ca="1" si="5"/>
        <v>5544724.2513176044</v>
      </c>
      <c r="AS17" s="51">
        <f t="shared" ca="1" si="5"/>
        <v>5002818.0376492692</v>
      </c>
      <c r="AT17" s="51">
        <f t="shared" ca="1" si="5"/>
        <v>4414604.3644397371</v>
      </c>
      <c r="AU17" s="51">
        <f t="shared" ca="1" si="5"/>
        <v>3908703.6529039787</v>
      </c>
      <c r="AV17" s="51">
        <f t="shared" ca="1" si="5"/>
        <v>3529016.2189468206</v>
      </c>
      <c r="AW17" s="51">
        <f t="shared" ca="1" si="5"/>
        <v>3197304.7076198594</v>
      </c>
      <c r="AX17" s="51">
        <f t="shared" ca="1" si="5"/>
        <v>2905363.5654757586</v>
      </c>
      <c r="AY17" s="51">
        <f t="shared" ca="1" si="5"/>
        <v>2649427.3843430793</v>
      </c>
      <c r="AZ17" s="51">
        <f t="shared" ca="1" si="5"/>
        <v>2416832.7968699951</v>
      </c>
      <c r="BA17" s="51">
        <f t="shared" ca="1" si="5"/>
        <v>2211954.3889857838</v>
      </c>
      <c r="BB17" s="51">
        <f t="shared" ca="1" si="5"/>
        <v>2011358.4689431034</v>
      </c>
      <c r="BC17" s="51">
        <f t="shared" ca="1" si="5"/>
        <v>1803878.3797706757</v>
      </c>
      <c r="BD17" s="51">
        <f t="shared" ca="1" si="5"/>
        <v>1577640.7621297701</v>
      </c>
      <c r="BE17" s="51">
        <f t="shared" ca="1" si="5"/>
        <v>1343635.9957952136</v>
      </c>
      <c r="BF17" s="51">
        <f t="shared" ca="1" si="5"/>
        <v>1061907.8665936277</v>
      </c>
      <c r="BG17" s="51">
        <f t="shared" ca="1" si="5"/>
        <v>409182.065370925</v>
      </c>
      <c r="BH17" s="51">
        <f t="shared" ca="1" si="5"/>
        <v>0</v>
      </c>
      <c r="BI17" s="51">
        <f t="shared" ca="1" si="5"/>
        <v>0</v>
      </c>
      <c r="BJ17" s="51">
        <f t="shared" ca="1" si="5"/>
        <v>0</v>
      </c>
      <c r="BK17" s="51">
        <f t="shared" ca="1" si="5"/>
        <v>0</v>
      </c>
      <c r="BL17" s="51">
        <f t="shared" ca="1" si="5"/>
        <v>0</v>
      </c>
      <c r="BM17" s="51">
        <f t="shared" ca="1" si="5"/>
        <v>0</v>
      </c>
      <c r="BN17" s="51">
        <f t="shared" ca="1" si="5"/>
        <v>0</v>
      </c>
      <c r="BO17" s="51">
        <f t="shared" ca="1" si="5"/>
        <v>0</v>
      </c>
      <c r="BP17" s="51">
        <f t="shared" ca="1" si="5"/>
        <v>0</v>
      </c>
      <c r="BQ17" s="51">
        <f t="shared" ca="1" si="5"/>
        <v>0</v>
      </c>
      <c r="BR17" s="51">
        <f t="shared" ca="1" si="5"/>
        <v>0</v>
      </c>
      <c r="BS17" s="51">
        <f t="shared" ca="1" si="5"/>
        <v>0</v>
      </c>
      <c r="BT17" s="51">
        <f t="shared" ca="1" si="5"/>
        <v>0</v>
      </c>
      <c r="BU17" s="51">
        <f t="shared" ca="1" si="5"/>
        <v>0</v>
      </c>
      <c r="BV17" s="51">
        <f t="shared" ca="1" si="5"/>
        <v>0</v>
      </c>
      <c r="BW17" s="51">
        <f t="shared" ca="1" si="5"/>
        <v>0</v>
      </c>
    </row>
    <row r="18" spans="1:75" x14ac:dyDescent="0.3">
      <c r="A18" s="5" t="s">
        <v>1160</v>
      </c>
      <c r="AF18" s="51">
        <f>AF27-AF17</f>
        <v>301441</v>
      </c>
      <c r="AG18" s="51">
        <f>AF18+AG22-AG25</f>
        <v>301441</v>
      </c>
      <c r="AH18" s="51">
        <f t="shared" ref="AH18:BW18" si="6">AG18+AH22-AH25</f>
        <v>301441</v>
      </c>
      <c r="AI18" s="51">
        <f t="shared" si="6"/>
        <v>301441</v>
      </c>
      <c r="AJ18" s="51">
        <f t="shared" si="6"/>
        <v>301441</v>
      </c>
      <c r="AK18" s="51">
        <f t="shared" si="6"/>
        <v>301441</v>
      </c>
      <c r="AL18" s="51">
        <f t="shared" si="6"/>
        <v>301441</v>
      </c>
      <c r="AM18" s="51">
        <f t="shared" si="6"/>
        <v>301441</v>
      </c>
      <c r="AN18" s="51">
        <f t="shared" si="6"/>
        <v>301441</v>
      </c>
      <c r="AO18" s="51">
        <f t="shared" si="6"/>
        <v>301441</v>
      </c>
      <c r="AP18" s="51">
        <f t="shared" si="6"/>
        <v>301441</v>
      </c>
      <c r="AQ18" s="51">
        <f t="shared" si="6"/>
        <v>301441</v>
      </c>
      <c r="AR18" s="51">
        <f t="shared" si="6"/>
        <v>301441</v>
      </c>
      <c r="AS18" s="51">
        <f t="shared" si="6"/>
        <v>301441</v>
      </c>
      <c r="AT18" s="51">
        <f t="shared" si="6"/>
        <v>301441</v>
      </c>
      <c r="AU18" s="51">
        <f t="shared" si="6"/>
        <v>301441</v>
      </c>
      <c r="AV18" s="51">
        <f t="shared" si="6"/>
        <v>301441</v>
      </c>
      <c r="AW18" s="51">
        <f t="shared" si="6"/>
        <v>301441</v>
      </c>
      <c r="AX18" s="51">
        <f t="shared" si="6"/>
        <v>301441</v>
      </c>
      <c r="AY18" s="51">
        <f t="shared" si="6"/>
        <v>301441</v>
      </c>
      <c r="AZ18" s="51">
        <f t="shared" si="6"/>
        <v>301441</v>
      </c>
      <c r="BA18" s="51">
        <f t="shared" si="6"/>
        <v>301441</v>
      </c>
      <c r="BB18" s="51">
        <f t="shared" si="6"/>
        <v>301441</v>
      </c>
      <c r="BC18" s="51">
        <f t="shared" si="6"/>
        <v>301441</v>
      </c>
      <c r="BD18" s="51">
        <f t="shared" si="6"/>
        <v>301441</v>
      </c>
      <c r="BE18" s="51">
        <f t="shared" si="6"/>
        <v>301441</v>
      </c>
      <c r="BF18" s="51">
        <f t="shared" si="6"/>
        <v>301441</v>
      </c>
      <c r="BG18" s="51">
        <f t="shared" si="6"/>
        <v>301441</v>
      </c>
      <c r="BH18" s="51">
        <f t="shared" si="6"/>
        <v>301441</v>
      </c>
      <c r="BI18" s="51">
        <f t="shared" si="6"/>
        <v>301441</v>
      </c>
      <c r="BJ18" s="51">
        <f t="shared" si="6"/>
        <v>301441</v>
      </c>
      <c r="BK18" s="51">
        <f t="shared" si="6"/>
        <v>301441</v>
      </c>
      <c r="BL18" s="51">
        <f t="shared" si="6"/>
        <v>301441</v>
      </c>
      <c r="BM18" s="51">
        <f t="shared" si="6"/>
        <v>301441</v>
      </c>
      <c r="BN18" s="51">
        <f t="shared" si="6"/>
        <v>301441</v>
      </c>
      <c r="BO18" s="51">
        <f t="shared" si="6"/>
        <v>301441</v>
      </c>
      <c r="BP18" s="51">
        <f t="shared" si="6"/>
        <v>301441</v>
      </c>
      <c r="BQ18" s="51">
        <f t="shared" si="6"/>
        <v>301441</v>
      </c>
      <c r="BR18" s="51">
        <f t="shared" si="6"/>
        <v>301441</v>
      </c>
      <c r="BS18" s="51">
        <f t="shared" si="6"/>
        <v>301441</v>
      </c>
      <c r="BT18" s="51">
        <f t="shared" si="6"/>
        <v>301441</v>
      </c>
      <c r="BU18" s="51">
        <f t="shared" si="6"/>
        <v>301441</v>
      </c>
      <c r="BV18" s="51">
        <f t="shared" si="6"/>
        <v>301441</v>
      </c>
      <c r="BW18" s="51">
        <f t="shared" si="6"/>
        <v>301441</v>
      </c>
    </row>
    <row r="19" spans="1:75" s="1" customFormat="1" x14ac:dyDescent="0.3"/>
    <row r="20" spans="1:75" x14ac:dyDescent="0.3">
      <c r="A20" s="5" t="s">
        <v>1161</v>
      </c>
      <c r="AG20" s="48">
        <f ca="1">SUM(AG21:AG22)</f>
        <v>2019848.8495151999</v>
      </c>
      <c r="AH20" s="48">
        <f t="shared" ref="AH20:BW20" ca="1" si="7">SUM(AH21:AH22)</f>
        <v>2014306.6885152003</v>
      </c>
      <c r="AI20" s="48">
        <f t="shared" ca="1" si="7"/>
        <v>1632598.5512352004</v>
      </c>
      <c r="AJ20" s="48">
        <f t="shared" ca="1" si="7"/>
        <v>1629464.4606792</v>
      </c>
      <c r="AK20" s="48">
        <f t="shared" ca="1" si="7"/>
        <v>1320182.5267642082</v>
      </c>
      <c r="AL20" s="48">
        <f t="shared" ca="1" si="7"/>
        <v>1373904.1728337917</v>
      </c>
      <c r="AM20" s="48">
        <f t="shared" ca="1" si="7"/>
        <v>245015.26577319828</v>
      </c>
      <c r="AN20" s="48">
        <f t="shared" ca="1" si="7"/>
        <v>252056.12479641903</v>
      </c>
      <c r="AO20" s="48">
        <f t="shared" ca="1" si="7"/>
        <v>259320.45514821037</v>
      </c>
      <c r="AP20" s="48">
        <f t="shared" ca="1" si="7"/>
        <v>266790.10248594527</v>
      </c>
      <c r="AQ20" s="48">
        <f t="shared" ca="1" si="7"/>
        <v>274496.83055616065</v>
      </c>
      <c r="AR20" s="48">
        <f t="shared" ca="1" si="7"/>
        <v>282421.37941676367</v>
      </c>
      <c r="AS20" s="48">
        <f t="shared" ca="1" si="7"/>
        <v>290597.4472264552</v>
      </c>
      <c r="AT20" s="48">
        <f t="shared" ca="1" si="7"/>
        <v>187360.03669097778</v>
      </c>
      <c r="AU20" s="48">
        <f t="shared" ca="1" si="7"/>
        <v>192684.6900976288</v>
      </c>
      <c r="AV20" s="48">
        <f t="shared" ca="1" si="7"/>
        <v>198154.02261488262</v>
      </c>
      <c r="AW20" s="48">
        <f t="shared" ca="1" si="7"/>
        <v>203802.94741399869</v>
      </c>
      <c r="AX20" s="48">
        <f t="shared" ca="1" si="7"/>
        <v>209605.36228155327</v>
      </c>
      <c r="AY20" s="48">
        <f t="shared" ca="1" si="7"/>
        <v>215598.30660093552</v>
      </c>
      <c r="AZ20" s="48">
        <f t="shared" ca="1" si="7"/>
        <v>221754.08853392416</v>
      </c>
      <c r="BA20" s="48">
        <f t="shared" ca="1" si="7"/>
        <v>228112.00316235682</v>
      </c>
      <c r="BB20" s="48">
        <f t="shared" ca="1" si="7"/>
        <v>234642.67221506458</v>
      </c>
      <c r="BC20" s="48">
        <f t="shared" ca="1" si="7"/>
        <v>241387.78384436865</v>
      </c>
      <c r="BD20" s="48">
        <f t="shared" ca="1" si="7"/>
        <v>248316.17064238628</v>
      </c>
      <c r="BE20" s="48">
        <f t="shared" ca="1" si="7"/>
        <v>255472.05956991506</v>
      </c>
      <c r="BF20" s="48">
        <f t="shared" ca="1" si="7"/>
        <v>262822.38512393186</v>
      </c>
      <c r="BG20" s="48">
        <f ca="1">SUM(BG21:BG22)</f>
        <v>10118.888515200186</v>
      </c>
      <c r="BH20" s="48">
        <f t="shared" ca="1" si="7"/>
        <v>10118.888515200186</v>
      </c>
      <c r="BI20" s="48">
        <f t="shared" ca="1" si="7"/>
        <v>10118.888515200186</v>
      </c>
      <c r="BJ20" s="48">
        <f t="shared" ca="1" si="7"/>
        <v>10118.888515200186</v>
      </c>
      <c r="BK20" s="48">
        <f t="shared" ca="1" si="7"/>
        <v>10118.888515200186</v>
      </c>
      <c r="BL20" s="48">
        <f t="shared" ca="1" si="7"/>
        <v>10118.888515200186</v>
      </c>
      <c r="BM20" s="48">
        <f t="shared" ca="1" si="7"/>
        <v>10118.888515200186</v>
      </c>
      <c r="BN20" s="48">
        <f t="shared" ca="1" si="7"/>
        <v>10118.888515200186</v>
      </c>
      <c r="BO20" s="48">
        <f t="shared" ca="1" si="7"/>
        <v>10118.888515200186</v>
      </c>
      <c r="BP20" s="48">
        <f t="shared" ca="1" si="7"/>
        <v>10118.888515200186</v>
      </c>
      <c r="BQ20" s="48">
        <f t="shared" ca="1" si="7"/>
        <v>10118.888515200186</v>
      </c>
      <c r="BR20" s="48">
        <f t="shared" ca="1" si="7"/>
        <v>10118.888515200186</v>
      </c>
      <c r="BS20" s="48">
        <f t="shared" ca="1" si="7"/>
        <v>10118.888515200186</v>
      </c>
      <c r="BT20" s="48">
        <f t="shared" ca="1" si="7"/>
        <v>10118.888515200186</v>
      </c>
      <c r="BU20" s="48">
        <f t="shared" ca="1" si="7"/>
        <v>10118.888515200186</v>
      </c>
      <c r="BV20" s="48">
        <f t="shared" ca="1" si="7"/>
        <v>10118.888515200186</v>
      </c>
      <c r="BW20" s="48">
        <f t="shared" ca="1" si="7"/>
        <v>10118.888515200186</v>
      </c>
    </row>
    <row r="21" spans="1:75" x14ac:dyDescent="0.3">
      <c r="A21" s="21" t="s">
        <v>1157</v>
      </c>
      <c r="AG21" s="51">
        <f ca="1">'CAPEX, Impostos e Abandono ($)'!AG24*'CAPEX, D&amp;A, Imob&amp;Intang'!AG6*1000</f>
        <v>2009729.9609999997</v>
      </c>
      <c r="AH21" s="51">
        <f ca="1">'CAPEX, Impostos e Abandono ($)'!AH24*'CAPEX, D&amp;A, Imob&amp;Intang'!AH6*1000</f>
        <v>2004187.8</v>
      </c>
      <c r="AI21" s="51">
        <f ca="1">'CAPEX, Impostos e Abandono ($)'!AI24*'CAPEX, D&amp;A, Imob&amp;Intang'!AI6*1000</f>
        <v>1622479.6627200001</v>
      </c>
      <c r="AJ21" s="51">
        <f ca="1">'CAPEX, Impostos e Abandono ($)'!AJ24*'CAPEX, D&amp;A, Imob&amp;Intang'!AJ6*1000</f>
        <v>1619345.5721639998</v>
      </c>
      <c r="AK21" s="51">
        <f ca="1">'CAPEX, Impostos e Abandono ($)'!AK24*'CAPEX, D&amp;A, Imob&amp;Intang'!AK6*1000</f>
        <v>1310063.638249008</v>
      </c>
      <c r="AL21" s="51">
        <f ca="1">'CAPEX, Impostos e Abandono ($)'!AL24*'CAPEX, D&amp;A, Imob&amp;Intang'!AL6*1000</f>
        <v>1363785.2843185915</v>
      </c>
      <c r="AM21" s="51">
        <f ca="1">'CAPEX, Impostos e Abandono ($)'!AM24*'CAPEX, D&amp;A, Imob&amp;Intang'!AM6*1000</f>
        <v>234896.3772579981</v>
      </c>
      <c r="AN21" s="51">
        <f ca="1">'CAPEX, Impostos e Abandono ($)'!AN24*'CAPEX, D&amp;A, Imob&amp;Intang'!AN6*1000</f>
        <v>241937.23628121885</v>
      </c>
      <c r="AO21" s="51">
        <f ca="1">'CAPEX, Impostos e Abandono ($)'!AO24*'CAPEX, D&amp;A, Imob&amp;Intang'!AO6*1000</f>
        <v>249201.5666330102</v>
      </c>
      <c r="AP21" s="51">
        <f ca="1">'CAPEX, Impostos e Abandono ($)'!AP24*'CAPEX, D&amp;A, Imob&amp;Intang'!AP6*1000</f>
        <v>256671.2139707451</v>
      </c>
      <c r="AQ21" s="51">
        <f ca="1">'CAPEX, Impostos e Abandono ($)'!AQ24*'CAPEX, D&amp;A, Imob&amp;Intang'!AQ6*1000</f>
        <v>264377.94204096048</v>
      </c>
      <c r="AR21" s="51">
        <f ca="1">'CAPEX, Impostos e Abandono ($)'!AR24*'CAPEX, D&amp;A, Imob&amp;Intang'!AR6*1000</f>
        <v>272302.49090156349</v>
      </c>
      <c r="AS21" s="51">
        <f ca="1">'CAPEX, Impostos e Abandono ($)'!AS24*'CAPEX, D&amp;A, Imob&amp;Intang'!AS6*1000</f>
        <v>280478.55871125503</v>
      </c>
      <c r="AT21" s="51">
        <f ca="1">'CAPEX, Impostos e Abandono ($)'!AT24*'CAPEX, D&amp;A, Imob&amp;Intang'!AT6*1000</f>
        <v>177241.14817577761</v>
      </c>
      <c r="AU21" s="51">
        <f ca="1">'CAPEX, Impostos e Abandono ($)'!AU24*'CAPEX, D&amp;A, Imob&amp;Intang'!AU6*1000</f>
        <v>182565.80158242863</v>
      </c>
      <c r="AV21" s="51">
        <f ca="1">'CAPEX, Impostos e Abandono ($)'!AV24*'CAPEX, D&amp;A, Imob&amp;Intang'!AV6*1000</f>
        <v>188035.13409968244</v>
      </c>
      <c r="AW21" s="51">
        <f ca="1">'CAPEX, Impostos e Abandono ($)'!AW24*'CAPEX, D&amp;A, Imob&amp;Intang'!AW6*1000</f>
        <v>193684.05889879851</v>
      </c>
      <c r="AX21" s="51">
        <f ca="1">'CAPEX, Impostos e Abandono ($)'!AX24*'CAPEX, D&amp;A, Imob&amp;Intang'!AX6*1000</f>
        <v>199486.4737663531</v>
      </c>
      <c r="AY21" s="51">
        <f ca="1">'CAPEX, Impostos e Abandono ($)'!AY24*'CAPEX, D&amp;A, Imob&amp;Intang'!AY6*1000</f>
        <v>205479.41808573535</v>
      </c>
      <c r="AZ21" s="51">
        <f ca="1">'CAPEX, Impostos e Abandono ($)'!AZ24*'CAPEX, D&amp;A, Imob&amp;Intang'!AZ6*1000</f>
        <v>211635.20001872399</v>
      </c>
      <c r="BA21" s="51">
        <f ca="1">'CAPEX, Impostos e Abandono ($)'!BA24*'CAPEX, D&amp;A, Imob&amp;Intang'!BA6*1000</f>
        <v>217993.11464715665</v>
      </c>
      <c r="BB21" s="51">
        <f ca="1">'CAPEX, Impostos e Abandono ($)'!BB24*'CAPEX, D&amp;A, Imob&amp;Intang'!BB6*1000</f>
        <v>224523.78369986441</v>
      </c>
      <c r="BC21" s="51">
        <f ca="1">'CAPEX, Impostos e Abandono ($)'!BC24*'CAPEX, D&amp;A, Imob&amp;Intang'!BC6*1000</f>
        <v>231268.89532916847</v>
      </c>
      <c r="BD21" s="51">
        <f ca="1">'CAPEX, Impostos e Abandono ($)'!BD24*'CAPEX, D&amp;A, Imob&amp;Intang'!BD6*1000</f>
        <v>238197.2821271861</v>
      </c>
      <c r="BE21" s="51">
        <f ca="1">'CAPEX, Impostos e Abandono ($)'!BE24*'CAPEX, D&amp;A, Imob&amp;Intang'!BE6*1000</f>
        <v>245353.17105471488</v>
      </c>
      <c r="BF21" s="51">
        <f ca="1">'CAPEX, Impostos e Abandono ($)'!BF24*'CAPEX, D&amp;A, Imob&amp;Intang'!BF6*1000</f>
        <v>252703.49660873169</v>
      </c>
      <c r="BG21" s="51">
        <f ca="1">'CAPEX, Impostos e Abandono ($)'!BG24*'CAPEX, D&amp;A, Imob&amp;Intang'!BG6*1000</f>
        <v>0</v>
      </c>
      <c r="BH21" s="51">
        <f ca="1">'CAPEX, Impostos e Abandono ($)'!BH24*'CAPEX, D&amp;A, Imob&amp;Intang'!BH6*1000</f>
        <v>0</v>
      </c>
      <c r="BI21" s="51">
        <f ca="1">'CAPEX, Impostos e Abandono ($)'!BI24*'CAPEX, D&amp;A, Imob&amp;Intang'!BI6*1000</f>
        <v>0</v>
      </c>
      <c r="BJ21" s="51">
        <f ca="1">'CAPEX, Impostos e Abandono ($)'!BJ24*'CAPEX, D&amp;A, Imob&amp;Intang'!BJ6*1000</f>
        <v>0</v>
      </c>
      <c r="BK21" s="51">
        <f ca="1">'CAPEX, Impostos e Abandono ($)'!BK24*'CAPEX, D&amp;A, Imob&amp;Intang'!BK6*1000</f>
        <v>0</v>
      </c>
      <c r="BL21" s="51">
        <f ca="1">'CAPEX, Impostos e Abandono ($)'!BL24*'CAPEX, D&amp;A, Imob&amp;Intang'!BL6*1000</f>
        <v>0</v>
      </c>
      <c r="BM21" s="51">
        <f ca="1">'CAPEX, Impostos e Abandono ($)'!BM24*'CAPEX, D&amp;A, Imob&amp;Intang'!BM6*1000</f>
        <v>0</v>
      </c>
      <c r="BN21" s="51">
        <f ca="1">'CAPEX, Impostos e Abandono ($)'!BN24*'CAPEX, D&amp;A, Imob&amp;Intang'!BN6*1000</f>
        <v>0</v>
      </c>
      <c r="BO21" s="51">
        <f ca="1">'CAPEX, Impostos e Abandono ($)'!BO24*'CAPEX, D&amp;A, Imob&amp;Intang'!BO6*1000</f>
        <v>0</v>
      </c>
      <c r="BP21" s="51">
        <f ca="1">'CAPEX, Impostos e Abandono ($)'!BP24*'CAPEX, D&amp;A, Imob&amp;Intang'!BP6*1000</f>
        <v>0</v>
      </c>
      <c r="BQ21" s="51">
        <f ca="1">'CAPEX, Impostos e Abandono ($)'!BQ24*'CAPEX, D&amp;A, Imob&amp;Intang'!BQ6*1000</f>
        <v>0</v>
      </c>
      <c r="BR21" s="51">
        <f ca="1">'CAPEX, Impostos e Abandono ($)'!BR24*'CAPEX, D&amp;A, Imob&amp;Intang'!BR6*1000</f>
        <v>0</v>
      </c>
      <c r="BS21" s="51">
        <f ca="1">'CAPEX, Impostos e Abandono ($)'!BS24*'CAPEX, D&amp;A, Imob&amp;Intang'!BS6*1000</f>
        <v>0</v>
      </c>
      <c r="BT21" s="51">
        <f ca="1">'CAPEX, Impostos e Abandono ($)'!BT24*'CAPEX, D&amp;A, Imob&amp;Intang'!BT6*1000</f>
        <v>0</v>
      </c>
      <c r="BU21" s="51">
        <f ca="1">'CAPEX, Impostos e Abandono ($)'!BU24*'CAPEX, D&amp;A, Imob&amp;Intang'!BU6*1000</f>
        <v>0</v>
      </c>
      <c r="BV21" s="51">
        <f ca="1">'CAPEX, Impostos e Abandono ($)'!BV24*'CAPEX, D&amp;A, Imob&amp;Intang'!BV6*1000</f>
        <v>0</v>
      </c>
      <c r="BW21" s="51">
        <f ca="1">'CAPEX, Impostos e Abandono ($)'!BW24*'CAPEX, D&amp;A, Imob&amp;Intang'!BW6*1000</f>
        <v>0</v>
      </c>
    </row>
    <row r="22" spans="1:75" x14ac:dyDescent="0.3">
      <c r="A22" s="21" t="s">
        <v>1158</v>
      </c>
      <c r="AG22" s="51">
        <f>AG25*100%</f>
        <v>10118.888515200186</v>
      </c>
      <c r="AH22" s="51">
        <f t="shared" ref="AH22:BW22" si="8">AH25*100%</f>
        <v>10118.888515200186</v>
      </c>
      <c r="AI22" s="51">
        <f t="shared" si="8"/>
        <v>10118.888515200186</v>
      </c>
      <c r="AJ22" s="51">
        <f t="shared" si="8"/>
        <v>10118.888515200186</v>
      </c>
      <c r="AK22" s="51">
        <f t="shared" si="8"/>
        <v>10118.888515200186</v>
      </c>
      <c r="AL22" s="51">
        <f t="shared" si="8"/>
        <v>10118.888515200186</v>
      </c>
      <c r="AM22" s="51">
        <f t="shared" si="8"/>
        <v>10118.888515200186</v>
      </c>
      <c r="AN22" s="51">
        <f t="shared" si="8"/>
        <v>10118.888515200186</v>
      </c>
      <c r="AO22" s="51">
        <f t="shared" si="8"/>
        <v>10118.888515200186</v>
      </c>
      <c r="AP22" s="51">
        <f t="shared" si="8"/>
        <v>10118.888515200186</v>
      </c>
      <c r="AQ22" s="51">
        <f t="shared" si="8"/>
        <v>10118.888515200186</v>
      </c>
      <c r="AR22" s="51">
        <f t="shared" si="8"/>
        <v>10118.888515200186</v>
      </c>
      <c r="AS22" s="51">
        <f t="shared" si="8"/>
        <v>10118.888515200186</v>
      </c>
      <c r="AT22" s="51">
        <f t="shared" si="8"/>
        <v>10118.888515200186</v>
      </c>
      <c r="AU22" s="51">
        <f t="shared" si="8"/>
        <v>10118.888515200186</v>
      </c>
      <c r="AV22" s="51">
        <f t="shared" si="8"/>
        <v>10118.888515200186</v>
      </c>
      <c r="AW22" s="51">
        <f t="shared" si="8"/>
        <v>10118.888515200186</v>
      </c>
      <c r="AX22" s="51">
        <f t="shared" si="8"/>
        <v>10118.888515200186</v>
      </c>
      <c r="AY22" s="51">
        <f t="shared" si="8"/>
        <v>10118.888515200186</v>
      </c>
      <c r="AZ22" s="51">
        <f t="shared" si="8"/>
        <v>10118.888515200186</v>
      </c>
      <c r="BA22" s="51">
        <f t="shared" si="8"/>
        <v>10118.888515200186</v>
      </c>
      <c r="BB22" s="51">
        <f t="shared" si="8"/>
        <v>10118.888515200186</v>
      </c>
      <c r="BC22" s="51">
        <f t="shared" si="8"/>
        <v>10118.888515200186</v>
      </c>
      <c r="BD22" s="51">
        <f t="shared" si="8"/>
        <v>10118.888515200186</v>
      </c>
      <c r="BE22" s="51">
        <f t="shared" si="8"/>
        <v>10118.888515200186</v>
      </c>
      <c r="BF22" s="51">
        <f t="shared" si="8"/>
        <v>10118.888515200186</v>
      </c>
      <c r="BG22" s="51">
        <f t="shared" si="8"/>
        <v>10118.888515200186</v>
      </c>
      <c r="BH22" s="51">
        <f t="shared" si="8"/>
        <v>10118.888515200186</v>
      </c>
      <c r="BI22" s="51">
        <f t="shared" si="8"/>
        <v>10118.888515200186</v>
      </c>
      <c r="BJ22" s="51">
        <f t="shared" si="8"/>
        <v>10118.888515200186</v>
      </c>
      <c r="BK22" s="51">
        <f t="shared" si="8"/>
        <v>10118.888515200186</v>
      </c>
      <c r="BL22" s="51">
        <f t="shared" si="8"/>
        <v>10118.888515200186</v>
      </c>
      <c r="BM22" s="51">
        <f t="shared" si="8"/>
        <v>10118.888515200186</v>
      </c>
      <c r="BN22" s="51">
        <f t="shared" si="8"/>
        <v>10118.888515200186</v>
      </c>
      <c r="BO22" s="51">
        <f t="shared" si="8"/>
        <v>10118.888515200186</v>
      </c>
      <c r="BP22" s="51">
        <f t="shared" si="8"/>
        <v>10118.888515200186</v>
      </c>
      <c r="BQ22" s="51">
        <f t="shared" si="8"/>
        <v>10118.888515200186</v>
      </c>
      <c r="BR22" s="51">
        <f t="shared" si="8"/>
        <v>10118.888515200186</v>
      </c>
      <c r="BS22" s="51">
        <f t="shared" si="8"/>
        <v>10118.888515200186</v>
      </c>
      <c r="BT22" s="51">
        <f t="shared" si="8"/>
        <v>10118.888515200186</v>
      </c>
      <c r="BU22" s="51">
        <f t="shared" si="8"/>
        <v>10118.888515200186</v>
      </c>
      <c r="BV22" s="51">
        <f t="shared" si="8"/>
        <v>10118.888515200186</v>
      </c>
      <c r="BW22" s="51">
        <f t="shared" si="8"/>
        <v>10118.888515200186</v>
      </c>
    </row>
    <row r="23" spans="1:75" x14ac:dyDescent="0.3">
      <c r="A23" s="5" t="s">
        <v>1155</v>
      </c>
      <c r="AG23" s="48">
        <f t="shared" ref="AG23:BW23" ca="1" si="9">SUM(AG24:AG25)</f>
        <v>732599.62606063194</v>
      </c>
      <c r="AH23" s="48">
        <f t="shared" ca="1" si="9"/>
        <v>967221.38137567288</v>
      </c>
      <c r="AI23" s="48">
        <f t="shared" ca="1" si="9"/>
        <v>1239887.9058597619</v>
      </c>
      <c r="AJ23" s="48">
        <f t="shared" ca="1" si="9"/>
        <v>1421805.1698346462</v>
      </c>
      <c r="AK23" s="48">
        <f t="shared" ca="1" si="9"/>
        <v>1668396.9542309665</v>
      </c>
      <c r="AL23" s="48">
        <f t="shared" ca="1" si="9"/>
        <v>1696368.2437285036</v>
      </c>
      <c r="AM23" s="48">
        <f t="shared" ca="1" si="9"/>
        <v>1619967.3006914214</v>
      </c>
      <c r="AN23" s="48">
        <f t="shared" ca="1" si="9"/>
        <v>1422823.2412620808</v>
      </c>
      <c r="AO23" s="48">
        <f t="shared" ca="1" si="9"/>
        <v>1270922.579922515</v>
      </c>
      <c r="AP23" s="48">
        <f t="shared" ca="1" si="9"/>
        <v>1151126.1875001309</v>
      </c>
      <c r="AQ23" s="48">
        <f t="shared" ca="1" si="9"/>
        <v>1035242.8647812475</v>
      </c>
      <c r="AR23" s="48">
        <f t="shared" ca="1" si="9"/>
        <v>923002.57115431642</v>
      </c>
      <c r="AS23" s="48">
        <f t="shared" ca="1" si="9"/>
        <v>832503.66089479032</v>
      </c>
      <c r="AT23" s="48">
        <f t="shared" ca="1" si="9"/>
        <v>775573.7099005105</v>
      </c>
      <c r="AU23" s="48">
        <f t="shared" ca="1" si="9"/>
        <v>698585.40163338732</v>
      </c>
      <c r="AV23" s="48">
        <f t="shared" ca="1" si="9"/>
        <v>577841.4565720408</v>
      </c>
      <c r="AW23" s="48">
        <f t="shared" ca="1" si="9"/>
        <v>535514.45874095999</v>
      </c>
      <c r="AX23" s="48">
        <f t="shared" ca="1" si="9"/>
        <v>501546.50442565378</v>
      </c>
      <c r="AY23" s="48">
        <f t="shared" ca="1" si="9"/>
        <v>471534.48773361498</v>
      </c>
      <c r="AZ23" s="48">
        <f t="shared" ca="1" si="9"/>
        <v>454348.67600700812</v>
      </c>
      <c r="BA23" s="48">
        <f t="shared" ca="1" si="9"/>
        <v>432990.41104656825</v>
      </c>
      <c r="BB23" s="48">
        <f t="shared" ca="1" si="9"/>
        <v>435238.59225774504</v>
      </c>
      <c r="BC23" s="48">
        <f t="shared" ca="1" si="9"/>
        <v>448867.87301679625</v>
      </c>
      <c r="BD23" s="48">
        <f t="shared" ca="1" si="9"/>
        <v>474553.78828329185</v>
      </c>
      <c r="BE23" s="48">
        <f t="shared" ca="1" si="9"/>
        <v>489476.82590447139</v>
      </c>
      <c r="BF23" s="48">
        <f t="shared" ca="1" si="9"/>
        <v>544550.51432551781</v>
      </c>
      <c r="BG23" s="48">
        <f t="shared" ca="1" si="9"/>
        <v>662844.68973790295</v>
      </c>
      <c r="BH23" s="48">
        <f t="shared" ca="1" si="9"/>
        <v>419300.95388612518</v>
      </c>
      <c r="BI23" s="48">
        <f t="shared" ca="1" si="9"/>
        <v>10118.888515200186</v>
      </c>
      <c r="BJ23" s="48">
        <f t="shared" ca="1" si="9"/>
        <v>10118.888515200186</v>
      </c>
      <c r="BK23" s="48">
        <f t="shared" ca="1" si="9"/>
        <v>10118.888515200186</v>
      </c>
      <c r="BL23" s="48">
        <f t="shared" ca="1" si="9"/>
        <v>10118.888515200186</v>
      </c>
      <c r="BM23" s="48">
        <f t="shared" ca="1" si="9"/>
        <v>10118.888515200186</v>
      </c>
      <c r="BN23" s="48">
        <f t="shared" ca="1" si="9"/>
        <v>10118.888515200186</v>
      </c>
      <c r="BO23" s="48">
        <f t="shared" ca="1" si="9"/>
        <v>10118.888515200186</v>
      </c>
      <c r="BP23" s="48">
        <f t="shared" ca="1" si="9"/>
        <v>10118.888515200186</v>
      </c>
      <c r="BQ23" s="48">
        <f t="shared" ca="1" si="9"/>
        <v>10118.888515200186</v>
      </c>
      <c r="BR23" s="48">
        <f t="shared" ca="1" si="9"/>
        <v>10118.888515200186</v>
      </c>
      <c r="BS23" s="48">
        <f t="shared" ca="1" si="9"/>
        <v>10118.888515200186</v>
      </c>
      <c r="BT23" s="48">
        <f t="shared" ca="1" si="9"/>
        <v>10118.888515200186</v>
      </c>
      <c r="BU23" s="48">
        <f t="shared" ca="1" si="9"/>
        <v>10118.888515200186</v>
      </c>
      <c r="BV23" s="48">
        <f t="shared" ca="1" si="9"/>
        <v>10118.888515200186</v>
      </c>
      <c r="BW23" s="48">
        <f t="shared" ca="1" si="9"/>
        <v>10118.888515200186</v>
      </c>
    </row>
    <row r="24" spans="1:75" x14ac:dyDescent="0.3">
      <c r="A24" s="21" t="s">
        <v>1159</v>
      </c>
      <c r="AG24" s="51">
        <f t="shared" ref="AG24:BW24" ca="1" si="10">AF17*AG11</f>
        <v>722480.73754543171</v>
      </c>
      <c r="AH24" s="51">
        <f t="shared" ca="1" si="10"/>
        <v>957102.49286047264</v>
      </c>
      <c r="AI24" s="51">
        <f t="shared" ca="1" si="10"/>
        <v>1229769.0173445616</v>
      </c>
      <c r="AJ24" s="51">
        <f t="shared" ca="1" si="10"/>
        <v>1411686.2813194459</v>
      </c>
      <c r="AK24" s="51">
        <f t="shared" ca="1" si="10"/>
        <v>1658278.0657157663</v>
      </c>
      <c r="AL24" s="51">
        <f t="shared" ca="1" si="10"/>
        <v>1686249.3552133034</v>
      </c>
      <c r="AM24" s="51">
        <f t="shared" ca="1" si="10"/>
        <v>1609848.4121762211</v>
      </c>
      <c r="AN24" s="51">
        <f t="shared" ca="1" si="10"/>
        <v>1412704.3527468806</v>
      </c>
      <c r="AO24" s="51">
        <f t="shared" ca="1" si="10"/>
        <v>1260803.6914073147</v>
      </c>
      <c r="AP24" s="51">
        <f t="shared" ca="1" si="10"/>
        <v>1141007.2989849306</v>
      </c>
      <c r="AQ24" s="51">
        <f t="shared" ca="1" si="10"/>
        <v>1025123.9762660472</v>
      </c>
      <c r="AR24" s="51">
        <f t="shared" ca="1" si="10"/>
        <v>912883.68263911619</v>
      </c>
      <c r="AS24" s="51">
        <f t="shared" ca="1" si="10"/>
        <v>822384.77237959008</v>
      </c>
      <c r="AT24" s="51">
        <f t="shared" ca="1" si="10"/>
        <v>765454.82138531026</v>
      </c>
      <c r="AU24" s="51">
        <f t="shared" ca="1" si="10"/>
        <v>688466.51311818708</v>
      </c>
      <c r="AV24" s="51">
        <f t="shared" ca="1" si="10"/>
        <v>567722.56805684057</v>
      </c>
      <c r="AW24" s="51">
        <f t="shared" ca="1" si="10"/>
        <v>525395.57022575976</v>
      </c>
      <c r="AX24" s="51">
        <f t="shared" ca="1" si="10"/>
        <v>491427.61591045361</v>
      </c>
      <c r="AY24" s="51">
        <f t="shared" ca="1" si="10"/>
        <v>461415.59921841481</v>
      </c>
      <c r="AZ24" s="51">
        <f t="shared" ca="1" si="10"/>
        <v>444229.78749180795</v>
      </c>
      <c r="BA24" s="51">
        <f t="shared" ca="1" si="10"/>
        <v>422871.52253136807</v>
      </c>
      <c r="BB24" s="51">
        <f t="shared" ca="1" si="10"/>
        <v>425119.70374254487</v>
      </c>
      <c r="BC24" s="51">
        <f t="shared" ca="1" si="10"/>
        <v>438748.98450159607</v>
      </c>
      <c r="BD24" s="51">
        <f t="shared" ca="1" si="10"/>
        <v>464434.89976809168</v>
      </c>
      <c r="BE24" s="51">
        <f t="shared" ca="1" si="10"/>
        <v>479357.93738927122</v>
      </c>
      <c r="BF24" s="51">
        <f t="shared" ca="1" si="10"/>
        <v>534431.62581031758</v>
      </c>
      <c r="BG24" s="51">
        <f t="shared" ca="1" si="10"/>
        <v>652725.80122270272</v>
      </c>
      <c r="BH24" s="51">
        <f t="shared" ca="1" si="10"/>
        <v>409182.065370925</v>
      </c>
      <c r="BI24" s="51">
        <f t="shared" ca="1" si="10"/>
        <v>0</v>
      </c>
      <c r="BJ24" s="51">
        <f t="shared" ca="1" si="10"/>
        <v>0</v>
      </c>
      <c r="BK24" s="51">
        <f t="shared" ca="1" si="10"/>
        <v>0</v>
      </c>
      <c r="BL24" s="51">
        <f t="shared" ca="1" si="10"/>
        <v>0</v>
      </c>
      <c r="BM24" s="51">
        <f t="shared" ca="1" si="10"/>
        <v>0</v>
      </c>
      <c r="BN24" s="51">
        <f t="shared" ca="1" si="10"/>
        <v>0</v>
      </c>
      <c r="BO24" s="51">
        <f t="shared" ca="1" si="10"/>
        <v>0</v>
      </c>
      <c r="BP24" s="51">
        <f t="shared" ca="1" si="10"/>
        <v>0</v>
      </c>
      <c r="BQ24" s="51">
        <f t="shared" ca="1" si="10"/>
        <v>0</v>
      </c>
      <c r="BR24" s="51">
        <f t="shared" ca="1" si="10"/>
        <v>0</v>
      </c>
      <c r="BS24" s="51">
        <f t="shared" ca="1" si="10"/>
        <v>0</v>
      </c>
      <c r="BT24" s="51">
        <f t="shared" ca="1" si="10"/>
        <v>0</v>
      </c>
      <c r="BU24" s="51">
        <f t="shared" ca="1" si="10"/>
        <v>0</v>
      </c>
      <c r="BV24" s="51">
        <f t="shared" ca="1" si="10"/>
        <v>0</v>
      </c>
      <c r="BW24" s="51">
        <f t="shared" ca="1" si="10"/>
        <v>0</v>
      </c>
    </row>
    <row r="25" spans="1:75" x14ac:dyDescent="0.3">
      <c r="A25" s="21" t="s">
        <v>1160</v>
      </c>
      <c r="AG25" s="51">
        <f t="shared" ref="AG25:BW25" si="11">AG14*AF18</f>
        <v>10118.888515200186</v>
      </c>
      <c r="AH25" s="51">
        <f t="shared" si="11"/>
        <v>10118.888515200186</v>
      </c>
      <c r="AI25" s="51">
        <f t="shared" si="11"/>
        <v>10118.888515200186</v>
      </c>
      <c r="AJ25" s="51">
        <f t="shared" si="11"/>
        <v>10118.888515200186</v>
      </c>
      <c r="AK25" s="51">
        <f t="shared" si="11"/>
        <v>10118.888515200186</v>
      </c>
      <c r="AL25" s="51">
        <f t="shared" si="11"/>
        <v>10118.888515200186</v>
      </c>
      <c r="AM25" s="51">
        <f t="shared" si="11"/>
        <v>10118.888515200186</v>
      </c>
      <c r="AN25" s="51">
        <f t="shared" si="11"/>
        <v>10118.888515200186</v>
      </c>
      <c r="AO25" s="51">
        <f t="shared" si="11"/>
        <v>10118.888515200186</v>
      </c>
      <c r="AP25" s="51">
        <f t="shared" si="11"/>
        <v>10118.888515200186</v>
      </c>
      <c r="AQ25" s="51">
        <f t="shared" si="11"/>
        <v>10118.888515200186</v>
      </c>
      <c r="AR25" s="51">
        <f t="shared" si="11"/>
        <v>10118.888515200186</v>
      </c>
      <c r="AS25" s="51">
        <f t="shared" si="11"/>
        <v>10118.888515200186</v>
      </c>
      <c r="AT25" s="51">
        <f t="shared" si="11"/>
        <v>10118.888515200186</v>
      </c>
      <c r="AU25" s="51">
        <f t="shared" si="11"/>
        <v>10118.888515200186</v>
      </c>
      <c r="AV25" s="51">
        <f t="shared" si="11"/>
        <v>10118.888515200186</v>
      </c>
      <c r="AW25" s="51">
        <f t="shared" si="11"/>
        <v>10118.888515200186</v>
      </c>
      <c r="AX25" s="51">
        <f t="shared" si="11"/>
        <v>10118.888515200186</v>
      </c>
      <c r="AY25" s="51">
        <f t="shared" si="11"/>
        <v>10118.888515200186</v>
      </c>
      <c r="AZ25" s="51">
        <f t="shared" si="11"/>
        <v>10118.888515200186</v>
      </c>
      <c r="BA25" s="51">
        <f t="shared" si="11"/>
        <v>10118.888515200186</v>
      </c>
      <c r="BB25" s="51">
        <f t="shared" si="11"/>
        <v>10118.888515200186</v>
      </c>
      <c r="BC25" s="51">
        <f t="shared" si="11"/>
        <v>10118.888515200186</v>
      </c>
      <c r="BD25" s="51">
        <f t="shared" si="11"/>
        <v>10118.888515200186</v>
      </c>
      <c r="BE25" s="51">
        <f t="shared" si="11"/>
        <v>10118.888515200186</v>
      </c>
      <c r="BF25" s="51">
        <f t="shared" si="11"/>
        <v>10118.888515200186</v>
      </c>
      <c r="BG25" s="51">
        <f t="shared" si="11"/>
        <v>10118.888515200186</v>
      </c>
      <c r="BH25" s="51">
        <f t="shared" si="11"/>
        <v>10118.888515200186</v>
      </c>
      <c r="BI25" s="51">
        <f t="shared" si="11"/>
        <v>10118.888515200186</v>
      </c>
      <c r="BJ25" s="51">
        <f t="shared" si="11"/>
        <v>10118.888515200186</v>
      </c>
      <c r="BK25" s="51">
        <f t="shared" si="11"/>
        <v>10118.888515200186</v>
      </c>
      <c r="BL25" s="51">
        <f t="shared" si="11"/>
        <v>10118.888515200186</v>
      </c>
      <c r="BM25" s="51">
        <f t="shared" si="11"/>
        <v>10118.888515200186</v>
      </c>
      <c r="BN25" s="51">
        <f t="shared" si="11"/>
        <v>10118.888515200186</v>
      </c>
      <c r="BO25" s="51">
        <f t="shared" si="11"/>
        <v>10118.888515200186</v>
      </c>
      <c r="BP25" s="51">
        <f t="shared" si="11"/>
        <v>10118.888515200186</v>
      </c>
      <c r="BQ25" s="51">
        <f t="shared" si="11"/>
        <v>10118.888515200186</v>
      </c>
      <c r="BR25" s="51">
        <f t="shared" si="11"/>
        <v>10118.888515200186</v>
      </c>
      <c r="BS25" s="51">
        <f t="shared" si="11"/>
        <v>10118.888515200186</v>
      </c>
      <c r="BT25" s="51">
        <f t="shared" si="11"/>
        <v>10118.888515200186</v>
      </c>
      <c r="BU25" s="51">
        <f t="shared" si="11"/>
        <v>10118.888515200186</v>
      </c>
      <c r="BV25" s="51">
        <f t="shared" si="11"/>
        <v>10118.888515200186</v>
      </c>
      <c r="BW25" s="51">
        <f t="shared" si="11"/>
        <v>10118.888515200186</v>
      </c>
    </row>
    <row r="26" spans="1:75" x14ac:dyDescent="0.3">
      <c r="AF26" s="266"/>
    </row>
    <row r="27" spans="1:75" x14ac:dyDescent="0.3">
      <c r="A27" s="4" t="s">
        <v>1147</v>
      </c>
      <c r="AA27" s="2"/>
      <c r="AB27" s="2"/>
      <c r="AC27" s="2"/>
      <c r="AD27" s="2"/>
      <c r="AE27" s="2"/>
      <c r="AF27" s="51">
        <f>SUM(AF29:AF50)</f>
        <v>9425123.8699999992</v>
      </c>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row>
    <row r="28" spans="1:75" x14ac:dyDescent="0.3">
      <c r="A28" s="7" t="s">
        <v>1153</v>
      </c>
      <c r="B28" s="4" t="s">
        <v>1148</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row>
    <row r="29" spans="1:75" x14ac:dyDescent="0.3">
      <c r="A29" s="21" t="s">
        <v>1130</v>
      </c>
      <c r="B29" s="265" t="s">
        <v>1149</v>
      </c>
      <c r="AA29" s="2"/>
      <c r="AB29" s="2"/>
      <c r="AC29" s="2"/>
      <c r="AD29" s="2"/>
      <c r="AE29" s="2"/>
      <c r="AF29" s="55">
        <v>15306</v>
      </c>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row>
    <row r="30" spans="1:75" x14ac:dyDescent="0.3">
      <c r="A30" s="21" t="s">
        <v>1131</v>
      </c>
      <c r="B30" s="265" t="s">
        <v>1149</v>
      </c>
      <c r="AA30" s="2"/>
      <c r="AB30" s="2"/>
      <c r="AC30" s="2"/>
      <c r="AD30" s="2"/>
      <c r="AE30" s="2"/>
      <c r="AF30" s="55">
        <v>911143</v>
      </c>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row>
    <row r="31" spans="1:75" x14ac:dyDescent="0.3">
      <c r="A31" s="21" t="s">
        <v>1132</v>
      </c>
      <c r="B31" s="265" t="s">
        <v>1149</v>
      </c>
      <c r="AA31" s="2"/>
      <c r="AB31" s="2"/>
      <c r="AC31" s="2"/>
      <c r="AD31" s="2"/>
      <c r="AE31" s="2"/>
      <c r="AF31" s="55">
        <v>431645</v>
      </c>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row>
    <row r="32" spans="1:75" x14ac:dyDescent="0.3">
      <c r="A32" s="21" t="s">
        <v>1133</v>
      </c>
      <c r="B32" s="265" t="s">
        <v>1149</v>
      </c>
      <c r="AA32" s="2"/>
      <c r="AB32" s="2"/>
      <c r="AC32" s="2"/>
      <c r="AD32" s="2"/>
      <c r="AE32" s="2"/>
      <c r="AF32" s="55">
        <v>1506510</v>
      </c>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row>
    <row r="33" spans="1:75" x14ac:dyDescent="0.3">
      <c r="A33" s="21" t="s">
        <v>636</v>
      </c>
      <c r="B33" s="265" t="s">
        <v>1149</v>
      </c>
      <c r="AA33" s="2"/>
      <c r="AB33" s="2"/>
      <c r="AC33" s="2"/>
      <c r="AD33" s="2"/>
      <c r="AE33" s="2"/>
      <c r="AF33" s="55">
        <v>544015</v>
      </c>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row>
    <row r="34" spans="1:75" x14ac:dyDescent="0.3">
      <c r="A34" s="21" t="s">
        <v>1134</v>
      </c>
      <c r="B34" s="265" t="s">
        <v>1149</v>
      </c>
      <c r="AA34" s="2"/>
      <c r="AB34" s="2"/>
      <c r="AC34" s="2"/>
      <c r="AD34" s="2"/>
      <c r="AE34" s="2"/>
      <c r="AF34" s="55">
        <v>1540371</v>
      </c>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row>
    <row r="35" spans="1:75" x14ac:dyDescent="0.3">
      <c r="A35" s="21" t="s">
        <v>1135</v>
      </c>
      <c r="B35" s="265" t="s">
        <v>1149</v>
      </c>
      <c r="AA35" s="2"/>
      <c r="AB35" s="2"/>
      <c r="AC35" s="2"/>
      <c r="AD35" s="2"/>
      <c r="AE35" s="2"/>
      <c r="AF35" s="55">
        <v>409162</v>
      </c>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3">
      <c r="A36" s="21" t="s">
        <v>1136</v>
      </c>
      <c r="B36" s="265">
        <v>3</v>
      </c>
      <c r="AA36" s="2"/>
      <c r="AB36" s="2"/>
      <c r="AC36" s="2"/>
      <c r="AD36" s="2"/>
      <c r="AE36" s="2"/>
      <c r="AF36" s="55">
        <v>266652</v>
      </c>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row>
    <row r="37" spans="1:75" x14ac:dyDescent="0.3">
      <c r="A37" s="21" t="s">
        <v>1137</v>
      </c>
      <c r="B37" s="265">
        <v>10</v>
      </c>
      <c r="AA37" s="2"/>
      <c r="AB37" s="2"/>
      <c r="AC37" s="2"/>
      <c r="AD37" s="2"/>
      <c r="AE37" s="2"/>
      <c r="AF37" s="55">
        <v>0</v>
      </c>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row>
    <row r="38" spans="1:75" x14ac:dyDescent="0.3">
      <c r="A38" s="21" t="s">
        <v>1138</v>
      </c>
      <c r="B38" s="265">
        <v>10</v>
      </c>
      <c r="AA38" s="2"/>
      <c r="AB38" s="2"/>
      <c r="AC38" s="2"/>
      <c r="AD38" s="2"/>
      <c r="AE38" s="2"/>
      <c r="AF38" s="55">
        <v>731</v>
      </c>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row>
    <row r="39" spans="1:75" x14ac:dyDescent="0.3">
      <c r="A39" s="21" t="s">
        <v>1139</v>
      </c>
      <c r="B39" s="265">
        <v>20</v>
      </c>
      <c r="AA39" s="2"/>
      <c r="AB39" s="2"/>
      <c r="AC39" s="2"/>
      <c r="AD39" s="2"/>
      <c r="AE39" s="2"/>
      <c r="AF39" s="55">
        <v>446</v>
      </c>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row>
    <row r="40" spans="1:75" x14ac:dyDescent="0.3">
      <c r="A40" s="21" t="s">
        <v>1140</v>
      </c>
      <c r="B40" s="265">
        <v>20</v>
      </c>
      <c r="AA40" s="2"/>
      <c r="AB40" s="2"/>
      <c r="AC40" s="2"/>
      <c r="AD40" s="2"/>
      <c r="AE40" s="2"/>
      <c r="AF40" s="55">
        <v>4783</v>
      </c>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row>
    <row r="41" spans="1:75" x14ac:dyDescent="0.3">
      <c r="A41" s="21" t="s">
        <v>1141</v>
      </c>
      <c r="B41" s="265">
        <v>4</v>
      </c>
      <c r="AA41" s="2"/>
      <c r="AB41" s="2"/>
      <c r="AC41" s="2"/>
      <c r="AD41" s="2"/>
      <c r="AE41" s="2"/>
      <c r="AF41" s="55">
        <v>5082</v>
      </c>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row>
    <row r="42" spans="1:75" x14ac:dyDescent="0.3">
      <c r="A42" s="7" t="s">
        <v>1142</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row>
    <row r="43" spans="1:75" x14ac:dyDescent="0.3">
      <c r="A43" s="21" t="s">
        <v>1143</v>
      </c>
      <c r="B43" s="265" t="s">
        <v>1154</v>
      </c>
      <c r="AA43" s="2"/>
      <c r="AB43" s="2"/>
      <c r="AC43" s="2"/>
      <c r="AD43" s="2"/>
      <c r="AE43" s="2"/>
      <c r="AF43" s="55">
        <v>23747</v>
      </c>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row>
    <row r="44" spans="1:75" x14ac:dyDescent="0.3">
      <c r="A44" s="21" t="s">
        <v>1144</v>
      </c>
      <c r="B44" s="265" t="s">
        <v>1149</v>
      </c>
      <c r="AA44" s="2"/>
      <c r="AB44" s="2"/>
      <c r="AC44" s="2"/>
      <c r="AD44" s="2"/>
      <c r="AE44" s="2"/>
      <c r="AF44" s="55">
        <v>343</v>
      </c>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row>
    <row r="45" spans="1:75" x14ac:dyDescent="0.3">
      <c r="A45" s="21" t="s">
        <v>1145</v>
      </c>
      <c r="B45" s="265" t="s">
        <v>1149</v>
      </c>
      <c r="AA45" s="2"/>
      <c r="AB45" s="2"/>
      <c r="AC45" s="2"/>
      <c r="AD45" s="2"/>
      <c r="AE45" s="2"/>
      <c r="AF45" s="55">
        <v>2769706</v>
      </c>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row>
    <row r="46" spans="1:75" x14ac:dyDescent="0.3">
      <c r="A46" s="21" t="s">
        <v>635</v>
      </c>
      <c r="B46" s="265" t="s">
        <v>1149</v>
      </c>
      <c r="AA46" s="2"/>
      <c r="AB46" s="2"/>
      <c r="AC46" s="2"/>
      <c r="AD46" s="2"/>
      <c r="AE46" s="2"/>
      <c r="AF46" s="55">
        <v>11997</v>
      </c>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row>
    <row r="47" spans="1:75" x14ac:dyDescent="0.3">
      <c r="A47" s="21" t="s">
        <v>636</v>
      </c>
      <c r="B47" s="265" t="s">
        <v>1149</v>
      </c>
      <c r="AA47" s="2"/>
      <c r="AB47" s="2"/>
      <c r="AC47" s="2"/>
      <c r="AD47" s="2"/>
      <c r="AE47" s="2"/>
      <c r="AF47" s="55">
        <v>0</v>
      </c>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row>
    <row r="48" spans="1:75" x14ac:dyDescent="0.3">
      <c r="A48" s="21" t="s">
        <v>1146</v>
      </c>
      <c r="B48" s="265" t="s">
        <v>1149</v>
      </c>
      <c r="AA48" s="2"/>
      <c r="AB48" s="2"/>
      <c r="AC48" s="2"/>
      <c r="AD48" s="2"/>
      <c r="AE48" s="2"/>
      <c r="AF48" s="55">
        <v>983479</v>
      </c>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row>
    <row r="49" spans="1:75" x14ac:dyDescent="0.3">
      <c r="AA49" s="2"/>
      <c r="AB49" s="2"/>
      <c r="AC49" s="2"/>
      <c r="AD49" s="2"/>
      <c r="AE49" s="2"/>
      <c r="AF49" s="55">
        <v>5.87</v>
      </c>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row>
    <row r="51" spans="1:75" s="222" customFormat="1" ht="13.8" x14ac:dyDescent="0.3">
      <c r="A51" s="222" t="s">
        <v>135</v>
      </c>
    </row>
    <row r="53" spans="1:75" x14ac:dyDescent="0.3">
      <c r="A53" s="4" t="s">
        <v>1191</v>
      </c>
      <c r="AF53" s="69">
        <f ca="1">AF11</f>
        <v>5.6073426911616042E-2</v>
      </c>
      <c r="AG53" s="69">
        <f ca="1">AG11</f>
        <v>7.9187401386018555E-2</v>
      </c>
      <c r="AH53" s="69">
        <f t="shared" ref="AH53:BW53" ca="1" si="12">AH11</f>
        <v>9.1932449877586891E-2</v>
      </c>
      <c r="AI53" s="69">
        <f t="shared" ca="1" si="12"/>
        <v>0.10732825534728185</v>
      </c>
      <c r="AJ53" s="69">
        <f t="shared" ca="1" si="12"/>
        <v>0.11912232529878741</v>
      </c>
      <c r="AK53" s="69">
        <f t="shared" ca="1" si="12"/>
        <v>0.13752071644382052</v>
      </c>
      <c r="AL53" s="69">
        <f t="shared" ca="1" si="12"/>
        <v>0.14399867262995752</v>
      </c>
      <c r="AM53" s="69">
        <f t="shared" ca="1" si="12"/>
        <v>0.14136719115440347</v>
      </c>
      <c r="AN53" s="69">
        <f t="shared" ca="1" si="12"/>
        <v>0.14109044896089068</v>
      </c>
      <c r="AO53" s="69">
        <f t="shared" ca="1" si="12"/>
        <v>0.14259275751601697</v>
      </c>
      <c r="AP53" s="69">
        <f t="shared" ca="1" si="12"/>
        <v>0.14571530334963356</v>
      </c>
      <c r="AQ53" s="69">
        <f t="shared" ca="1" si="12"/>
        <v>0.14758369983567107</v>
      </c>
      <c r="AR53" s="69">
        <f t="shared" ca="1" si="12"/>
        <v>0.14758910308368026</v>
      </c>
      <c r="AS53" s="69">
        <f t="shared" ca="1" si="12"/>
        <v>0.14831842578720936</v>
      </c>
      <c r="AT53" s="69">
        <f t="shared" ca="1" si="12"/>
        <v>0.1530047296593228</v>
      </c>
      <c r="AU53" s="69">
        <f t="shared" ca="1" si="12"/>
        <v>0.1559520301895867</v>
      </c>
      <c r="AV53" s="69">
        <f t="shared" ca="1" si="12"/>
        <v>0.14524574346664784</v>
      </c>
      <c r="AW53" s="69">
        <f t="shared" ca="1" si="12"/>
        <v>0.14887876326693555</v>
      </c>
      <c r="AX53" s="69">
        <f t="shared" ca="1" si="12"/>
        <v>0.15370058873002523</v>
      </c>
      <c r="AY53" s="69">
        <f t="shared" ca="1" si="12"/>
        <v>0.15881509794553272</v>
      </c>
      <c r="AZ53" s="69">
        <f t="shared" ca="1" si="12"/>
        <v>0.1676701124616608</v>
      </c>
      <c r="BA53" s="69">
        <f t="shared" ca="1" si="12"/>
        <v>0.17496929166097994</v>
      </c>
      <c r="BB53" s="69">
        <f t="shared" ca="1" si="12"/>
        <v>0.192191894127378</v>
      </c>
      <c r="BC53" s="69">
        <f t="shared" ca="1" si="12"/>
        <v>0.21813564875491481</v>
      </c>
      <c r="BD53" s="69">
        <f t="shared" ca="1" si="12"/>
        <v>0.25746464117338919</v>
      </c>
      <c r="BE53" s="69">
        <f t="shared" ca="1" si="12"/>
        <v>0.30384479717813051</v>
      </c>
      <c r="BF53" s="69">
        <f t="shared" ca="1" si="12"/>
        <v>0.39775030401297123</v>
      </c>
      <c r="BG53" s="69">
        <f t="shared" ca="1" si="12"/>
        <v>0.61467272421336028</v>
      </c>
      <c r="BH53" s="69">
        <f t="shared" ca="1" si="12"/>
        <v>1</v>
      </c>
      <c r="BI53" s="69">
        <f t="shared" ca="1" si="12"/>
        <v>0</v>
      </c>
      <c r="BJ53" s="69">
        <f t="shared" ca="1" si="12"/>
        <v>0</v>
      </c>
      <c r="BK53" s="69">
        <f t="shared" ca="1" si="12"/>
        <v>0</v>
      </c>
      <c r="BL53" s="69">
        <f t="shared" ca="1" si="12"/>
        <v>0</v>
      </c>
      <c r="BM53" s="69">
        <f t="shared" ca="1" si="12"/>
        <v>0</v>
      </c>
      <c r="BN53" s="69">
        <f t="shared" ca="1" si="12"/>
        <v>0</v>
      </c>
      <c r="BO53" s="69">
        <f t="shared" ca="1" si="12"/>
        <v>0</v>
      </c>
      <c r="BP53" s="69">
        <f t="shared" ca="1" si="12"/>
        <v>0</v>
      </c>
      <c r="BQ53" s="69">
        <f t="shared" ca="1" si="12"/>
        <v>0</v>
      </c>
      <c r="BR53" s="69">
        <f t="shared" ca="1" si="12"/>
        <v>0</v>
      </c>
      <c r="BS53" s="69">
        <f t="shared" ca="1" si="12"/>
        <v>0</v>
      </c>
      <c r="BT53" s="69">
        <f t="shared" ca="1" si="12"/>
        <v>0</v>
      </c>
      <c r="BU53" s="69">
        <f t="shared" ca="1" si="12"/>
        <v>0</v>
      </c>
      <c r="BV53" s="69">
        <f t="shared" ca="1" si="12"/>
        <v>0</v>
      </c>
      <c r="BW53" s="69">
        <f t="shared" si="12"/>
        <v>0</v>
      </c>
    </row>
    <row r="54" spans="1:75" x14ac:dyDescent="0.3">
      <c r="A54" s="4" t="s">
        <v>1192</v>
      </c>
      <c r="AF54" s="69">
        <f>B74/100</f>
        <v>0.2</v>
      </c>
      <c r="AG54" s="69">
        <f>AF54</f>
        <v>0.2</v>
      </c>
      <c r="AH54" s="69">
        <f t="shared" ref="AH54:BW54" si="13">AG54</f>
        <v>0.2</v>
      </c>
      <c r="AI54" s="69">
        <f t="shared" si="13"/>
        <v>0.2</v>
      </c>
      <c r="AJ54" s="69">
        <f t="shared" si="13"/>
        <v>0.2</v>
      </c>
      <c r="AK54" s="69">
        <f t="shared" si="13"/>
        <v>0.2</v>
      </c>
      <c r="AL54" s="69">
        <f t="shared" si="13"/>
        <v>0.2</v>
      </c>
      <c r="AM54" s="69">
        <f t="shared" si="13"/>
        <v>0.2</v>
      </c>
      <c r="AN54" s="69">
        <f t="shared" si="13"/>
        <v>0.2</v>
      </c>
      <c r="AO54" s="69">
        <f t="shared" si="13"/>
        <v>0.2</v>
      </c>
      <c r="AP54" s="69">
        <f t="shared" si="13"/>
        <v>0.2</v>
      </c>
      <c r="AQ54" s="69">
        <f t="shared" si="13"/>
        <v>0.2</v>
      </c>
      <c r="AR54" s="69">
        <f t="shared" si="13"/>
        <v>0.2</v>
      </c>
      <c r="AS54" s="69">
        <f t="shared" si="13"/>
        <v>0.2</v>
      </c>
      <c r="AT54" s="69">
        <f t="shared" si="13"/>
        <v>0.2</v>
      </c>
      <c r="AU54" s="69">
        <f t="shared" si="13"/>
        <v>0.2</v>
      </c>
      <c r="AV54" s="69">
        <f t="shared" si="13"/>
        <v>0.2</v>
      </c>
      <c r="AW54" s="69">
        <f t="shared" si="13"/>
        <v>0.2</v>
      </c>
      <c r="AX54" s="69">
        <f t="shared" si="13"/>
        <v>0.2</v>
      </c>
      <c r="AY54" s="69">
        <f t="shared" si="13"/>
        <v>0.2</v>
      </c>
      <c r="AZ54" s="69">
        <f t="shared" si="13"/>
        <v>0.2</v>
      </c>
      <c r="BA54" s="69">
        <f t="shared" si="13"/>
        <v>0.2</v>
      </c>
      <c r="BB54" s="69">
        <f t="shared" si="13"/>
        <v>0.2</v>
      </c>
      <c r="BC54" s="69">
        <f t="shared" si="13"/>
        <v>0.2</v>
      </c>
      <c r="BD54" s="69">
        <f t="shared" si="13"/>
        <v>0.2</v>
      </c>
      <c r="BE54" s="69">
        <f t="shared" si="13"/>
        <v>0.2</v>
      </c>
      <c r="BF54" s="69">
        <f t="shared" si="13"/>
        <v>0.2</v>
      </c>
      <c r="BG54" s="69">
        <f t="shared" si="13"/>
        <v>0.2</v>
      </c>
      <c r="BH54" s="69">
        <f t="shared" si="13"/>
        <v>0.2</v>
      </c>
      <c r="BI54" s="69">
        <f t="shared" si="13"/>
        <v>0.2</v>
      </c>
      <c r="BJ54" s="69">
        <f t="shared" si="13"/>
        <v>0.2</v>
      </c>
      <c r="BK54" s="69">
        <f t="shared" si="13"/>
        <v>0.2</v>
      </c>
      <c r="BL54" s="69">
        <f t="shared" si="13"/>
        <v>0.2</v>
      </c>
      <c r="BM54" s="69">
        <f t="shared" si="13"/>
        <v>0.2</v>
      </c>
      <c r="BN54" s="69">
        <f t="shared" si="13"/>
        <v>0.2</v>
      </c>
      <c r="BO54" s="69">
        <f t="shared" si="13"/>
        <v>0.2</v>
      </c>
      <c r="BP54" s="69">
        <f t="shared" si="13"/>
        <v>0.2</v>
      </c>
      <c r="BQ54" s="69">
        <f t="shared" si="13"/>
        <v>0.2</v>
      </c>
      <c r="BR54" s="69">
        <f t="shared" si="13"/>
        <v>0.2</v>
      </c>
      <c r="BS54" s="69">
        <f t="shared" si="13"/>
        <v>0.2</v>
      </c>
      <c r="BT54" s="69">
        <f t="shared" si="13"/>
        <v>0.2</v>
      </c>
      <c r="BU54" s="69">
        <f t="shared" si="13"/>
        <v>0.2</v>
      </c>
      <c r="BV54" s="69">
        <f t="shared" si="13"/>
        <v>0.2</v>
      </c>
      <c r="BW54" s="69">
        <f t="shared" si="13"/>
        <v>0.2</v>
      </c>
    </row>
    <row r="56" spans="1:75" s="34" customFormat="1" x14ac:dyDescent="0.3">
      <c r="A56" s="4" t="s">
        <v>1147</v>
      </c>
      <c r="B56" s="4"/>
      <c r="C56" s="4"/>
      <c r="D56" s="4"/>
      <c r="E56" s="4"/>
      <c r="F56" s="4"/>
      <c r="G56" s="4"/>
      <c r="H56" s="4"/>
      <c r="I56" s="4"/>
      <c r="J56" s="4"/>
      <c r="K56" s="4"/>
      <c r="L56" s="4"/>
      <c r="M56" s="4"/>
      <c r="N56" s="4"/>
      <c r="O56" s="4"/>
      <c r="P56" s="4"/>
      <c r="Q56" s="4"/>
      <c r="R56" s="4"/>
      <c r="S56" s="4"/>
      <c r="T56" s="4"/>
      <c r="U56" s="4"/>
      <c r="V56" s="4"/>
      <c r="W56" s="4"/>
      <c r="X56" s="4"/>
      <c r="Y56" s="4"/>
      <c r="Z56" s="4"/>
      <c r="AF56" s="48">
        <f>'Balanço Planilhado'!AF32</f>
        <v>10914878</v>
      </c>
      <c r="AG56" s="48">
        <f ca="1">AG57+AG58</f>
        <v>10050578.634520352</v>
      </c>
      <c r="AH56" s="48">
        <f t="shared" ref="AH56:BW56" ca="1" si="14">AH57+AH58</f>
        <v>9126629.2316554803</v>
      </c>
      <c r="AI56" s="48">
        <f t="shared" ca="1" si="14"/>
        <v>8147113.1249775933</v>
      </c>
      <c r="AJ56" s="48">
        <f t="shared" ca="1" si="14"/>
        <v>7176642.3472081479</v>
      </c>
      <c r="AK56" s="48">
        <f t="shared" ca="1" si="14"/>
        <v>6189742.6180731775</v>
      </c>
      <c r="AL56" s="48">
        <f t="shared" ca="1" si="14"/>
        <v>5298466.9207898444</v>
      </c>
      <c r="AM56" s="48">
        <f t="shared" ca="1" si="14"/>
        <v>4549475.8452820657</v>
      </c>
      <c r="AN56" s="48">
        <f t="shared" ca="1" si="14"/>
        <v>3907626.4912461597</v>
      </c>
      <c r="AO56" s="48">
        <f t="shared" ca="1" si="14"/>
        <v>3350465.8971540187</v>
      </c>
      <c r="AP56" s="48">
        <f t="shared" ca="1" si="14"/>
        <v>2862291.2314348267</v>
      </c>
      <c r="AQ56" s="48">
        <f t="shared" ca="1" si="14"/>
        <v>2439903.6966751316</v>
      </c>
      <c r="AR56" s="48">
        <f t="shared" ca="1" si="14"/>
        <v>2079840.4951192287</v>
      </c>
      <c r="AS56" s="48">
        <f t="shared" ca="1" si="14"/>
        <v>1771402.0212880429</v>
      </c>
      <c r="AT56" s="48">
        <f t="shared" ca="1" si="14"/>
        <v>1500410.5981846256</v>
      </c>
      <c r="AU56" s="48">
        <f t="shared" ca="1" si="14"/>
        <v>1266460.7822799424</v>
      </c>
      <c r="AV56" s="48">
        <f t="shared" ca="1" si="14"/>
        <v>1082552.1059828191</v>
      </c>
      <c r="AW56" s="48">
        <f t="shared" ca="1" si="14"/>
        <v>921423.43341692584</v>
      </c>
      <c r="AX56" s="48">
        <f t="shared" ca="1" si="14"/>
        <v>779841.76209064899</v>
      </c>
      <c r="AY56" s="48">
        <f t="shared" ca="1" si="14"/>
        <v>656034.15515374904</v>
      </c>
      <c r="AZ56" s="48">
        <f t="shared" ca="1" si="14"/>
        <v>546082.27318090643</v>
      </c>
      <c r="BA56" s="48">
        <f t="shared" ca="1" si="14"/>
        <v>450582.06133186561</v>
      </c>
      <c r="BB56" s="48">
        <f t="shared" ca="1" si="14"/>
        <v>364035.92550798447</v>
      </c>
      <c r="BC56" s="48">
        <f t="shared" ca="1" si="14"/>
        <v>284685.82748801704</v>
      </c>
      <c r="BD56" s="48">
        <f t="shared" ca="1" si="14"/>
        <v>211459.06598442333</v>
      </c>
      <c r="BE56" s="48">
        <f t="shared" ca="1" si="14"/>
        <v>147290.67090894456</v>
      </c>
      <c r="BF56" s="48">
        <f t="shared" ca="1" si="14"/>
        <v>88813.55210902488</v>
      </c>
      <c r="BG56" s="48">
        <f t="shared" ca="1" si="14"/>
        <v>34388.860395367148</v>
      </c>
      <c r="BH56" s="48">
        <f t="shared" ca="1" si="14"/>
        <v>271</v>
      </c>
      <c r="BI56" s="48">
        <f t="shared" ca="1" si="14"/>
        <v>271</v>
      </c>
      <c r="BJ56" s="48">
        <f t="shared" ca="1" si="14"/>
        <v>271</v>
      </c>
      <c r="BK56" s="48">
        <f t="shared" ca="1" si="14"/>
        <v>271</v>
      </c>
      <c r="BL56" s="48">
        <f t="shared" ca="1" si="14"/>
        <v>271</v>
      </c>
      <c r="BM56" s="48">
        <f t="shared" ca="1" si="14"/>
        <v>271</v>
      </c>
      <c r="BN56" s="48">
        <f t="shared" ca="1" si="14"/>
        <v>271</v>
      </c>
      <c r="BO56" s="48">
        <f t="shared" ca="1" si="14"/>
        <v>271</v>
      </c>
      <c r="BP56" s="48">
        <f t="shared" ca="1" si="14"/>
        <v>271</v>
      </c>
      <c r="BQ56" s="48">
        <f t="shared" ca="1" si="14"/>
        <v>271</v>
      </c>
      <c r="BR56" s="48">
        <f t="shared" ca="1" si="14"/>
        <v>271</v>
      </c>
      <c r="BS56" s="48">
        <f t="shared" ca="1" si="14"/>
        <v>271</v>
      </c>
      <c r="BT56" s="48">
        <f t="shared" ca="1" si="14"/>
        <v>271</v>
      </c>
      <c r="BU56" s="48">
        <f t="shared" ca="1" si="14"/>
        <v>271</v>
      </c>
      <c r="BV56" s="48">
        <f t="shared" ca="1" si="14"/>
        <v>271</v>
      </c>
      <c r="BW56" s="48">
        <f t="shared" ca="1" si="14"/>
        <v>271</v>
      </c>
    </row>
    <row r="57" spans="1:75" x14ac:dyDescent="0.3">
      <c r="A57" s="5" t="s">
        <v>1159</v>
      </c>
      <c r="AF57" s="51">
        <f>AF66-AF74</f>
        <v>10914607</v>
      </c>
      <c r="AG57" s="51">
        <f ca="1">AF57-AG63</f>
        <v>10050307.634520352</v>
      </c>
      <c r="AH57" s="51">
        <f t="shared" ref="AH57:BW57" ca="1" si="15">AG57-AH63</f>
        <v>9126358.2316554803</v>
      </c>
      <c r="AI57" s="51">
        <f t="shared" ca="1" si="15"/>
        <v>8146842.1249775933</v>
      </c>
      <c r="AJ57" s="51">
        <f t="shared" ca="1" si="15"/>
        <v>7176371.3472081479</v>
      </c>
      <c r="AK57" s="51">
        <f t="shared" ca="1" si="15"/>
        <v>6189471.6180731775</v>
      </c>
      <c r="AL57" s="51">
        <f t="shared" ca="1" si="15"/>
        <v>5298195.9207898444</v>
      </c>
      <c r="AM57" s="51">
        <f t="shared" ca="1" si="15"/>
        <v>4549204.8452820657</v>
      </c>
      <c r="AN57" s="51">
        <f t="shared" ca="1" si="15"/>
        <v>3907355.4912461597</v>
      </c>
      <c r="AO57" s="51">
        <f t="shared" ca="1" si="15"/>
        <v>3350194.8971540187</v>
      </c>
      <c r="AP57" s="51">
        <f t="shared" ca="1" si="15"/>
        <v>2862020.2314348267</v>
      </c>
      <c r="AQ57" s="51">
        <f t="shared" ca="1" si="15"/>
        <v>2439632.6966751316</v>
      </c>
      <c r="AR57" s="51">
        <f t="shared" ca="1" si="15"/>
        <v>2079569.4951192287</v>
      </c>
      <c r="AS57" s="51">
        <f t="shared" ca="1" si="15"/>
        <v>1771131.0212880429</v>
      </c>
      <c r="AT57" s="51">
        <f t="shared" ca="1" si="15"/>
        <v>1500139.5981846256</v>
      </c>
      <c r="AU57" s="51">
        <f t="shared" ca="1" si="15"/>
        <v>1266189.7822799424</v>
      </c>
      <c r="AV57" s="51">
        <f t="shared" ca="1" si="15"/>
        <v>1082281.1059828191</v>
      </c>
      <c r="AW57" s="51">
        <f t="shared" ca="1" si="15"/>
        <v>921152.43341692584</v>
      </c>
      <c r="AX57" s="51">
        <f t="shared" ca="1" si="15"/>
        <v>779570.76209064899</v>
      </c>
      <c r="AY57" s="51">
        <f t="shared" ca="1" si="15"/>
        <v>655763.15515374904</v>
      </c>
      <c r="AZ57" s="51">
        <f t="shared" ca="1" si="15"/>
        <v>545811.27318090643</v>
      </c>
      <c r="BA57" s="51">
        <f t="shared" ca="1" si="15"/>
        <v>450311.06133186561</v>
      </c>
      <c r="BB57" s="51">
        <f t="shared" ca="1" si="15"/>
        <v>363764.92550798447</v>
      </c>
      <c r="BC57" s="51">
        <f t="shared" ca="1" si="15"/>
        <v>284414.82748801704</v>
      </c>
      <c r="BD57" s="51">
        <f t="shared" ca="1" si="15"/>
        <v>211188.06598442333</v>
      </c>
      <c r="BE57" s="51">
        <f t="shared" ca="1" si="15"/>
        <v>147019.67090894456</v>
      </c>
      <c r="BF57" s="51">
        <f t="shared" ca="1" si="15"/>
        <v>88542.55210902488</v>
      </c>
      <c r="BG57" s="51">
        <f t="shared" ca="1" si="15"/>
        <v>34117.860395367148</v>
      </c>
      <c r="BH57" s="51">
        <f t="shared" ca="1" si="15"/>
        <v>0</v>
      </c>
      <c r="BI57" s="51">
        <f t="shared" ca="1" si="15"/>
        <v>0</v>
      </c>
      <c r="BJ57" s="51">
        <f t="shared" ca="1" si="15"/>
        <v>0</v>
      </c>
      <c r="BK57" s="51">
        <f t="shared" ca="1" si="15"/>
        <v>0</v>
      </c>
      <c r="BL57" s="51">
        <f t="shared" ca="1" si="15"/>
        <v>0</v>
      </c>
      <c r="BM57" s="51">
        <f t="shared" ca="1" si="15"/>
        <v>0</v>
      </c>
      <c r="BN57" s="51">
        <f t="shared" ca="1" si="15"/>
        <v>0</v>
      </c>
      <c r="BO57" s="51">
        <f t="shared" ca="1" si="15"/>
        <v>0</v>
      </c>
      <c r="BP57" s="51">
        <f t="shared" ca="1" si="15"/>
        <v>0</v>
      </c>
      <c r="BQ57" s="51">
        <f t="shared" ca="1" si="15"/>
        <v>0</v>
      </c>
      <c r="BR57" s="51">
        <f t="shared" ca="1" si="15"/>
        <v>0</v>
      </c>
      <c r="BS57" s="51">
        <f t="shared" ca="1" si="15"/>
        <v>0</v>
      </c>
      <c r="BT57" s="51">
        <f t="shared" ca="1" si="15"/>
        <v>0</v>
      </c>
      <c r="BU57" s="51">
        <f t="shared" ca="1" si="15"/>
        <v>0</v>
      </c>
      <c r="BV57" s="51">
        <f t="shared" ca="1" si="15"/>
        <v>0</v>
      </c>
      <c r="BW57" s="51">
        <f t="shared" ca="1" si="15"/>
        <v>0</v>
      </c>
    </row>
    <row r="58" spans="1:75" x14ac:dyDescent="0.3">
      <c r="A58" s="5" t="s">
        <v>1160</v>
      </c>
      <c r="AF58" s="51">
        <f>AF74</f>
        <v>271</v>
      </c>
      <c r="AG58" s="51">
        <f>AF58+AG61-AG64</f>
        <v>271</v>
      </c>
      <c r="AH58" s="51">
        <f t="shared" ref="AH58:BW58" si="16">AG58+AH61-AH64</f>
        <v>271</v>
      </c>
      <c r="AI58" s="51">
        <f t="shared" si="16"/>
        <v>271</v>
      </c>
      <c r="AJ58" s="51">
        <f t="shared" si="16"/>
        <v>271</v>
      </c>
      <c r="AK58" s="51">
        <f t="shared" si="16"/>
        <v>271</v>
      </c>
      <c r="AL58" s="51">
        <f t="shared" si="16"/>
        <v>271</v>
      </c>
      <c r="AM58" s="51">
        <f t="shared" si="16"/>
        <v>271</v>
      </c>
      <c r="AN58" s="51">
        <f t="shared" si="16"/>
        <v>271</v>
      </c>
      <c r="AO58" s="51">
        <f t="shared" si="16"/>
        <v>271</v>
      </c>
      <c r="AP58" s="51">
        <f t="shared" si="16"/>
        <v>271</v>
      </c>
      <c r="AQ58" s="51">
        <f t="shared" si="16"/>
        <v>271</v>
      </c>
      <c r="AR58" s="51">
        <f t="shared" si="16"/>
        <v>271</v>
      </c>
      <c r="AS58" s="51">
        <f t="shared" si="16"/>
        <v>271</v>
      </c>
      <c r="AT58" s="51">
        <f t="shared" si="16"/>
        <v>271</v>
      </c>
      <c r="AU58" s="51">
        <f t="shared" si="16"/>
        <v>271</v>
      </c>
      <c r="AV58" s="51">
        <f t="shared" si="16"/>
        <v>271</v>
      </c>
      <c r="AW58" s="51">
        <f t="shared" si="16"/>
        <v>271</v>
      </c>
      <c r="AX58" s="51">
        <f t="shared" si="16"/>
        <v>271</v>
      </c>
      <c r="AY58" s="51">
        <f t="shared" si="16"/>
        <v>271</v>
      </c>
      <c r="AZ58" s="51">
        <f t="shared" si="16"/>
        <v>271</v>
      </c>
      <c r="BA58" s="51">
        <f t="shared" si="16"/>
        <v>271</v>
      </c>
      <c r="BB58" s="51">
        <f t="shared" si="16"/>
        <v>271</v>
      </c>
      <c r="BC58" s="51">
        <f t="shared" si="16"/>
        <v>271</v>
      </c>
      <c r="BD58" s="51">
        <f t="shared" si="16"/>
        <v>271</v>
      </c>
      <c r="BE58" s="51">
        <f t="shared" si="16"/>
        <v>271</v>
      </c>
      <c r="BF58" s="51">
        <f t="shared" si="16"/>
        <v>271</v>
      </c>
      <c r="BG58" s="51">
        <f t="shared" si="16"/>
        <v>271</v>
      </c>
      <c r="BH58" s="51">
        <f t="shared" si="16"/>
        <v>271</v>
      </c>
      <c r="BI58" s="51">
        <f t="shared" si="16"/>
        <v>271</v>
      </c>
      <c r="BJ58" s="51">
        <f t="shared" si="16"/>
        <v>271</v>
      </c>
      <c r="BK58" s="51">
        <f t="shared" si="16"/>
        <v>271</v>
      </c>
      <c r="BL58" s="51">
        <f t="shared" si="16"/>
        <v>271</v>
      </c>
      <c r="BM58" s="51">
        <f t="shared" si="16"/>
        <v>271</v>
      </c>
      <c r="BN58" s="51">
        <f t="shared" si="16"/>
        <v>271</v>
      </c>
      <c r="BO58" s="51">
        <f t="shared" si="16"/>
        <v>271</v>
      </c>
      <c r="BP58" s="51">
        <f t="shared" si="16"/>
        <v>271</v>
      </c>
      <c r="BQ58" s="51">
        <f t="shared" si="16"/>
        <v>271</v>
      </c>
      <c r="BR58" s="51">
        <f t="shared" si="16"/>
        <v>271</v>
      </c>
      <c r="BS58" s="51">
        <f t="shared" si="16"/>
        <v>271</v>
      </c>
      <c r="BT58" s="51">
        <f t="shared" si="16"/>
        <v>271</v>
      </c>
      <c r="BU58" s="51">
        <f t="shared" si="16"/>
        <v>271</v>
      </c>
      <c r="BV58" s="51">
        <f t="shared" si="16"/>
        <v>271</v>
      </c>
      <c r="BW58" s="51">
        <f t="shared" si="16"/>
        <v>271</v>
      </c>
    </row>
    <row r="59" spans="1:75" x14ac:dyDescent="0.3">
      <c r="A59" s="1"/>
    </row>
    <row r="60" spans="1:75" s="34" customFormat="1" x14ac:dyDescent="0.3">
      <c r="A60" s="7" t="s">
        <v>1161</v>
      </c>
      <c r="B60" s="4"/>
      <c r="C60" s="4"/>
      <c r="D60" s="4"/>
      <c r="E60" s="4"/>
      <c r="F60" s="4"/>
      <c r="G60" s="4"/>
      <c r="H60" s="4"/>
      <c r="I60" s="4"/>
      <c r="J60" s="4"/>
      <c r="K60" s="4"/>
      <c r="L60" s="4"/>
      <c r="M60" s="4"/>
      <c r="N60" s="4"/>
      <c r="O60" s="4"/>
      <c r="P60" s="4"/>
      <c r="Q60" s="4"/>
      <c r="R60" s="4"/>
      <c r="S60" s="4"/>
      <c r="T60" s="4"/>
      <c r="U60" s="4"/>
      <c r="V60" s="4"/>
      <c r="W60" s="4"/>
      <c r="X60" s="4"/>
      <c r="Y60" s="4"/>
      <c r="Z60" s="4"/>
      <c r="AG60" s="48">
        <f>AG61</f>
        <v>54.2</v>
      </c>
      <c r="AH60" s="48">
        <f t="shared" ref="AH60:BW60" si="17">AH61</f>
        <v>54.2</v>
      </c>
      <c r="AI60" s="48">
        <f t="shared" si="17"/>
        <v>54.2</v>
      </c>
      <c r="AJ60" s="48">
        <f t="shared" si="17"/>
        <v>54.2</v>
      </c>
      <c r="AK60" s="48">
        <f t="shared" si="17"/>
        <v>54.2</v>
      </c>
      <c r="AL60" s="48">
        <f t="shared" si="17"/>
        <v>54.2</v>
      </c>
      <c r="AM60" s="48">
        <f t="shared" si="17"/>
        <v>54.2</v>
      </c>
      <c r="AN60" s="48">
        <f t="shared" si="17"/>
        <v>54.2</v>
      </c>
      <c r="AO60" s="48">
        <f t="shared" si="17"/>
        <v>54.2</v>
      </c>
      <c r="AP60" s="48">
        <f t="shared" si="17"/>
        <v>54.2</v>
      </c>
      <c r="AQ60" s="48">
        <f t="shared" si="17"/>
        <v>54.2</v>
      </c>
      <c r="AR60" s="48">
        <f t="shared" si="17"/>
        <v>54.2</v>
      </c>
      <c r="AS60" s="48">
        <f t="shared" si="17"/>
        <v>54.2</v>
      </c>
      <c r="AT60" s="48">
        <f t="shared" si="17"/>
        <v>54.2</v>
      </c>
      <c r="AU60" s="48">
        <f t="shared" si="17"/>
        <v>54.2</v>
      </c>
      <c r="AV60" s="48">
        <f t="shared" si="17"/>
        <v>54.2</v>
      </c>
      <c r="AW60" s="48">
        <f t="shared" si="17"/>
        <v>54.2</v>
      </c>
      <c r="AX60" s="48">
        <f t="shared" si="17"/>
        <v>54.2</v>
      </c>
      <c r="AY60" s="48">
        <f t="shared" si="17"/>
        <v>54.2</v>
      </c>
      <c r="AZ60" s="48">
        <f t="shared" si="17"/>
        <v>54.2</v>
      </c>
      <c r="BA60" s="48">
        <f t="shared" si="17"/>
        <v>54.2</v>
      </c>
      <c r="BB60" s="48">
        <f t="shared" si="17"/>
        <v>54.2</v>
      </c>
      <c r="BC60" s="48">
        <f t="shared" si="17"/>
        <v>54.2</v>
      </c>
      <c r="BD60" s="48">
        <f t="shared" si="17"/>
        <v>54.2</v>
      </c>
      <c r="BE60" s="48">
        <f t="shared" si="17"/>
        <v>54.2</v>
      </c>
      <c r="BF60" s="48">
        <f t="shared" si="17"/>
        <v>54.2</v>
      </c>
      <c r="BG60" s="48">
        <f t="shared" si="17"/>
        <v>54.2</v>
      </c>
      <c r="BH60" s="48">
        <f t="shared" si="17"/>
        <v>54.2</v>
      </c>
      <c r="BI60" s="48">
        <f t="shared" si="17"/>
        <v>54.2</v>
      </c>
      <c r="BJ60" s="48">
        <f t="shared" si="17"/>
        <v>54.2</v>
      </c>
      <c r="BK60" s="48">
        <f t="shared" si="17"/>
        <v>54.2</v>
      </c>
      <c r="BL60" s="48">
        <f t="shared" si="17"/>
        <v>54.2</v>
      </c>
      <c r="BM60" s="48">
        <f t="shared" si="17"/>
        <v>54.2</v>
      </c>
      <c r="BN60" s="48">
        <f t="shared" si="17"/>
        <v>54.2</v>
      </c>
      <c r="BO60" s="48">
        <f t="shared" si="17"/>
        <v>54.2</v>
      </c>
      <c r="BP60" s="48">
        <f t="shared" si="17"/>
        <v>54.2</v>
      </c>
      <c r="BQ60" s="48">
        <f t="shared" si="17"/>
        <v>54.2</v>
      </c>
      <c r="BR60" s="48">
        <f t="shared" si="17"/>
        <v>54.2</v>
      </c>
      <c r="BS60" s="48">
        <f t="shared" si="17"/>
        <v>54.2</v>
      </c>
      <c r="BT60" s="48">
        <f t="shared" si="17"/>
        <v>54.2</v>
      </c>
      <c r="BU60" s="48">
        <f t="shared" si="17"/>
        <v>54.2</v>
      </c>
      <c r="BV60" s="48">
        <f t="shared" si="17"/>
        <v>54.2</v>
      </c>
      <c r="BW60" s="48">
        <f t="shared" si="17"/>
        <v>54.2</v>
      </c>
    </row>
    <row r="61" spans="1:75" x14ac:dyDescent="0.3">
      <c r="A61" s="21" t="s">
        <v>1158</v>
      </c>
      <c r="AG61" s="51">
        <f>AG64*100%</f>
        <v>54.2</v>
      </c>
      <c r="AH61" s="51">
        <f t="shared" ref="AH61:BW61" si="18">AH64*100%</f>
        <v>54.2</v>
      </c>
      <c r="AI61" s="51">
        <f t="shared" si="18"/>
        <v>54.2</v>
      </c>
      <c r="AJ61" s="51">
        <f t="shared" si="18"/>
        <v>54.2</v>
      </c>
      <c r="AK61" s="51">
        <f t="shared" si="18"/>
        <v>54.2</v>
      </c>
      <c r="AL61" s="51">
        <f t="shared" si="18"/>
        <v>54.2</v>
      </c>
      <c r="AM61" s="51">
        <f t="shared" si="18"/>
        <v>54.2</v>
      </c>
      <c r="AN61" s="51">
        <f t="shared" si="18"/>
        <v>54.2</v>
      </c>
      <c r="AO61" s="51">
        <f t="shared" si="18"/>
        <v>54.2</v>
      </c>
      <c r="AP61" s="51">
        <f t="shared" si="18"/>
        <v>54.2</v>
      </c>
      <c r="AQ61" s="51">
        <f t="shared" si="18"/>
        <v>54.2</v>
      </c>
      <c r="AR61" s="51">
        <f t="shared" si="18"/>
        <v>54.2</v>
      </c>
      <c r="AS61" s="51">
        <f t="shared" si="18"/>
        <v>54.2</v>
      </c>
      <c r="AT61" s="51">
        <f t="shared" si="18"/>
        <v>54.2</v>
      </c>
      <c r="AU61" s="51">
        <f t="shared" si="18"/>
        <v>54.2</v>
      </c>
      <c r="AV61" s="51">
        <f t="shared" si="18"/>
        <v>54.2</v>
      </c>
      <c r="AW61" s="51">
        <f t="shared" si="18"/>
        <v>54.2</v>
      </c>
      <c r="AX61" s="51">
        <f t="shared" si="18"/>
        <v>54.2</v>
      </c>
      <c r="AY61" s="51">
        <f t="shared" si="18"/>
        <v>54.2</v>
      </c>
      <c r="AZ61" s="51">
        <f t="shared" si="18"/>
        <v>54.2</v>
      </c>
      <c r="BA61" s="51">
        <f t="shared" si="18"/>
        <v>54.2</v>
      </c>
      <c r="BB61" s="51">
        <f t="shared" si="18"/>
        <v>54.2</v>
      </c>
      <c r="BC61" s="51">
        <f t="shared" si="18"/>
        <v>54.2</v>
      </c>
      <c r="BD61" s="51">
        <f t="shared" si="18"/>
        <v>54.2</v>
      </c>
      <c r="BE61" s="51">
        <f t="shared" si="18"/>
        <v>54.2</v>
      </c>
      <c r="BF61" s="51">
        <f t="shared" si="18"/>
        <v>54.2</v>
      </c>
      <c r="BG61" s="51">
        <f t="shared" si="18"/>
        <v>54.2</v>
      </c>
      <c r="BH61" s="51">
        <f t="shared" si="18"/>
        <v>54.2</v>
      </c>
      <c r="BI61" s="51">
        <f t="shared" si="18"/>
        <v>54.2</v>
      </c>
      <c r="BJ61" s="51">
        <f t="shared" si="18"/>
        <v>54.2</v>
      </c>
      <c r="BK61" s="51">
        <f t="shared" si="18"/>
        <v>54.2</v>
      </c>
      <c r="BL61" s="51">
        <f t="shared" si="18"/>
        <v>54.2</v>
      </c>
      <c r="BM61" s="51">
        <f t="shared" si="18"/>
        <v>54.2</v>
      </c>
      <c r="BN61" s="51">
        <f t="shared" si="18"/>
        <v>54.2</v>
      </c>
      <c r="BO61" s="51">
        <f t="shared" si="18"/>
        <v>54.2</v>
      </c>
      <c r="BP61" s="51">
        <f t="shared" si="18"/>
        <v>54.2</v>
      </c>
      <c r="BQ61" s="51">
        <f t="shared" si="18"/>
        <v>54.2</v>
      </c>
      <c r="BR61" s="51">
        <f t="shared" si="18"/>
        <v>54.2</v>
      </c>
      <c r="BS61" s="51">
        <f t="shared" si="18"/>
        <v>54.2</v>
      </c>
      <c r="BT61" s="51">
        <f t="shared" si="18"/>
        <v>54.2</v>
      </c>
      <c r="BU61" s="51">
        <f t="shared" si="18"/>
        <v>54.2</v>
      </c>
      <c r="BV61" s="51">
        <f t="shared" si="18"/>
        <v>54.2</v>
      </c>
      <c r="BW61" s="51">
        <f t="shared" si="18"/>
        <v>54.2</v>
      </c>
    </row>
    <row r="62" spans="1:75" s="34" customFormat="1" x14ac:dyDescent="0.3">
      <c r="A62" s="7" t="s">
        <v>1193</v>
      </c>
      <c r="B62" s="4"/>
      <c r="C62" s="4"/>
      <c r="D62" s="4"/>
      <c r="E62" s="4"/>
      <c r="F62" s="4"/>
      <c r="G62" s="4"/>
      <c r="H62" s="4"/>
      <c r="I62" s="4"/>
      <c r="J62" s="4"/>
      <c r="K62" s="4"/>
      <c r="L62" s="4"/>
      <c r="M62" s="4"/>
      <c r="N62" s="4"/>
      <c r="O62" s="4"/>
      <c r="P62" s="4"/>
      <c r="Q62" s="4"/>
      <c r="R62" s="4"/>
      <c r="S62" s="4"/>
      <c r="T62" s="4"/>
      <c r="U62" s="4"/>
      <c r="V62" s="4"/>
      <c r="W62" s="4"/>
      <c r="X62" s="4"/>
      <c r="Y62" s="4"/>
      <c r="Z62" s="4"/>
      <c r="AG62" s="48">
        <f ca="1">AG63+AG64</f>
        <v>864353.56547964772</v>
      </c>
      <c r="AH62" s="48">
        <f t="shared" ref="AH62:BW62" ca="1" si="19">AH63+AH64</f>
        <v>924003.60286487103</v>
      </c>
      <c r="AI62" s="48">
        <f t="shared" ca="1" si="19"/>
        <v>979570.30667788698</v>
      </c>
      <c r="AJ62" s="48">
        <f t="shared" ca="1" si="19"/>
        <v>970524.97776944528</v>
      </c>
      <c r="AK62" s="48">
        <f t="shared" ca="1" si="19"/>
        <v>986953.92913496995</v>
      </c>
      <c r="AL62" s="48">
        <f t="shared" ca="1" si="19"/>
        <v>891329.89728333289</v>
      </c>
      <c r="AM62" s="48">
        <f t="shared" ca="1" si="19"/>
        <v>749045.27550777851</v>
      </c>
      <c r="AN62" s="48">
        <f t="shared" ca="1" si="19"/>
        <v>641903.55403590587</v>
      </c>
      <c r="AO62" s="48">
        <f t="shared" ca="1" si="19"/>
        <v>557214.79409214098</v>
      </c>
      <c r="AP62" s="48">
        <f t="shared" ca="1" si="19"/>
        <v>488228.86571919225</v>
      </c>
      <c r="AQ62" s="48">
        <f t="shared" ca="1" si="19"/>
        <v>422441.73475969536</v>
      </c>
      <c r="AR62" s="48">
        <f t="shared" ca="1" si="19"/>
        <v>360117.40155590285</v>
      </c>
      <c r="AS62" s="48">
        <f t="shared" ca="1" si="19"/>
        <v>308492.67383118579</v>
      </c>
      <c r="AT62" s="48">
        <f t="shared" ca="1" si="19"/>
        <v>271045.62310341728</v>
      </c>
      <c r="AU62" s="48">
        <f t="shared" ca="1" si="19"/>
        <v>234004.01590468321</v>
      </c>
      <c r="AV62" s="48">
        <f t="shared" ca="1" si="19"/>
        <v>183962.87629712321</v>
      </c>
      <c r="AW62" s="48">
        <f t="shared" ca="1" si="19"/>
        <v>161182.87256589334</v>
      </c>
      <c r="AX62" s="48">
        <f t="shared" ca="1" si="19"/>
        <v>141635.87132627689</v>
      </c>
      <c r="AY62" s="48">
        <f t="shared" ca="1" si="19"/>
        <v>123861.8069369</v>
      </c>
      <c r="AZ62" s="48">
        <f t="shared" ca="1" si="19"/>
        <v>110006.08197284263</v>
      </c>
      <c r="BA62" s="48">
        <f t="shared" ca="1" si="19"/>
        <v>95554.411849040815</v>
      </c>
      <c r="BB62" s="48">
        <f t="shared" ca="1" si="19"/>
        <v>86600.335823881134</v>
      </c>
      <c r="BC62" s="48">
        <f t="shared" ca="1" si="19"/>
        <v>79404.298019967449</v>
      </c>
      <c r="BD62" s="48">
        <f t="shared" ca="1" si="19"/>
        <v>73280.961503593688</v>
      </c>
      <c r="BE62" s="48">
        <f t="shared" ca="1" si="19"/>
        <v>64222.595075478748</v>
      </c>
      <c r="BF62" s="48">
        <f t="shared" ca="1" si="19"/>
        <v>58531.318799919682</v>
      </c>
      <c r="BG62" s="48">
        <f t="shared" ca="1" si="19"/>
        <v>54478.891713657729</v>
      </c>
      <c r="BH62" s="48">
        <f t="shared" ca="1" si="19"/>
        <v>34172.060395367145</v>
      </c>
      <c r="BI62" s="48">
        <f t="shared" ca="1" si="19"/>
        <v>54.2</v>
      </c>
      <c r="BJ62" s="48">
        <f t="shared" ca="1" si="19"/>
        <v>54.2</v>
      </c>
      <c r="BK62" s="48">
        <f t="shared" ca="1" si="19"/>
        <v>54.2</v>
      </c>
      <c r="BL62" s="48">
        <f t="shared" ca="1" si="19"/>
        <v>54.2</v>
      </c>
      <c r="BM62" s="48">
        <f t="shared" ca="1" si="19"/>
        <v>54.2</v>
      </c>
      <c r="BN62" s="48">
        <f t="shared" ca="1" si="19"/>
        <v>54.2</v>
      </c>
      <c r="BO62" s="48">
        <f t="shared" ca="1" si="19"/>
        <v>54.2</v>
      </c>
      <c r="BP62" s="48">
        <f t="shared" ca="1" si="19"/>
        <v>54.2</v>
      </c>
      <c r="BQ62" s="48">
        <f t="shared" ca="1" si="19"/>
        <v>54.2</v>
      </c>
      <c r="BR62" s="48">
        <f t="shared" ca="1" si="19"/>
        <v>54.2</v>
      </c>
      <c r="BS62" s="48">
        <f t="shared" ca="1" si="19"/>
        <v>54.2</v>
      </c>
      <c r="BT62" s="48">
        <f t="shared" ca="1" si="19"/>
        <v>54.2</v>
      </c>
      <c r="BU62" s="48">
        <f t="shared" ca="1" si="19"/>
        <v>54.2</v>
      </c>
      <c r="BV62" s="48">
        <f t="shared" ca="1" si="19"/>
        <v>54.2</v>
      </c>
      <c r="BW62" s="48">
        <f t="shared" ca="1" si="19"/>
        <v>54.2</v>
      </c>
    </row>
    <row r="63" spans="1:75" x14ac:dyDescent="0.3">
      <c r="A63" s="21" t="s">
        <v>1159</v>
      </c>
      <c r="AG63" s="51">
        <f ca="1">AG53*AF57</f>
        <v>864299.36547964776</v>
      </c>
      <c r="AH63" s="51">
        <f t="shared" ref="AH63:BW63" ca="1" si="20">AH53*AG57</f>
        <v>923949.40286487108</v>
      </c>
      <c r="AI63" s="51">
        <f t="shared" ca="1" si="20"/>
        <v>979516.10667788703</v>
      </c>
      <c r="AJ63" s="51">
        <f t="shared" ca="1" si="20"/>
        <v>970470.77776944533</v>
      </c>
      <c r="AK63" s="51">
        <f t="shared" ca="1" si="20"/>
        <v>986899.72913497</v>
      </c>
      <c r="AL63" s="51">
        <f t="shared" ca="1" si="20"/>
        <v>891275.69728333293</v>
      </c>
      <c r="AM63" s="51">
        <f t="shared" ca="1" si="20"/>
        <v>748991.07550777856</v>
      </c>
      <c r="AN63" s="51">
        <f t="shared" ca="1" si="20"/>
        <v>641849.35403590591</v>
      </c>
      <c r="AO63" s="51">
        <f t="shared" ca="1" si="20"/>
        <v>557160.59409214102</v>
      </c>
      <c r="AP63" s="51">
        <f t="shared" ca="1" si="20"/>
        <v>488174.66571919224</v>
      </c>
      <c r="AQ63" s="51">
        <f t="shared" ca="1" si="20"/>
        <v>422387.53475969535</v>
      </c>
      <c r="AR63" s="51">
        <f t="shared" ca="1" si="20"/>
        <v>360063.20155590284</v>
      </c>
      <c r="AS63" s="51">
        <f t="shared" ca="1" si="20"/>
        <v>308438.47383118578</v>
      </c>
      <c r="AT63" s="51">
        <f t="shared" ca="1" si="20"/>
        <v>270991.42310341727</v>
      </c>
      <c r="AU63" s="51">
        <f t="shared" ca="1" si="20"/>
        <v>233949.8159046832</v>
      </c>
      <c r="AV63" s="51">
        <f t="shared" ca="1" si="20"/>
        <v>183908.67629712319</v>
      </c>
      <c r="AW63" s="51">
        <f t="shared" ca="1" si="20"/>
        <v>161128.67256589333</v>
      </c>
      <c r="AX63" s="51">
        <f t="shared" ca="1" si="20"/>
        <v>141581.67132627688</v>
      </c>
      <c r="AY63" s="51">
        <f t="shared" ca="1" si="20"/>
        <v>123807.6069369</v>
      </c>
      <c r="AZ63" s="51">
        <f t="shared" ca="1" si="20"/>
        <v>109951.88197284263</v>
      </c>
      <c r="BA63" s="51">
        <f t="shared" ca="1" si="20"/>
        <v>95500.211849040817</v>
      </c>
      <c r="BB63" s="51">
        <f t="shared" ca="1" si="20"/>
        <v>86546.135823881137</v>
      </c>
      <c r="BC63" s="51">
        <f t="shared" ca="1" si="20"/>
        <v>79350.098019967452</v>
      </c>
      <c r="BD63" s="51">
        <f t="shared" ca="1" si="20"/>
        <v>73226.761503593691</v>
      </c>
      <c r="BE63" s="51">
        <f t="shared" ca="1" si="20"/>
        <v>64168.395075478751</v>
      </c>
      <c r="BF63" s="51">
        <f t="shared" ca="1" si="20"/>
        <v>58477.118799919685</v>
      </c>
      <c r="BG63" s="51">
        <f t="shared" ca="1" si="20"/>
        <v>54424.691713657732</v>
      </c>
      <c r="BH63" s="51">
        <f t="shared" ca="1" si="20"/>
        <v>34117.860395367148</v>
      </c>
      <c r="BI63" s="51">
        <f t="shared" ca="1" si="20"/>
        <v>0</v>
      </c>
      <c r="BJ63" s="51">
        <f t="shared" ca="1" si="20"/>
        <v>0</v>
      </c>
      <c r="BK63" s="51">
        <f t="shared" ca="1" si="20"/>
        <v>0</v>
      </c>
      <c r="BL63" s="51">
        <f t="shared" ca="1" si="20"/>
        <v>0</v>
      </c>
      <c r="BM63" s="51">
        <f t="shared" ca="1" si="20"/>
        <v>0</v>
      </c>
      <c r="BN63" s="51">
        <f t="shared" ca="1" si="20"/>
        <v>0</v>
      </c>
      <c r="BO63" s="51">
        <f t="shared" ca="1" si="20"/>
        <v>0</v>
      </c>
      <c r="BP63" s="51">
        <f t="shared" ca="1" si="20"/>
        <v>0</v>
      </c>
      <c r="BQ63" s="51">
        <f t="shared" ca="1" si="20"/>
        <v>0</v>
      </c>
      <c r="BR63" s="51">
        <f t="shared" ca="1" si="20"/>
        <v>0</v>
      </c>
      <c r="BS63" s="51">
        <f t="shared" ca="1" si="20"/>
        <v>0</v>
      </c>
      <c r="BT63" s="51">
        <f t="shared" ca="1" si="20"/>
        <v>0</v>
      </c>
      <c r="BU63" s="51">
        <f t="shared" ca="1" si="20"/>
        <v>0</v>
      </c>
      <c r="BV63" s="51">
        <f t="shared" ca="1" si="20"/>
        <v>0</v>
      </c>
      <c r="BW63" s="51">
        <f t="shared" ca="1" si="20"/>
        <v>0</v>
      </c>
    </row>
    <row r="64" spans="1:75" x14ac:dyDescent="0.3">
      <c r="A64" s="21" t="s">
        <v>1160</v>
      </c>
      <c r="AG64" s="51">
        <f>AG54*AF58</f>
        <v>54.2</v>
      </c>
      <c r="AH64" s="51">
        <f t="shared" ref="AH64:BW64" si="21">AH54*AG58</f>
        <v>54.2</v>
      </c>
      <c r="AI64" s="51">
        <f t="shared" si="21"/>
        <v>54.2</v>
      </c>
      <c r="AJ64" s="51">
        <f t="shared" si="21"/>
        <v>54.2</v>
      </c>
      <c r="AK64" s="51">
        <f t="shared" si="21"/>
        <v>54.2</v>
      </c>
      <c r="AL64" s="51">
        <f t="shared" si="21"/>
        <v>54.2</v>
      </c>
      <c r="AM64" s="51">
        <f t="shared" si="21"/>
        <v>54.2</v>
      </c>
      <c r="AN64" s="51">
        <f t="shared" si="21"/>
        <v>54.2</v>
      </c>
      <c r="AO64" s="51">
        <f t="shared" si="21"/>
        <v>54.2</v>
      </c>
      <c r="AP64" s="51">
        <f t="shared" si="21"/>
        <v>54.2</v>
      </c>
      <c r="AQ64" s="51">
        <f t="shared" si="21"/>
        <v>54.2</v>
      </c>
      <c r="AR64" s="51">
        <f t="shared" si="21"/>
        <v>54.2</v>
      </c>
      <c r="AS64" s="51">
        <f t="shared" si="21"/>
        <v>54.2</v>
      </c>
      <c r="AT64" s="51">
        <f t="shared" si="21"/>
        <v>54.2</v>
      </c>
      <c r="AU64" s="51">
        <f t="shared" si="21"/>
        <v>54.2</v>
      </c>
      <c r="AV64" s="51">
        <f t="shared" si="21"/>
        <v>54.2</v>
      </c>
      <c r="AW64" s="51">
        <f t="shared" si="21"/>
        <v>54.2</v>
      </c>
      <c r="AX64" s="51">
        <f t="shared" si="21"/>
        <v>54.2</v>
      </c>
      <c r="AY64" s="51">
        <f t="shared" si="21"/>
        <v>54.2</v>
      </c>
      <c r="AZ64" s="51">
        <f t="shared" si="21"/>
        <v>54.2</v>
      </c>
      <c r="BA64" s="51">
        <f t="shared" si="21"/>
        <v>54.2</v>
      </c>
      <c r="BB64" s="51">
        <f t="shared" si="21"/>
        <v>54.2</v>
      </c>
      <c r="BC64" s="51">
        <f t="shared" si="21"/>
        <v>54.2</v>
      </c>
      <c r="BD64" s="51">
        <f t="shared" si="21"/>
        <v>54.2</v>
      </c>
      <c r="BE64" s="51">
        <f t="shared" si="21"/>
        <v>54.2</v>
      </c>
      <c r="BF64" s="51">
        <f t="shared" si="21"/>
        <v>54.2</v>
      </c>
      <c r="BG64" s="51">
        <f t="shared" si="21"/>
        <v>54.2</v>
      </c>
      <c r="BH64" s="51">
        <f t="shared" si="21"/>
        <v>54.2</v>
      </c>
      <c r="BI64" s="51">
        <f t="shared" si="21"/>
        <v>54.2</v>
      </c>
      <c r="BJ64" s="51">
        <f t="shared" si="21"/>
        <v>54.2</v>
      </c>
      <c r="BK64" s="51">
        <f t="shared" si="21"/>
        <v>54.2</v>
      </c>
      <c r="BL64" s="51">
        <f t="shared" si="21"/>
        <v>54.2</v>
      </c>
      <c r="BM64" s="51">
        <f t="shared" si="21"/>
        <v>54.2</v>
      </c>
      <c r="BN64" s="51">
        <f t="shared" si="21"/>
        <v>54.2</v>
      </c>
      <c r="BO64" s="51">
        <f t="shared" si="21"/>
        <v>54.2</v>
      </c>
      <c r="BP64" s="51">
        <f t="shared" si="21"/>
        <v>54.2</v>
      </c>
      <c r="BQ64" s="51">
        <f t="shared" si="21"/>
        <v>54.2</v>
      </c>
      <c r="BR64" s="51">
        <f t="shared" si="21"/>
        <v>54.2</v>
      </c>
      <c r="BS64" s="51">
        <f t="shared" si="21"/>
        <v>54.2</v>
      </c>
      <c r="BT64" s="51">
        <f t="shared" si="21"/>
        <v>54.2</v>
      </c>
      <c r="BU64" s="51">
        <f t="shared" si="21"/>
        <v>54.2</v>
      </c>
      <c r="BV64" s="51">
        <f t="shared" si="21"/>
        <v>54.2</v>
      </c>
      <c r="BW64" s="51">
        <f t="shared" si="21"/>
        <v>54.2</v>
      </c>
    </row>
    <row r="66" spans="1:32" x14ac:dyDescent="0.3">
      <c r="A66" s="4" t="s">
        <v>1162</v>
      </c>
      <c r="B66" s="4" t="s">
        <v>1148</v>
      </c>
      <c r="AF66" s="51">
        <f>SUM(AF67:AF75)</f>
        <v>10914878</v>
      </c>
    </row>
    <row r="67" spans="1:32" x14ac:dyDescent="0.3">
      <c r="A67" s="5" t="s">
        <v>1134</v>
      </c>
      <c r="B67" s="265" t="s">
        <v>1149</v>
      </c>
      <c r="AF67" s="55">
        <v>331804</v>
      </c>
    </row>
    <row r="68" spans="1:32" x14ac:dyDescent="0.3">
      <c r="A68" s="5" t="s">
        <v>1163</v>
      </c>
      <c r="B68" s="265" t="s">
        <v>1149</v>
      </c>
      <c r="AF68" s="55">
        <v>8158835</v>
      </c>
    </row>
    <row r="69" spans="1:32" x14ac:dyDescent="0.3">
      <c r="A69" s="5" t="s">
        <v>1135</v>
      </c>
      <c r="B69" s="265" t="s">
        <v>1149</v>
      </c>
      <c r="AF69" s="55">
        <v>336811</v>
      </c>
    </row>
    <row r="70" spans="1:32" x14ac:dyDescent="0.3">
      <c r="A70" s="5" t="s">
        <v>1164</v>
      </c>
      <c r="B70" s="265" t="s">
        <v>1149</v>
      </c>
      <c r="AF70" s="55">
        <v>733749</v>
      </c>
    </row>
    <row r="71" spans="1:32" x14ac:dyDescent="0.3">
      <c r="A71" s="5" t="s">
        <v>1165</v>
      </c>
      <c r="B71" s="265" t="s">
        <v>1149</v>
      </c>
      <c r="AF71" s="55">
        <v>379</v>
      </c>
    </row>
    <row r="72" spans="1:32" x14ac:dyDescent="0.3">
      <c r="A72" s="5" t="s">
        <v>1166</v>
      </c>
      <c r="B72" s="265" t="s">
        <v>1149</v>
      </c>
      <c r="AF72" s="55">
        <v>6075</v>
      </c>
    </row>
    <row r="73" spans="1:32" x14ac:dyDescent="0.3">
      <c r="A73" s="5" t="s">
        <v>1167</v>
      </c>
      <c r="B73" s="265" t="s">
        <v>1149</v>
      </c>
      <c r="AF73" s="55">
        <v>8165</v>
      </c>
    </row>
    <row r="74" spans="1:32" x14ac:dyDescent="0.3">
      <c r="A74" s="5" t="s">
        <v>1168</v>
      </c>
      <c r="B74" s="265">
        <v>20</v>
      </c>
      <c r="AF74" s="55">
        <v>271</v>
      </c>
    </row>
    <row r="75" spans="1:32" x14ac:dyDescent="0.3">
      <c r="A75" s="5" t="s">
        <v>1169</v>
      </c>
      <c r="B75" s="265" t="s">
        <v>1149</v>
      </c>
      <c r="AF75" s="55">
        <v>1338789</v>
      </c>
    </row>
  </sheetData>
  <phoneticPr fontId="19" type="noConversion"/>
  <pageMargins left="0.511811024" right="0.511811024" top="0.78740157499999996" bottom="0.78740157499999996" header="0.31496062000000002" footer="0.31496062000000002"/>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C2B42-4A56-49B4-80D5-0D23B2E605E4}">
  <dimension ref="A1:W1"/>
  <sheetViews>
    <sheetView workbookViewId="0"/>
  </sheetViews>
  <sheetFormatPr defaultRowHeight="14.4" x14ac:dyDescent="0.3"/>
  <sheetData>
    <row r="1" spans="1:23" x14ac:dyDescent="0.3">
      <c r="A1">
        <v>23</v>
      </c>
      <c r="B1" t="s">
        <v>746</v>
      </c>
      <c r="C1" t="s">
        <v>747</v>
      </c>
      <c r="D1" t="s">
        <v>748</v>
      </c>
      <c r="E1" t="s">
        <v>749</v>
      </c>
      <c r="F1" t="s">
        <v>750</v>
      </c>
      <c r="G1" t="s">
        <v>751</v>
      </c>
      <c r="H1" t="s">
        <v>752</v>
      </c>
      <c r="I1" t="s">
        <v>753</v>
      </c>
      <c r="J1" t="s">
        <v>754</v>
      </c>
      <c r="K1" t="s">
        <v>755</v>
      </c>
      <c r="L1" t="s">
        <v>756</v>
      </c>
      <c r="M1" t="s">
        <v>757</v>
      </c>
      <c r="N1" t="s">
        <v>758</v>
      </c>
      <c r="O1" t="s">
        <v>759</v>
      </c>
      <c r="P1" t="s">
        <v>760</v>
      </c>
      <c r="Q1" t="s">
        <v>761</v>
      </c>
      <c r="R1" t="s">
        <v>762</v>
      </c>
      <c r="S1" t="s">
        <v>763</v>
      </c>
      <c r="T1" t="s">
        <v>764</v>
      </c>
      <c r="U1" t="s">
        <v>765</v>
      </c>
      <c r="V1" t="s">
        <v>766</v>
      </c>
      <c r="W1" t="s">
        <v>767</v>
      </c>
    </row>
  </sheetData>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6654A-78ED-461C-A848-C0676E4A0FF2}">
  <sheetPr>
    <tabColor theme="8" tint="0.79998168889431442"/>
  </sheetPr>
  <dimension ref="A1:BX48"/>
  <sheetViews>
    <sheetView showGridLines="0" zoomScale="115" zoomScaleNormal="115" workbookViewId="0">
      <pane xSplit="2" ySplit="1" topLeftCell="AC32" activePane="bottomRight" state="frozen"/>
      <selection pane="topRight" activeCell="C1" sqref="C1"/>
      <selection pane="bottomLeft" activeCell="A2" sqref="A2"/>
      <selection pane="bottomRight" activeCell="AJ53" sqref="AJ53"/>
    </sheetView>
  </sheetViews>
  <sheetFormatPr defaultRowHeight="14.4" x14ac:dyDescent="0.3"/>
  <cols>
    <col min="1" max="1" width="47.88671875" style="2" bestFit="1" customWidth="1"/>
    <col min="2" max="2" width="5.109375" style="2" customWidth="1"/>
    <col min="3" max="6" width="15.77734375" style="2" customWidth="1"/>
    <col min="7" max="7" width="9.88671875" bestFit="1" customWidth="1"/>
    <col min="8" max="11" width="9.88671875" customWidth="1"/>
    <col min="12" max="12" width="9.88671875" bestFit="1" customWidth="1"/>
    <col min="13" max="16" width="9.88671875" customWidth="1"/>
    <col min="28" max="28" width="9.88671875" bestFit="1" customWidth="1"/>
    <col min="29" max="31" width="9.88671875" customWidth="1"/>
    <col min="32" max="32" width="10.77734375" bestFit="1" customWidth="1"/>
    <col min="33" max="39" width="9.109375" bestFit="1" customWidth="1"/>
  </cols>
  <sheetData>
    <row r="1" spans="1:75" x14ac:dyDescent="0.3">
      <c r="A1"/>
      <c r="B1" s="3"/>
      <c r="C1" s="3" t="str">
        <f>'Fluxo de Caixa dos Acionistas'!C1</f>
        <v>1T18</v>
      </c>
      <c r="D1" s="3" t="str">
        <f>'Fluxo de Caixa dos Acionistas'!D1</f>
        <v>2T18</v>
      </c>
      <c r="E1" s="3" t="str">
        <f>'Fluxo de Caixa dos Acionistas'!E1</f>
        <v>3T18</v>
      </c>
      <c r="F1" s="3" t="str">
        <f>'Fluxo de Caixa dos Acionistas'!F1</f>
        <v>4T18</v>
      </c>
      <c r="G1" s="3">
        <f>'Fluxo de Caixa dos Acionistas'!G1</f>
        <v>2018</v>
      </c>
      <c r="H1" s="3" t="str">
        <f>'Fluxo de Caixa dos Acionistas'!H1</f>
        <v>1T19</v>
      </c>
      <c r="I1" s="3" t="str">
        <f>'Fluxo de Caixa dos Acionistas'!I1</f>
        <v>2T19</v>
      </c>
      <c r="J1" s="3" t="str">
        <f>'Fluxo de Caixa dos Acionistas'!J1</f>
        <v>3T19</v>
      </c>
      <c r="K1" s="3" t="str">
        <f>'Fluxo de Caixa dos Acionistas'!K1</f>
        <v>4T19</v>
      </c>
      <c r="L1" s="3">
        <f>'Fluxo de Caixa dos Acionistas'!L1</f>
        <v>2019</v>
      </c>
      <c r="M1" s="3" t="str">
        <f>'Fluxo de Caixa dos Acionistas'!M1</f>
        <v>1T20</v>
      </c>
      <c r="N1" s="3" t="str">
        <f>'Fluxo de Caixa dos Acionistas'!N1</f>
        <v>2T20</v>
      </c>
      <c r="O1" s="3" t="str">
        <f>'Fluxo de Caixa dos Acionistas'!O1</f>
        <v>3T20</v>
      </c>
      <c r="P1" s="3" t="str">
        <f>'Fluxo de Caixa dos Acionistas'!P1</f>
        <v>4T20</v>
      </c>
      <c r="Q1" s="3">
        <f>'Fluxo de Caixa dos Acionistas'!Q1</f>
        <v>2020</v>
      </c>
      <c r="R1" s="3" t="str">
        <f>'Fluxo de Caixa dos Acionistas'!R1</f>
        <v>1T21</v>
      </c>
      <c r="S1" s="3" t="str">
        <f>'Fluxo de Caixa dos Acionistas'!S1</f>
        <v>2T21</v>
      </c>
      <c r="T1" s="3" t="str">
        <f>'Fluxo de Caixa dos Acionistas'!T1</f>
        <v>3T21</v>
      </c>
      <c r="U1" s="3" t="str">
        <f>'Fluxo de Caixa dos Acionistas'!U1</f>
        <v>4T21</v>
      </c>
      <c r="V1" s="3">
        <f>'Fluxo de Caixa dos Acionistas'!V1</f>
        <v>2021</v>
      </c>
      <c r="W1" s="3" t="str">
        <f>'Fluxo de Caixa dos Acionistas'!W1</f>
        <v>1T22</v>
      </c>
      <c r="X1" s="3" t="str">
        <f>'Fluxo de Caixa dos Acionistas'!X1</f>
        <v>2T22</v>
      </c>
      <c r="Y1" s="3" t="str">
        <f>'Fluxo de Caixa dos Acionistas'!Y1</f>
        <v>3T22</v>
      </c>
      <c r="Z1" s="3" t="str">
        <f>'Fluxo de Caixa dos Acionistas'!Z1</f>
        <v>4T22</v>
      </c>
      <c r="AA1" s="3">
        <f>'Fluxo de Caixa dos Acionistas'!AA1</f>
        <v>2022</v>
      </c>
      <c r="AB1" s="3" t="str">
        <f>'Fluxo de Caixa dos Acionistas'!AB1</f>
        <v>1T23</v>
      </c>
      <c r="AC1" s="3" t="str">
        <f>'Fluxo de Caixa dos Acionistas'!AC1</f>
        <v>2T23</v>
      </c>
      <c r="AD1" s="3" t="str">
        <f>'Fluxo de Caixa dos Acionistas'!AD1</f>
        <v>3T23</v>
      </c>
      <c r="AE1" s="3" t="str">
        <f>'Fluxo de Caixa dos Acionistas'!AE1</f>
        <v>4T23</v>
      </c>
      <c r="AF1" s="3">
        <v>2023</v>
      </c>
      <c r="AG1" s="3">
        <f>AF1+1</f>
        <v>2024</v>
      </c>
      <c r="AH1" s="3">
        <f t="shared" ref="AH1:BL1" si="0">AG1+1</f>
        <v>2025</v>
      </c>
      <c r="AI1" s="3">
        <f t="shared" si="0"/>
        <v>2026</v>
      </c>
      <c r="AJ1" s="3">
        <f t="shared" si="0"/>
        <v>2027</v>
      </c>
      <c r="AK1" s="3">
        <f t="shared" si="0"/>
        <v>2028</v>
      </c>
      <c r="AL1" s="3">
        <f t="shared" si="0"/>
        <v>2029</v>
      </c>
      <c r="AM1" s="3">
        <f t="shared" si="0"/>
        <v>2030</v>
      </c>
      <c r="AN1" s="3">
        <f t="shared" si="0"/>
        <v>2031</v>
      </c>
      <c r="AO1" s="3">
        <f t="shared" si="0"/>
        <v>2032</v>
      </c>
      <c r="AP1" s="3">
        <f t="shared" si="0"/>
        <v>2033</v>
      </c>
      <c r="AQ1" s="3">
        <f t="shared" si="0"/>
        <v>2034</v>
      </c>
      <c r="AR1" s="3">
        <f t="shared" si="0"/>
        <v>2035</v>
      </c>
      <c r="AS1" s="3">
        <f t="shared" si="0"/>
        <v>2036</v>
      </c>
      <c r="AT1" s="3">
        <f t="shared" si="0"/>
        <v>2037</v>
      </c>
      <c r="AU1" s="3">
        <f t="shared" si="0"/>
        <v>2038</v>
      </c>
      <c r="AV1" s="3">
        <f t="shared" si="0"/>
        <v>2039</v>
      </c>
      <c r="AW1" s="3">
        <f t="shared" si="0"/>
        <v>2040</v>
      </c>
      <c r="AX1" s="3">
        <f t="shared" si="0"/>
        <v>2041</v>
      </c>
      <c r="AY1" s="3">
        <f t="shared" si="0"/>
        <v>2042</v>
      </c>
      <c r="AZ1" s="3">
        <f t="shared" si="0"/>
        <v>2043</v>
      </c>
      <c r="BA1" s="3">
        <f t="shared" si="0"/>
        <v>2044</v>
      </c>
      <c r="BB1" s="3">
        <f t="shared" si="0"/>
        <v>2045</v>
      </c>
      <c r="BC1" s="3">
        <f t="shared" si="0"/>
        <v>2046</v>
      </c>
      <c r="BD1" s="3">
        <f t="shared" si="0"/>
        <v>2047</v>
      </c>
      <c r="BE1" s="3">
        <f t="shared" si="0"/>
        <v>2048</v>
      </c>
      <c r="BF1" s="3">
        <f t="shared" si="0"/>
        <v>2049</v>
      </c>
      <c r="BG1" s="3">
        <f t="shared" si="0"/>
        <v>2050</v>
      </c>
      <c r="BH1" s="3">
        <f t="shared" si="0"/>
        <v>2051</v>
      </c>
      <c r="BI1" s="3">
        <f t="shared" si="0"/>
        <v>2052</v>
      </c>
      <c r="BJ1" s="3">
        <f t="shared" si="0"/>
        <v>2053</v>
      </c>
      <c r="BK1" s="3">
        <f t="shared" si="0"/>
        <v>2054</v>
      </c>
      <c r="BL1" s="3">
        <f t="shared" si="0"/>
        <v>2055</v>
      </c>
      <c r="BM1" s="3">
        <f t="shared" ref="BM1:BW1" si="1">BL1+1</f>
        <v>2056</v>
      </c>
      <c r="BN1" s="3">
        <f t="shared" si="1"/>
        <v>2057</v>
      </c>
      <c r="BO1" s="3">
        <f t="shared" si="1"/>
        <v>2058</v>
      </c>
      <c r="BP1" s="3">
        <f t="shared" si="1"/>
        <v>2059</v>
      </c>
      <c r="BQ1" s="3">
        <f t="shared" si="1"/>
        <v>2060</v>
      </c>
      <c r="BR1" s="3">
        <f t="shared" si="1"/>
        <v>2061</v>
      </c>
      <c r="BS1" s="3">
        <f t="shared" si="1"/>
        <v>2062</v>
      </c>
      <c r="BT1" s="3">
        <f t="shared" si="1"/>
        <v>2063</v>
      </c>
      <c r="BU1" s="3">
        <f t="shared" si="1"/>
        <v>2064</v>
      </c>
      <c r="BV1" s="3">
        <f t="shared" si="1"/>
        <v>2065</v>
      </c>
      <c r="BW1" s="3">
        <f t="shared" si="1"/>
        <v>2066</v>
      </c>
    </row>
    <row r="3" spans="1:75" s="275" customFormat="1" ht="13.8" x14ac:dyDescent="0.3">
      <c r="A3" s="275" t="s">
        <v>1186</v>
      </c>
    </row>
    <row r="4" spans="1:75" x14ac:dyDescent="0.3">
      <c r="A4"/>
      <c r="B4"/>
      <c r="C4"/>
      <c r="D4"/>
      <c r="E4"/>
      <c r="F4"/>
    </row>
    <row r="5" spans="1:75" x14ac:dyDescent="0.3">
      <c r="A5" s="2" t="s">
        <v>3</v>
      </c>
      <c r="B5"/>
      <c r="C5"/>
      <c r="D5"/>
      <c r="E5"/>
      <c r="F5"/>
      <c r="AG5" s="74">
        <f>'Avaliação e Simulações'!E22</f>
        <v>3.7718000000000002E-2</v>
      </c>
      <c r="AH5" s="74">
        <f>'Avaliação e Simulações'!F22</f>
        <v>3.5049999999999998E-2</v>
      </c>
      <c r="AI5" s="74">
        <f>'Avaliação e Simulações'!G22</f>
        <v>3.5000000000000003E-2</v>
      </c>
      <c r="AJ5" s="74">
        <f>'Avaliação e Simulações'!H22</f>
        <v>3.5000000000000003E-2</v>
      </c>
      <c r="AK5" s="74">
        <f>'Avaliação e Simulações'!I22</f>
        <v>3.5000000000000003E-2</v>
      </c>
      <c r="AL5" s="74">
        <f>'Avaliação e Simulações'!J22</f>
        <v>0.03</v>
      </c>
      <c r="AM5" s="74">
        <f>'Avaliação e Simulações'!K22</f>
        <v>0.03</v>
      </c>
      <c r="AN5" s="74">
        <f>'Avaliação e Simulações'!L22</f>
        <v>0.03</v>
      </c>
      <c r="AO5" s="74">
        <f>'Avaliação e Simulações'!M22</f>
        <v>0.03</v>
      </c>
      <c r="AP5" s="74">
        <f>'Avaliação e Simulações'!N22</f>
        <v>0.03</v>
      </c>
      <c r="AQ5" s="74">
        <f>'Avaliação e Simulações'!O22</f>
        <v>0.03</v>
      </c>
      <c r="AR5" s="74">
        <f>'Avaliação e Simulações'!P22</f>
        <v>0.03</v>
      </c>
      <c r="AS5" s="74">
        <f>'Avaliação e Simulações'!Q22</f>
        <v>0.03</v>
      </c>
      <c r="AT5" s="74">
        <f>'Avaliação e Simulações'!R22</f>
        <v>0.03</v>
      </c>
      <c r="AU5" s="74">
        <f>'Avaliação e Simulações'!S22</f>
        <v>0.03</v>
      </c>
      <c r="AV5" s="74">
        <f>'Avaliação e Simulações'!T22</f>
        <v>0.03</v>
      </c>
      <c r="AW5" s="74">
        <f>'Avaliação e Simulações'!U22</f>
        <v>0.03</v>
      </c>
      <c r="AX5" s="74">
        <f>'Avaliação e Simulações'!V22</f>
        <v>0.03</v>
      </c>
      <c r="AY5" s="74">
        <f>'Avaliação e Simulações'!W22</f>
        <v>0.03</v>
      </c>
      <c r="AZ5" s="74">
        <f>'Avaliação e Simulações'!X22</f>
        <v>0.03</v>
      </c>
      <c r="BA5" s="74">
        <f>'Avaliação e Simulações'!Y22</f>
        <v>0.03</v>
      </c>
      <c r="BB5" s="74">
        <f>'Avaliação e Simulações'!Z22</f>
        <v>0.03</v>
      </c>
      <c r="BC5" s="74">
        <f>'Avaliação e Simulações'!AA22</f>
        <v>0.03</v>
      </c>
      <c r="BD5" s="74">
        <f>'Avaliação e Simulações'!AB22</f>
        <v>0.03</v>
      </c>
      <c r="BE5" s="74">
        <f>'Avaliação e Simulações'!AC22</f>
        <v>0.03</v>
      </c>
      <c r="BF5" s="74">
        <f>'Avaliação e Simulações'!AD22</f>
        <v>0.03</v>
      </c>
      <c r="BG5" s="74">
        <f>'Avaliação e Simulações'!AE22</f>
        <v>0.03</v>
      </c>
      <c r="BH5" s="74">
        <f>'Avaliação e Simulações'!AF22</f>
        <v>0.03</v>
      </c>
      <c r="BI5" s="74">
        <f>'Avaliação e Simulações'!AG22</f>
        <v>0.03</v>
      </c>
      <c r="BJ5" s="74">
        <f>'Avaliação e Simulações'!AH22</f>
        <v>0.03</v>
      </c>
      <c r="BK5" s="74">
        <f>'Avaliação e Simulações'!AI22</f>
        <v>0.03</v>
      </c>
      <c r="BL5" s="74">
        <f>'Avaliação e Simulações'!AJ22</f>
        <v>0.03</v>
      </c>
      <c r="BM5" s="74">
        <f>'Avaliação e Simulações'!AK22</f>
        <v>0.03</v>
      </c>
      <c r="BN5" s="74">
        <f>'Avaliação e Simulações'!AL22</f>
        <v>0.03</v>
      </c>
      <c r="BO5" s="74">
        <f>'Avaliação e Simulações'!AM22</f>
        <v>0.03</v>
      </c>
      <c r="BP5" s="74">
        <f>'Avaliação e Simulações'!AN22</f>
        <v>0.03</v>
      </c>
      <c r="BQ5" s="74">
        <f>'Avaliação e Simulações'!AO22</f>
        <v>0.03</v>
      </c>
      <c r="BR5" s="74">
        <f>'Avaliação e Simulações'!AP22</f>
        <v>0.03</v>
      </c>
      <c r="BS5" s="74">
        <f>'Avaliação e Simulações'!AQ22</f>
        <v>0.03</v>
      </c>
      <c r="BT5" s="74">
        <f>'Avaliação e Simulações'!AR22</f>
        <v>0.03</v>
      </c>
      <c r="BU5" s="74">
        <f>'Avaliação e Simulações'!AS22</f>
        <v>0.03</v>
      </c>
      <c r="BV5" s="74">
        <f>'Avaliação e Simulações'!AT22</f>
        <v>0.03</v>
      </c>
      <c r="BW5" s="74">
        <f>'Avaliação e Simulações'!AU22</f>
        <v>0.03</v>
      </c>
    </row>
    <row r="6" spans="1:75" x14ac:dyDescent="0.3">
      <c r="A6" s="2" t="s">
        <v>698</v>
      </c>
      <c r="B6"/>
      <c r="C6"/>
      <c r="D6"/>
      <c r="E6"/>
      <c r="F6"/>
      <c r="AB6" s="79">
        <v>4.8750000000000002E-2</v>
      </c>
      <c r="AC6" s="79">
        <v>5.1209935709998655E-2</v>
      </c>
      <c r="AD6" s="79">
        <v>5.4786782448902102E-2</v>
      </c>
      <c r="AE6" s="79">
        <v>5.62E-2</v>
      </c>
      <c r="AF6" s="79">
        <v>5.2322226997869599E-2</v>
      </c>
      <c r="AG6" s="74">
        <f>SUMIFS('Drivers Macroeconômico'!$AT:$AT,'Drivers Macroeconômico'!$AW:$AW,AG1)</f>
        <v>5.04E-2</v>
      </c>
      <c r="AH6" s="74">
        <f>SUMIFS('Drivers Macroeconômico'!$AT:$AT,'Drivers Macroeconômico'!$AW:$AW,AH1)</f>
        <v>4.3212338156892516E-2</v>
      </c>
      <c r="AI6" s="74">
        <f>SUMIFS('Drivers Macroeconômico'!$AT:$AT,'Drivers Macroeconômico'!$AW:$AW,AI1)</f>
        <v>4.0213861127290196E-2</v>
      </c>
      <c r="AJ6" s="74">
        <f>SUMIFS('Drivers Macroeconômico'!$AT:$AT,'Drivers Macroeconômico'!$AW:$AW,AJ1)</f>
        <v>4.0355185985008202E-2</v>
      </c>
      <c r="AK6" s="74">
        <f>SUMIFS('Drivers Macroeconômico'!$AT:$AT,'Drivers Macroeconômico'!$AW:$AW,AK1)</f>
        <v>4.0355185985008202E-2</v>
      </c>
      <c r="AL6" s="74">
        <f>SUMIFS('Drivers Macroeconômico'!$AT:$AT,'Drivers Macroeconômico'!$AW:$AW,AL1)</f>
        <v>4.3250041952341833E-2</v>
      </c>
      <c r="AM6" s="74">
        <f>SUMIFS('Drivers Macroeconômico'!$AT:$AT,'Drivers Macroeconômico'!$AW:$AW,AM1)</f>
        <v>4.3250041952341833E-2</v>
      </c>
      <c r="AN6" s="74">
        <f>SUMIFS('Drivers Macroeconômico'!$AT:$AT,'Drivers Macroeconômico'!$AW:$AW,AN1)</f>
        <v>4.2666703950685614E-2</v>
      </c>
      <c r="AO6" s="74">
        <f>SUMIFS('Drivers Macroeconômico'!$AT:$AT,'Drivers Macroeconômico'!$AW:$AW,AO1)</f>
        <v>4.2666703950685614E-2</v>
      </c>
      <c r="AP6" s="74">
        <f>SUMIFS('Drivers Macroeconômico'!$AT:$AT,'Drivers Macroeconômico'!$AW:$AW,AP1)</f>
        <v>4.2666703950685614E-2</v>
      </c>
      <c r="AQ6" s="74">
        <f>SUMIFS('Drivers Macroeconômico'!$AT:$AT,'Drivers Macroeconômico'!$AW:$AW,AQ1)</f>
        <v>4.7905992904401451E-2</v>
      </c>
      <c r="AR6" s="74">
        <f>SUMIFS('Drivers Macroeconômico'!$AT:$AT,'Drivers Macroeconômico'!$AW:$AW,AR1)</f>
        <v>4.7905992904401451E-2</v>
      </c>
      <c r="AS6" s="74">
        <f>SUMIFS('Drivers Macroeconômico'!$AT:$AT,'Drivers Macroeconômico'!$AW:$AW,AS1)</f>
        <v>4.7905992904401451E-2</v>
      </c>
      <c r="AT6" s="74">
        <f>SUMIFS('Drivers Macroeconômico'!$AT:$AT,'Drivers Macroeconômico'!$AW:$AW,AT1)</f>
        <v>4.7905992904401451E-2</v>
      </c>
      <c r="AU6" s="74">
        <f>SUMIFS('Drivers Macroeconômico'!$AT:$AT,'Drivers Macroeconômico'!$AW:$AW,AU1)</f>
        <v>4.7905992904401451E-2</v>
      </c>
      <c r="AV6" s="74">
        <f>SUMIFS('Drivers Macroeconômico'!$AT:$AT,'Drivers Macroeconômico'!$AW:$AW,AV1)</f>
        <v>4.7905992904401451E-2</v>
      </c>
      <c r="AW6" s="74">
        <f>SUMIFS('Drivers Macroeconômico'!$AT:$AT,'Drivers Macroeconômico'!$AW:$AW,AW1)</f>
        <v>4.7905992904401451E-2</v>
      </c>
      <c r="AX6" s="74">
        <f>SUMIFS('Drivers Macroeconômico'!$AT:$AT,'Drivers Macroeconômico'!$AW:$AW,AX1)</f>
        <v>4.7905992904401451E-2</v>
      </c>
      <c r="AY6" s="74">
        <f>SUMIFS('Drivers Macroeconômico'!$AT:$AT,'Drivers Macroeconômico'!$AW:$AW,AY1)</f>
        <v>4.7905992904401451E-2</v>
      </c>
      <c r="AZ6" s="74">
        <f>SUMIFS('Drivers Macroeconômico'!$AT:$AT,'Drivers Macroeconômico'!$AW:$AW,AZ1)</f>
        <v>4.7905992904401451E-2</v>
      </c>
      <c r="BA6" s="74">
        <f>SUMIFS('Drivers Macroeconômico'!$AT:$AT,'Drivers Macroeconômico'!$AW:$AW,BA1)</f>
        <v>4.2402868799912063E-2</v>
      </c>
      <c r="BB6" s="74">
        <f>SUMIFS('Drivers Macroeconômico'!$AT:$AT,'Drivers Macroeconômico'!$AW:$AW,BB1)</f>
        <v>4.2402868799912063E-2</v>
      </c>
      <c r="BC6" s="74">
        <f>SUMIFS('Drivers Macroeconômico'!$AT:$AT,'Drivers Macroeconômico'!$AW:$AW,BC1)</f>
        <v>4.2402868799912063E-2</v>
      </c>
      <c r="BD6" s="74">
        <f>SUMIFS('Drivers Macroeconômico'!$AT:$AT,'Drivers Macroeconômico'!$AW:$AW,BD1)</f>
        <v>4.2402868799912063E-2</v>
      </c>
      <c r="BE6" s="74">
        <f>SUMIFS('Drivers Macroeconômico'!$AT:$AT,'Drivers Macroeconômico'!$AW:$AW,BE1)</f>
        <v>4.2402868799912063E-2</v>
      </c>
      <c r="BF6" s="74">
        <f>SUMIFS('Drivers Macroeconômico'!$AT:$AT,'Drivers Macroeconômico'!$AW:$AW,BF1)</f>
        <v>4.2402868799912063E-2</v>
      </c>
      <c r="BG6" s="74">
        <f>SUMIFS('Drivers Macroeconômico'!$AT:$AT,'Drivers Macroeconômico'!$AW:$AW,BG1)</f>
        <v>4.2402868799912063E-2</v>
      </c>
      <c r="BH6" s="74">
        <f>SUMIFS('Drivers Macroeconômico'!$AT:$AT,'Drivers Macroeconômico'!$AW:$AW,BH1)</f>
        <v>4.2402868799912063E-2</v>
      </c>
      <c r="BI6" s="74">
        <f>SUMIFS('Drivers Macroeconômico'!$AT:$AT,'Drivers Macroeconômico'!$AW:$AW,BI1)</f>
        <v>4.2402868799912063E-2</v>
      </c>
      <c r="BJ6" s="74">
        <f>SUMIFS('Drivers Macroeconômico'!$AT:$AT,'Drivers Macroeconômico'!$AW:$AW,BJ1)</f>
        <v>4.2402868799912063E-2</v>
      </c>
      <c r="BK6" s="74">
        <f>SUMIFS('Drivers Macroeconômico'!$AT:$AT,'Drivers Macroeconômico'!$AW:$AW,BK1)</f>
        <v>4.2402868799912063E-2</v>
      </c>
      <c r="BL6" s="74">
        <f>SUMIFS('Drivers Macroeconômico'!$AT:$AT,'Drivers Macroeconômico'!$AW:$AW,BL1)</f>
        <v>4.2402868799912063E-2</v>
      </c>
      <c r="BM6" s="74">
        <f>SUMIFS('Drivers Macroeconômico'!$AT:$AT,'Drivers Macroeconômico'!$AW:$AW,BM1)</f>
        <v>4.2402868799912063E-2</v>
      </c>
      <c r="BN6" s="74">
        <f>SUMIFS('Drivers Macroeconômico'!$AT:$AT,'Drivers Macroeconômico'!$AW:$AW,BN1)</f>
        <v>4.2402868799912063E-2</v>
      </c>
      <c r="BO6" s="74">
        <f>SUMIFS('Drivers Macroeconômico'!$AT:$AT,'Drivers Macroeconômico'!$AW:$AW,BO1)</f>
        <v>4.2402868799912063E-2</v>
      </c>
      <c r="BP6" s="74">
        <f>SUMIFS('Drivers Macroeconômico'!$AT:$AT,'Drivers Macroeconômico'!$AW:$AW,BP1)</f>
        <v>4.2402868799912063E-2</v>
      </c>
      <c r="BQ6" s="74">
        <f>SUMIFS('Drivers Macroeconômico'!$AT:$AT,'Drivers Macroeconômico'!$AW:$AW,BQ1)</f>
        <v>4.2402868799912063E-2</v>
      </c>
      <c r="BR6" s="74">
        <f>SUMIFS('Drivers Macroeconômico'!$AT:$AT,'Drivers Macroeconômico'!$AW:$AW,BR1)</f>
        <v>4.2402868799912063E-2</v>
      </c>
      <c r="BS6" s="74">
        <f>SUMIFS('Drivers Macroeconômico'!$AT:$AT,'Drivers Macroeconômico'!$AW:$AW,BS1)</f>
        <v>4.2402868799912063E-2</v>
      </c>
      <c r="BT6" s="74">
        <f>SUMIFS('Drivers Macroeconômico'!$AT:$AT,'Drivers Macroeconômico'!$AW:$AW,BT1)</f>
        <v>4.2402868799912063E-2</v>
      </c>
      <c r="BU6" s="74">
        <f>SUMIFS('Drivers Macroeconômico'!$AT:$AT,'Drivers Macroeconômico'!$AW:$AW,BU1)</f>
        <v>4.2402868799912063E-2</v>
      </c>
      <c r="BV6" s="74">
        <f>SUMIFS('Drivers Macroeconômico'!$AT:$AT,'Drivers Macroeconômico'!$AW:$AW,BV1)</f>
        <v>4.2402868799912063E-2</v>
      </c>
      <c r="BW6" s="74">
        <f>SUMIFS('Drivers Macroeconômico'!$AT:$AT,'Drivers Macroeconômico'!$AW:$AW,BW1)</f>
        <v>4.2402868799912063E-2</v>
      </c>
    </row>
    <row r="7" spans="1:75" x14ac:dyDescent="0.3">
      <c r="A7" s="2" t="s">
        <v>507</v>
      </c>
      <c r="B7"/>
      <c r="C7"/>
      <c r="D7"/>
      <c r="E7"/>
      <c r="F7"/>
      <c r="AB7" s="75">
        <v>5.0804028095189979</v>
      </c>
      <c r="AC7" s="75">
        <v>4.8191988353858903</v>
      </c>
      <c r="AD7" s="75">
        <v>5.0076374407268203</v>
      </c>
      <c r="AE7" s="97">
        <f>'Receita Líquida - O&amp;G'!AE17</f>
        <v>4.8499999999999996</v>
      </c>
      <c r="AF7" s="97">
        <f>'Receita Líquida - O&amp;G'!AF17</f>
        <v>4.9324999999999992</v>
      </c>
      <c r="AG7" s="97">
        <f>'Receita Líquida - O&amp;G'!AG17</f>
        <v>4.9326999999999996</v>
      </c>
      <c r="AH7" s="97">
        <f>'Receita Líquida - O&amp;G'!AH17</f>
        <v>5</v>
      </c>
      <c r="AI7" s="97">
        <f>'Receita Líquida - O&amp;G'!AI17</f>
        <v>5.04</v>
      </c>
      <c r="AJ7" s="97">
        <f>'Receita Líquida - O&amp;G'!AJ17</f>
        <v>5.0999999999999996</v>
      </c>
      <c r="AK7" s="97">
        <f>'Receita Líquida - O&amp;G'!AK17</f>
        <v>5.0999999999999996</v>
      </c>
      <c r="AL7" s="97">
        <f>'Receita Líquida - O&amp;G'!AL17</f>
        <v>5.15</v>
      </c>
      <c r="AM7" s="97">
        <f>'Receita Líquida - O&amp;G'!AM17</f>
        <v>5.200490196078432</v>
      </c>
      <c r="AN7" s="97">
        <f>'Receita Líquida - O&amp;G'!AN17</f>
        <v>5.2514753940792014</v>
      </c>
      <c r="AO7" s="97">
        <f>'Receita Líquida - O&amp;G'!AO17</f>
        <v>5.3029604469623308</v>
      </c>
      <c r="AP7" s="97">
        <f>'Receita Líquida - O&amp;G'!AP17</f>
        <v>5.3549502552658828</v>
      </c>
      <c r="AQ7" s="97">
        <f>'Receita Líquida - O&amp;G'!AQ17</f>
        <v>5.4074497675724107</v>
      </c>
      <c r="AR7" s="97">
        <f>'Receita Líquida - O&amp;G'!AR17</f>
        <v>5.4604639809799842</v>
      </c>
      <c r="AS7" s="97">
        <f>'Receita Líquida - O&amp;G'!AS17</f>
        <v>5.5139979415778271</v>
      </c>
      <c r="AT7" s="97">
        <f>'Receita Líquida - O&amp;G'!AT17</f>
        <v>5.5680567449266292</v>
      </c>
      <c r="AU7" s="97">
        <f>'Receita Líquida - O&amp;G'!AU17</f>
        <v>5.6226455365435566</v>
      </c>
      <c r="AV7" s="97">
        <f>'Receita Líquida - O&amp;G'!AV17</f>
        <v>5.6777695123920227</v>
      </c>
      <c r="AW7" s="97">
        <f>'Receita Líquida - O&amp;G'!AW17</f>
        <v>5.7334339193762576</v>
      </c>
      <c r="AX7" s="97">
        <f>'Receita Líquida - O&amp;G'!AX17</f>
        <v>5.7896440558407303</v>
      </c>
      <c r="AY7" s="97">
        <f>'Receita Líquida - O&amp;G'!AY17</f>
        <v>5.8464052720744633</v>
      </c>
      <c r="AZ7" s="97">
        <f>'Receita Líquida - O&amp;G'!AZ17</f>
        <v>5.903722970820291</v>
      </c>
      <c r="BA7" s="97">
        <f>'Receita Líquida - O&amp;G'!BA17</f>
        <v>5.9616026077891178</v>
      </c>
      <c r="BB7" s="97">
        <f>'Receita Líquida - O&amp;G'!BB17</f>
        <v>6.0200496921792075</v>
      </c>
      <c r="BC7" s="97">
        <f>'Receita Líquida - O&amp;G'!BC17</f>
        <v>6.0790697872005719</v>
      </c>
      <c r="BD7" s="97">
        <f>'Receita Líquida - O&amp;G'!BD17</f>
        <v>6.1386685106044991</v>
      </c>
      <c r="BE7" s="97">
        <f>'Receita Líquida - O&amp;G'!BE17</f>
        <v>6.1988515352182691</v>
      </c>
      <c r="BF7" s="97">
        <f>'Receita Líquida - O&amp;G'!BF17</f>
        <v>6.2596245894851146</v>
      </c>
      <c r="BG7" s="97">
        <f>'Receita Líquida - O&amp;G'!BG17</f>
        <v>6.3209934580094789</v>
      </c>
      <c r="BH7" s="97">
        <f>'Receita Líquida - O&amp;G'!BH17</f>
        <v>6.3829639821076105</v>
      </c>
      <c r="BI7" s="97">
        <f>'Receita Líquida - O&amp;G'!BI17</f>
        <v>6.445542060363568</v>
      </c>
      <c r="BJ7" s="97">
        <f>'Receita Líquida - O&amp;G'!BJ17</f>
        <v>6.5087336491906616</v>
      </c>
      <c r="BK7" s="97">
        <f>'Receita Líquida - O&amp;G'!BK17</f>
        <v>6.5725447633984135</v>
      </c>
      <c r="BL7" s="97">
        <f>'Receita Líquida - O&amp;G'!BL17</f>
        <v>6.6369814767650652</v>
      </c>
      <c r="BM7" s="97">
        <f>'Receita Líquida - O&amp;G'!BM17</f>
        <v>6.7020499226157026</v>
      </c>
      <c r="BN7" s="97">
        <f>'Receita Líquida - O&amp;G'!BN17</f>
        <v>6.7677562944060528</v>
      </c>
      <c r="BO7" s="97">
        <f>'Receita Líquida - O&amp;G'!BO17</f>
        <v>6.8341068463119949</v>
      </c>
      <c r="BP7" s="97">
        <f>'Receita Líquida - O&amp;G'!BP17</f>
        <v>6.9011078938248582</v>
      </c>
      <c r="BQ7" s="97">
        <f>'Receita Líquida - O&amp;G'!BQ17</f>
        <v>6.9687658143525528</v>
      </c>
      <c r="BR7" s="97">
        <f>'Receita Líquida - O&amp;G'!BR17</f>
        <v>7.0370870478265974</v>
      </c>
      <c r="BS7" s="97">
        <f>'Receita Líquida - O&amp;G'!BS17</f>
        <v>7.106078097315093</v>
      </c>
      <c r="BT7" s="97">
        <f>'Receita Líquida - O&amp;G'!BT17</f>
        <v>7.175745529641711</v>
      </c>
      <c r="BU7" s="97">
        <f>'Receita Líquida - O&amp;G'!BU17</f>
        <v>7.2460959760107482</v>
      </c>
      <c r="BV7" s="97">
        <f>'Receita Líquida - O&amp;G'!BV17</f>
        <v>7.3171361326383053</v>
      </c>
      <c r="BW7" s="97">
        <f>'Receita Líquida - O&amp;G'!BW17</f>
        <v>7.3888727613896608</v>
      </c>
    </row>
    <row r="8" spans="1:75" x14ac:dyDescent="0.3">
      <c r="G8" s="25"/>
      <c r="H8" s="25"/>
      <c r="I8" s="25"/>
      <c r="J8" s="25"/>
      <c r="K8" s="25"/>
      <c r="L8" s="25"/>
      <c r="M8" s="25"/>
      <c r="N8" s="25"/>
      <c r="O8" s="25"/>
      <c r="P8" s="25"/>
      <c r="Q8" s="25"/>
      <c r="R8" s="25"/>
      <c r="S8" s="25"/>
      <c r="T8" s="25"/>
      <c r="U8" s="25"/>
      <c r="V8" s="25"/>
      <c r="W8" s="25"/>
      <c r="X8" s="25"/>
      <c r="Y8" s="25"/>
      <c r="Z8" s="25"/>
      <c r="AA8" s="25"/>
      <c r="AB8" s="89"/>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row>
    <row r="9" spans="1:75" s="204" customFormat="1" x14ac:dyDescent="0.3">
      <c r="A9" s="204" t="s">
        <v>87</v>
      </c>
      <c r="G9" s="205"/>
      <c r="H9" s="205"/>
      <c r="I9" s="205"/>
      <c r="J9" s="205"/>
      <c r="K9" s="205"/>
      <c r="L9" s="205"/>
      <c r="M9" s="205"/>
      <c r="N9" s="205"/>
      <c r="O9" s="205"/>
      <c r="P9" s="205"/>
      <c r="Q9" s="205"/>
      <c r="R9" s="205"/>
      <c r="S9" s="205"/>
      <c r="T9" s="205"/>
      <c r="U9" s="205"/>
      <c r="V9" s="205"/>
      <c r="W9" s="205"/>
      <c r="X9" s="205"/>
      <c r="Y9" s="205"/>
      <c r="Z9" s="205"/>
      <c r="AA9" s="205"/>
      <c r="AB9" s="247">
        <f>'Fluxo de Caixa dos Acionistas'!AB45/1000</f>
        <v>-264.29000000000002</v>
      </c>
      <c r="AC9" s="247">
        <f>'Fluxo de Caixa dos Acionistas'!AC45/1000</f>
        <v>-341.05399999999997</v>
      </c>
      <c r="AD9" s="247">
        <f>'Fluxo de Caixa dos Acionistas'!AD45/1000</f>
        <v>-112.09699999999999</v>
      </c>
      <c r="AE9" s="247">
        <f>'Fluxo de Caixa dos Acionistas'!AE45/1000</f>
        <v>-333.74900000000002</v>
      </c>
      <c r="AF9" s="48">
        <f>AD9+AE9+AC9+AB9</f>
        <v>-1051.19</v>
      </c>
      <c r="AG9" s="48">
        <f>SUM(AG10:AG12)</f>
        <v>-314.52460494737028</v>
      </c>
      <c r="AH9" s="48">
        <f t="shared" ref="AH9:BL9" ca="1" si="2">SUM(AH10:AH12)</f>
        <v>-504.30654288169575</v>
      </c>
      <c r="AI9" s="48">
        <f t="shared" ca="1" si="2"/>
        <v>-182.47131884162002</v>
      </c>
      <c r="AJ9" s="48">
        <f ca="1">SUM(AJ10:AJ12)</f>
        <v>86.424387638344299</v>
      </c>
      <c r="AK9" s="48">
        <f t="shared" ca="1" si="2"/>
        <v>169.43670827938641</v>
      </c>
      <c r="AL9" s="48">
        <f t="shared" ca="1" si="2"/>
        <v>272.71084747304837</v>
      </c>
      <c r="AM9" s="48">
        <f t="shared" ca="1" si="2"/>
        <v>275.73538404131745</v>
      </c>
      <c r="AN9" s="48">
        <f t="shared" ca="1" si="2"/>
        <v>248.82703557789227</v>
      </c>
      <c r="AO9" s="48">
        <f t="shared" ca="1" si="2"/>
        <v>212.91007730225749</v>
      </c>
      <c r="AP9" s="48">
        <f t="shared" ca="1" si="2"/>
        <v>189.64710020029821</v>
      </c>
      <c r="AQ9" s="48">
        <f t="shared" ca="1" si="2"/>
        <v>187.73524011158617</v>
      </c>
      <c r="AR9" s="48">
        <f t="shared" ca="1" si="2"/>
        <v>170.28269108774586</v>
      </c>
      <c r="AS9" s="48">
        <f t="shared" ca="1" si="2"/>
        <v>152.56028165682733</v>
      </c>
      <c r="AT9" s="48">
        <f t="shared" ca="1" si="2"/>
        <v>134.68331518323637</v>
      </c>
      <c r="AU9" s="48">
        <f t="shared" ca="1" si="2"/>
        <v>119.43471851721398</v>
      </c>
      <c r="AV9" s="48">
        <f t="shared" ca="1" si="2"/>
        <v>108.47158137045123</v>
      </c>
      <c r="AW9" s="48">
        <f t="shared" ca="1" si="2"/>
        <v>99.017952645227098</v>
      </c>
      <c r="AX9" s="48">
        <f t="shared" ca="1" si="2"/>
        <v>80.372679110090644</v>
      </c>
      <c r="AY9" s="48">
        <f t="shared" ca="1" si="2"/>
        <v>72.534915103511025</v>
      </c>
      <c r="AZ9" s="48">
        <f t="shared" ca="1" si="2"/>
        <v>65.658244242571428</v>
      </c>
      <c r="BA9" s="48">
        <f t="shared" ca="1" si="2"/>
        <v>53.512811065374748</v>
      </c>
      <c r="BB9" s="48">
        <f t="shared" ca="1" si="2"/>
        <v>48.96001122978965</v>
      </c>
      <c r="BC9" s="48">
        <f t="shared" ca="1" si="2"/>
        <v>43.815490493515966</v>
      </c>
      <c r="BD9" s="48">
        <f t="shared" ca="1" si="2"/>
        <v>40.897122663280854</v>
      </c>
      <c r="BE9" s="48">
        <f t="shared" ca="1" si="2"/>
        <v>38.618644838914889</v>
      </c>
      <c r="BF9" s="48">
        <f t="shared" ca="1" si="2"/>
        <v>36.697370949671068</v>
      </c>
      <c r="BG9" s="48">
        <f t="shared" ca="1" si="2"/>
        <v>33.123152935449895</v>
      </c>
      <c r="BH9" s="48">
        <f t="shared" ca="1" si="2"/>
        <v>31.107381644109616</v>
      </c>
      <c r="BI9" s="48">
        <f t="shared" ca="1" si="2"/>
        <v>29.834898654958895</v>
      </c>
      <c r="BJ9" s="48">
        <f t="shared" ca="1" si="2"/>
        <v>19.278891031633716</v>
      </c>
      <c r="BK9" s="48">
        <f t="shared" ca="1" si="2"/>
        <v>0</v>
      </c>
      <c r="BL9" s="48">
        <f t="shared" ca="1" si="2"/>
        <v>0</v>
      </c>
      <c r="BM9" s="48">
        <f ca="1">SUM(BM10:BM12)</f>
        <v>0</v>
      </c>
      <c r="BN9" s="48">
        <f t="shared" ref="BN9:BW9" ca="1" si="3">SUM(BN10:BN12)</f>
        <v>0</v>
      </c>
      <c r="BO9" s="48">
        <f t="shared" ca="1" si="3"/>
        <v>0</v>
      </c>
      <c r="BP9" s="48">
        <f t="shared" ca="1" si="3"/>
        <v>0</v>
      </c>
      <c r="BQ9" s="48">
        <f t="shared" ca="1" si="3"/>
        <v>0</v>
      </c>
      <c r="BR9" s="48">
        <f t="shared" ca="1" si="3"/>
        <v>0</v>
      </c>
      <c r="BS9" s="48">
        <f t="shared" ca="1" si="3"/>
        <v>0</v>
      </c>
      <c r="BT9" s="48">
        <f t="shared" ca="1" si="3"/>
        <v>0</v>
      </c>
      <c r="BU9" s="48">
        <f t="shared" ca="1" si="3"/>
        <v>0</v>
      </c>
      <c r="BV9" s="48">
        <f t="shared" ca="1" si="3"/>
        <v>0</v>
      </c>
      <c r="BW9" s="48">
        <f t="shared" ca="1" si="3"/>
        <v>0</v>
      </c>
    </row>
    <row r="10" spans="1:75" x14ac:dyDescent="0.3">
      <c r="A10" s="5" t="s">
        <v>88</v>
      </c>
      <c r="B10" s="5"/>
      <c r="C10" s="5"/>
      <c r="D10" s="5"/>
      <c r="E10" s="5"/>
      <c r="F10" s="5"/>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51">
        <f>AG19</f>
        <v>117.70431119999999</v>
      </c>
      <c r="AH10" s="51">
        <f t="shared" ref="AH10:BL10" ca="1" si="4">AH19</f>
        <v>177.13368697014727</v>
      </c>
      <c r="AI10" s="51">
        <f t="shared" ca="1" si="4"/>
        <v>204.39736959646888</v>
      </c>
      <c r="AJ10" s="51">
        <f t="shared" ca="1" si="4"/>
        <v>209.13813152738868</v>
      </c>
      <c r="AK10" s="51">
        <f t="shared" ca="1" si="4"/>
        <v>215.20797122335068</v>
      </c>
      <c r="AL10" s="51">
        <f t="shared" ca="1" si="4"/>
        <v>222.31620054939336</v>
      </c>
      <c r="AM10" s="51">
        <f t="shared" ca="1" si="4"/>
        <v>224.78182846449428</v>
      </c>
      <c r="AN10" s="51">
        <f t="shared" ca="1" si="4"/>
        <v>202.33472265393377</v>
      </c>
      <c r="AO10" s="51">
        <f t="shared" ca="1" si="4"/>
        <v>173.12870099155504</v>
      </c>
      <c r="AP10" s="51">
        <f t="shared" ca="1" si="4"/>
        <v>154.2123159247231</v>
      </c>
      <c r="AQ10" s="51">
        <f t="shared" ca="1" si="4"/>
        <v>155.84225280553821</v>
      </c>
      <c r="AR10" s="51">
        <f t="shared" ca="1" si="4"/>
        <v>141.35459158936033</v>
      </c>
      <c r="AS10" s="51">
        <f t="shared" ca="1" si="4"/>
        <v>126.64291460631357</v>
      </c>
      <c r="AT10" s="51">
        <f t="shared" ca="1" si="4"/>
        <v>111.80293716298674</v>
      </c>
      <c r="AU10" s="51">
        <f t="shared" ca="1" si="4"/>
        <v>99.144814718082586</v>
      </c>
      <c r="AV10" s="51">
        <f t="shared" ca="1" si="4"/>
        <v>90.044125951540494</v>
      </c>
      <c r="AW10" s="51">
        <f t="shared" ca="1" si="4"/>
        <v>82.196506096843152</v>
      </c>
      <c r="AX10" s="51">
        <f t="shared" ca="1" si="4"/>
        <v>66.718743742987513</v>
      </c>
      <c r="AY10" s="51">
        <f t="shared" ca="1" si="4"/>
        <v>60.212480992224556</v>
      </c>
      <c r="AZ10" s="51">
        <f t="shared" ca="1" si="4"/>
        <v>54.504038197286214</v>
      </c>
      <c r="BA10" s="51">
        <f t="shared" ca="1" si="4"/>
        <v>43.46363165981856</v>
      </c>
      <c r="BB10" s="51">
        <f t="shared" ca="1" si="4"/>
        <v>39.765802838361061</v>
      </c>
      <c r="BC10" s="51">
        <f t="shared" ca="1" si="4"/>
        <v>35.587372479422719</v>
      </c>
      <c r="BD10" s="51">
        <f t="shared" ca="1" si="4"/>
        <v>33.21704541388609</v>
      </c>
      <c r="BE10" s="51">
        <f t="shared" ca="1" si="4"/>
        <v>31.366443306993848</v>
      </c>
      <c r="BF10" s="51">
        <f t="shared" ca="1" si="4"/>
        <v>29.805965750737254</v>
      </c>
      <c r="BG10" s="51">
        <f t="shared" ca="1" si="4"/>
        <v>26.9029507128575</v>
      </c>
      <c r="BH10" s="51">
        <f t="shared" ca="1" si="4"/>
        <v>25.265721436858275</v>
      </c>
      <c r="BI10" s="51">
        <f t="shared" ca="1" si="4"/>
        <v>24.232198233110488</v>
      </c>
      <c r="BJ10" s="51">
        <f t="shared" ca="1" si="4"/>
        <v>15.658504980892115</v>
      </c>
      <c r="BK10" s="51">
        <f t="shared" ca="1" si="4"/>
        <v>0</v>
      </c>
      <c r="BL10" s="51">
        <f t="shared" ca="1" si="4"/>
        <v>0</v>
      </c>
      <c r="BM10" s="51">
        <f t="shared" ref="BM10:BW10" ca="1" si="5">BM19</f>
        <v>0</v>
      </c>
      <c r="BN10" s="51">
        <f t="shared" ca="1" si="5"/>
        <v>0</v>
      </c>
      <c r="BO10" s="51">
        <f t="shared" ca="1" si="5"/>
        <v>0</v>
      </c>
      <c r="BP10" s="51">
        <f t="shared" ca="1" si="5"/>
        <v>0</v>
      </c>
      <c r="BQ10" s="51">
        <f t="shared" ca="1" si="5"/>
        <v>0</v>
      </c>
      <c r="BR10" s="51">
        <f t="shared" ca="1" si="5"/>
        <v>0</v>
      </c>
      <c r="BS10" s="51">
        <f t="shared" ca="1" si="5"/>
        <v>0</v>
      </c>
      <c r="BT10" s="51">
        <f t="shared" ca="1" si="5"/>
        <v>0</v>
      </c>
      <c r="BU10" s="51">
        <f t="shared" ca="1" si="5"/>
        <v>0</v>
      </c>
      <c r="BV10" s="51">
        <f t="shared" ca="1" si="5"/>
        <v>0</v>
      </c>
      <c r="BW10" s="51">
        <f t="shared" ca="1" si="5"/>
        <v>0</v>
      </c>
    </row>
    <row r="11" spans="1:75" x14ac:dyDescent="0.3">
      <c r="A11" s="5" t="s">
        <v>89</v>
      </c>
      <c r="B11" s="5"/>
      <c r="C11" s="5"/>
      <c r="D11" s="5"/>
      <c r="E11" s="5"/>
      <c r="F11" s="5"/>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51">
        <f>AG39</f>
        <v>-430.75028334736714</v>
      </c>
      <c r="AH11" s="51">
        <f t="shared" ref="AH11:BL11" si="6">AH39</f>
        <v>-318.15266786715858</v>
      </c>
      <c r="AI11" s="51">
        <f t="shared" si="6"/>
        <v>-233.36888943813884</v>
      </c>
      <c r="AJ11" s="51">
        <f t="shared" si="6"/>
        <v>-82.166591608863897</v>
      </c>
      <c r="AK11" s="51">
        <f t="shared" si="6"/>
        <v>-45.771262943964281</v>
      </c>
      <c r="AL11" s="51">
        <f t="shared" si="6"/>
        <v>0</v>
      </c>
      <c r="AM11" s="51">
        <f t="shared" si="6"/>
        <v>0</v>
      </c>
      <c r="AN11" s="51">
        <f t="shared" si="6"/>
        <v>0</v>
      </c>
      <c r="AO11" s="51">
        <f t="shared" si="6"/>
        <v>0</v>
      </c>
      <c r="AP11" s="51">
        <f t="shared" si="6"/>
        <v>0</v>
      </c>
      <c r="AQ11" s="51">
        <f t="shared" si="6"/>
        <v>0</v>
      </c>
      <c r="AR11" s="51">
        <f t="shared" si="6"/>
        <v>0</v>
      </c>
      <c r="AS11" s="51">
        <f t="shared" si="6"/>
        <v>0</v>
      </c>
      <c r="AT11" s="51">
        <f t="shared" si="6"/>
        <v>0</v>
      </c>
      <c r="AU11" s="51">
        <f t="shared" si="6"/>
        <v>0</v>
      </c>
      <c r="AV11" s="51">
        <f t="shared" si="6"/>
        <v>0</v>
      </c>
      <c r="AW11" s="51">
        <f t="shared" si="6"/>
        <v>0</v>
      </c>
      <c r="AX11" s="51">
        <f t="shared" si="6"/>
        <v>0</v>
      </c>
      <c r="AY11" s="51">
        <f t="shared" si="6"/>
        <v>0</v>
      </c>
      <c r="AZ11" s="51">
        <f t="shared" si="6"/>
        <v>0</v>
      </c>
      <c r="BA11" s="51">
        <f t="shared" si="6"/>
        <v>0</v>
      </c>
      <c r="BB11" s="51">
        <f t="shared" si="6"/>
        <v>0</v>
      </c>
      <c r="BC11" s="51">
        <f t="shared" si="6"/>
        <v>0</v>
      </c>
      <c r="BD11" s="51">
        <f t="shared" si="6"/>
        <v>0</v>
      </c>
      <c r="BE11" s="51">
        <f t="shared" si="6"/>
        <v>0</v>
      </c>
      <c r="BF11" s="51">
        <f t="shared" si="6"/>
        <v>0</v>
      </c>
      <c r="BG11" s="51">
        <f t="shared" si="6"/>
        <v>0</v>
      </c>
      <c r="BH11" s="51">
        <f t="shared" si="6"/>
        <v>0</v>
      </c>
      <c r="BI11" s="51">
        <f t="shared" si="6"/>
        <v>0</v>
      </c>
      <c r="BJ11" s="51">
        <f t="shared" si="6"/>
        <v>0</v>
      </c>
      <c r="BK11" s="51">
        <f t="shared" si="6"/>
        <v>0</v>
      </c>
      <c r="BL11" s="51">
        <f t="shared" si="6"/>
        <v>0</v>
      </c>
      <c r="BM11" s="51">
        <f t="shared" ref="BM11:BW11" si="7">BM39</f>
        <v>0</v>
      </c>
      <c r="BN11" s="51">
        <f t="shared" si="7"/>
        <v>0</v>
      </c>
      <c r="BO11" s="51">
        <f t="shared" si="7"/>
        <v>0</v>
      </c>
      <c r="BP11" s="51">
        <f t="shared" si="7"/>
        <v>0</v>
      </c>
      <c r="BQ11" s="51">
        <f t="shared" si="7"/>
        <v>0</v>
      </c>
      <c r="BR11" s="51">
        <f t="shared" si="7"/>
        <v>0</v>
      </c>
      <c r="BS11" s="51">
        <f t="shared" si="7"/>
        <v>0</v>
      </c>
      <c r="BT11" s="51">
        <f t="shared" si="7"/>
        <v>0</v>
      </c>
      <c r="BU11" s="51">
        <f t="shared" si="7"/>
        <v>0</v>
      </c>
      <c r="BV11" s="51">
        <f t="shared" si="7"/>
        <v>0</v>
      </c>
      <c r="BW11" s="51">
        <f t="shared" si="7"/>
        <v>0</v>
      </c>
    </row>
    <row r="12" spans="1:75" x14ac:dyDescent="0.3">
      <c r="A12" s="5" t="s">
        <v>90</v>
      </c>
      <c r="B12" s="5"/>
      <c r="C12" s="5"/>
      <c r="D12" s="5"/>
      <c r="E12" s="5"/>
      <c r="F12" s="5"/>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51">
        <f t="shared" ref="AG12:BW12" si="8">AG22+AG40</f>
        <v>-1.4786328000031204</v>
      </c>
      <c r="AH12" s="51">
        <f t="shared" ca="1" si="8"/>
        <v>-363.28756198468443</v>
      </c>
      <c r="AI12" s="51">
        <f t="shared" ca="1" si="8"/>
        <v>-153.49979899995006</v>
      </c>
      <c r="AJ12" s="51">
        <f t="shared" ca="1" si="8"/>
        <v>-40.547152280180484</v>
      </c>
      <c r="AK12" s="51">
        <f t="shared" ca="1" si="8"/>
        <v>0</v>
      </c>
      <c r="AL12" s="51">
        <f t="shared" ca="1" si="8"/>
        <v>50.394646923655039</v>
      </c>
      <c r="AM12" s="51">
        <f t="shared" ca="1" si="8"/>
        <v>50.953555576823156</v>
      </c>
      <c r="AN12" s="51">
        <f t="shared" ca="1" si="8"/>
        <v>46.492312923958501</v>
      </c>
      <c r="AO12" s="51">
        <f t="shared" ca="1" si="8"/>
        <v>39.781376310702449</v>
      </c>
      <c r="AP12" s="51">
        <f t="shared" ca="1" si="8"/>
        <v>35.434784275575126</v>
      </c>
      <c r="AQ12" s="51">
        <f t="shared" ca="1" si="8"/>
        <v>31.892987306047946</v>
      </c>
      <c r="AR12" s="51">
        <f t="shared" ca="1" si="8"/>
        <v>28.928099498385535</v>
      </c>
      <c r="AS12" s="51">
        <f t="shared" ca="1" si="8"/>
        <v>25.91736705051375</v>
      </c>
      <c r="AT12" s="51">
        <f t="shared" ca="1" si="8"/>
        <v>22.880378020249644</v>
      </c>
      <c r="AU12" s="51">
        <f t="shared" ca="1" si="8"/>
        <v>20.289903799131395</v>
      </c>
      <c r="AV12" s="51">
        <f t="shared" ca="1" si="8"/>
        <v>18.427455418910739</v>
      </c>
      <c r="AW12" s="51">
        <f t="shared" ca="1" si="8"/>
        <v>16.821446548383946</v>
      </c>
      <c r="AX12" s="51">
        <f t="shared" ca="1" si="8"/>
        <v>13.653935367103125</v>
      </c>
      <c r="AY12" s="51">
        <f t="shared" ca="1" si="8"/>
        <v>12.322434111286473</v>
      </c>
      <c r="AZ12" s="51">
        <f t="shared" ca="1" si="8"/>
        <v>11.154206045285218</v>
      </c>
      <c r="BA12" s="51">
        <f t="shared" ca="1" si="8"/>
        <v>10.049179405556185</v>
      </c>
      <c r="BB12" s="51">
        <f t="shared" ca="1" si="8"/>
        <v>9.194208391428587</v>
      </c>
      <c r="BC12" s="51">
        <f t="shared" ca="1" si="8"/>
        <v>8.2281180140932513</v>
      </c>
      <c r="BD12" s="51">
        <f t="shared" ca="1" si="8"/>
        <v>7.680077249394766</v>
      </c>
      <c r="BE12" s="51">
        <f t="shared" ca="1" si="8"/>
        <v>7.2522015319210418</v>
      </c>
      <c r="BF12" s="51">
        <f t="shared" ca="1" si="8"/>
        <v>6.8914051989338132</v>
      </c>
      <c r="BG12" s="51">
        <f t="shared" ca="1" si="8"/>
        <v>6.2202022225923947</v>
      </c>
      <c r="BH12" s="51">
        <f t="shared" ca="1" si="8"/>
        <v>5.8416602072513424</v>
      </c>
      <c r="BI12" s="51">
        <f t="shared" ca="1" si="8"/>
        <v>5.6027004218484082</v>
      </c>
      <c r="BJ12" s="51">
        <f t="shared" ca="1" si="8"/>
        <v>3.6203860507416015</v>
      </c>
      <c r="BK12" s="51">
        <f t="shared" ca="1" si="8"/>
        <v>0</v>
      </c>
      <c r="BL12" s="51">
        <f t="shared" ca="1" si="8"/>
        <v>0</v>
      </c>
      <c r="BM12" s="51">
        <f t="shared" ca="1" si="8"/>
        <v>0</v>
      </c>
      <c r="BN12" s="51">
        <f t="shared" ca="1" si="8"/>
        <v>0</v>
      </c>
      <c r="BO12" s="51">
        <f t="shared" ca="1" si="8"/>
        <v>0</v>
      </c>
      <c r="BP12" s="51">
        <f t="shared" ca="1" si="8"/>
        <v>0</v>
      </c>
      <c r="BQ12" s="51">
        <f t="shared" ca="1" si="8"/>
        <v>0</v>
      </c>
      <c r="BR12" s="51">
        <f t="shared" ca="1" si="8"/>
        <v>0</v>
      </c>
      <c r="BS12" s="51">
        <f t="shared" ca="1" si="8"/>
        <v>0</v>
      </c>
      <c r="BT12" s="51">
        <f t="shared" ca="1" si="8"/>
        <v>0</v>
      </c>
      <c r="BU12" s="51">
        <f t="shared" ca="1" si="8"/>
        <v>0</v>
      </c>
      <c r="BV12" s="51">
        <f t="shared" ca="1" si="8"/>
        <v>0</v>
      </c>
      <c r="BW12" s="51">
        <f t="shared" ca="1" si="8"/>
        <v>0</v>
      </c>
    </row>
    <row r="13" spans="1:75" x14ac:dyDescent="0.3">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row>
    <row r="14" spans="1:75" s="204" customFormat="1" ht="13.8" x14ac:dyDescent="0.3">
      <c r="A14" s="204" t="s">
        <v>104</v>
      </c>
    </row>
    <row r="15" spans="1:75" s="2" customFormat="1" ht="13.8" x14ac:dyDescent="0.3">
      <c r="AA15" s="96">
        <f>AA16-'Balanço Planilhado'!AA17/1000</f>
        <v>0</v>
      </c>
      <c r="AB15" s="96">
        <f>AB16-'Balanço Planilhado'!AB17/1000</f>
        <v>0</v>
      </c>
      <c r="AC15" s="96">
        <f>AC16-'Balanço Planilhado'!AC17/1000</f>
        <v>0</v>
      </c>
      <c r="AD15" s="96">
        <f>AD16-'Balanço Planilhado'!AD17/1000</f>
        <v>0</v>
      </c>
    </row>
    <row r="16" spans="1:75" x14ac:dyDescent="0.3">
      <c r="A16" s="6" t="s">
        <v>91</v>
      </c>
      <c r="B16" s="5"/>
      <c r="C16" s="5"/>
      <c r="D16" s="5"/>
      <c r="E16" s="5"/>
      <c r="F16" s="5"/>
      <c r="G16" s="78">
        <f>154.109+643.783+11.628</f>
        <v>809.5200000000001</v>
      </c>
      <c r="H16" s="24"/>
      <c r="I16" s="24"/>
      <c r="J16" s="24"/>
      <c r="K16" s="24"/>
      <c r="L16" s="78">
        <f>459.396+226.301+52.223</f>
        <v>737.92</v>
      </c>
      <c r="M16" s="24"/>
      <c r="N16" s="24"/>
      <c r="O16" s="24"/>
      <c r="P16" s="24"/>
      <c r="Q16" s="78">
        <f>(809273+22793+49996)/1000</f>
        <v>882.06200000000001</v>
      </c>
      <c r="R16" s="24"/>
      <c r="S16" s="24"/>
      <c r="T16" s="24"/>
      <c r="U16" s="24"/>
      <c r="V16" s="78">
        <v>970.61800000000005</v>
      </c>
      <c r="W16" s="24"/>
      <c r="X16" s="24"/>
      <c r="Y16" s="24"/>
      <c r="Z16" s="24"/>
      <c r="AA16" s="78">
        <v>9612.9609999999993</v>
      </c>
      <c r="AB16" s="78">
        <v>527.17999999999995</v>
      </c>
      <c r="AC16" s="78">
        <v>1155.2529999999999</v>
      </c>
      <c r="AD16" s="78">
        <v>2225.259</v>
      </c>
      <c r="AE16" s="78">
        <v>2335.4029999999998</v>
      </c>
      <c r="AF16" s="51">
        <f>'Balanço Planilhado'!AF17/1000</f>
        <v>2335.4029999999998</v>
      </c>
      <c r="AG16" s="51">
        <f ca="1">'Balanço Planilhado'!AG17/1000</f>
        <v>4099.1460894113607</v>
      </c>
      <c r="AH16" s="51">
        <f ca="1">'Balanço Planilhado'!AH17/1000</f>
        <v>5082.7591250062624</v>
      </c>
      <c r="AI16" s="51">
        <f ca="1">'Balanço Planilhado'!AI17/1000</f>
        <v>5182.4350804648184</v>
      </c>
      <c r="AJ16" s="51">
        <f ca="1">'Balanço Planilhado'!AJ17/1000</f>
        <v>5332.845481205306</v>
      </c>
      <c r="AK16" s="51">
        <f ca="1">'Balanço Planilhado'!AK17/1000</f>
        <v>5140.2539862127405</v>
      </c>
      <c r="AL16" s="51">
        <f ca="1">'Balanço Planilhado'!AL17/1000</f>
        <v>5197.2626688359351</v>
      </c>
      <c r="AM16" s="51">
        <f ca="1">'Balanço Planilhado'!AM17/1000</f>
        <v>4742.2159182437254</v>
      </c>
      <c r="AN16" s="51">
        <f ca="1">'Balanço Planilhado'!AN17/1000</f>
        <v>4057.7003836916497</v>
      </c>
      <c r="AO16" s="51">
        <f ca="1">'Balanço Planilhado'!AO17/1000</f>
        <v>3614.3479961086859</v>
      </c>
      <c r="AP16" s="51">
        <f ca="1">'Balanço Planilhado'!AP17/1000</f>
        <v>3253.0847052169106</v>
      </c>
      <c r="AQ16" s="51">
        <f ca="1">'Balanço Planilhado'!AQ17/1000</f>
        <v>2950.666148835277</v>
      </c>
      <c r="AR16" s="51">
        <f ca="1">'Balanço Planilhado'!AR17/1000</f>
        <v>2643.5714391524075</v>
      </c>
      <c r="AS16" s="51">
        <f ca="1">'Balanço Planilhado'!AS17/1000</f>
        <v>2333.7985580654699</v>
      </c>
      <c r="AT16" s="51">
        <f ca="1">'Balanço Planilhado'!AT17/1000</f>
        <v>2069.5701875114141</v>
      </c>
      <c r="AU16" s="51">
        <f ca="1">'Balanço Planilhado'!AU17/1000</f>
        <v>1879.6004527289012</v>
      </c>
      <c r="AV16" s="51">
        <f ca="1">'Balanço Planilhado'!AV17/1000</f>
        <v>1715.787547935181</v>
      </c>
      <c r="AW16" s="51">
        <f ca="1">'Balanço Planilhado'!AW17/1000</f>
        <v>1392.701407444529</v>
      </c>
      <c r="AX16" s="51">
        <f ca="1">'Balanço Planilhado'!AX17/1000</f>
        <v>1256.888279351213</v>
      </c>
      <c r="AY16" s="51">
        <f ca="1">'Balanço Planilhado'!AY17/1000</f>
        <v>1137.7290166190994</v>
      </c>
      <c r="AZ16" s="51">
        <f ca="1">'Balanço Planilhado'!AZ17/1000</f>
        <v>1025.0162993667234</v>
      </c>
      <c r="BA16" s="51">
        <f ca="1">'Balanço Planilhado'!BA17/1000</f>
        <v>937.80925592571054</v>
      </c>
      <c r="BB16" s="51">
        <f ca="1">'Balanço Planilhado'!BB17/1000</f>
        <v>839.26803743751702</v>
      </c>
      <c r="BC16" s="51">
        <f ca="1">'Balanço Planilhado'!BC17/1000</f>
        <v>783.36787943826516</v>
      </c>
      <c r="BD16" s="51">
        <f ca="1">'Balanço Planilhado'!BD17/1000</f>
        <v>739.72455625594125</v>
      </c>
      <c r="BE16" s="51">
        <f ca="1">'Balanço Planilhado'!BE17/1000</f>
        <v>702.92333029125302</v>
      </c>
      <c r="BF16" s="51">
        <f ca="1">'Balanço Planilhado'!BF17/1000</f>
        <v>634.46062670441984</v>
      </c>
      <c r="BG16" s="51">
        <f ca="1">'Balanço Planilhado'!BG17/1000</f>
        <v>595.84934113964175</v>
      </c>
      <c r="BH16" s="51">
        <f ca="1">'Balanço Planilhado'!BH17/1000</f>
        <v>571.4754430285326</v>
      </c>
      <c r="BI16" s="51">
        <f ca="1">'Balanço Planilhado'!BI17/1000</f>
        <v>369.27937717564498</v>
      </c>
      <c r="BJ16" s="51">
        <f ca="1">'Balanço Planilhado'!BJ17/1000</f>
        <v>0</v>
      </c>
      <c r="BK16" s="51">
        <f ca="1">'Balanço Planilhado'!BK17/1000</f>
        <v>0</v>
      </c>
      <c r="BL16" s="51">
        <f ca="1">'Balanço Planilhado'!BL17/1000</f>
        <v>0</v>
      </c>
      <c r="BM16" s="51">
        <f ca="1">'Balanço Planilhado'!BM17/1000</f>
        <v>0</v>
      </c>
      <c r="BN16" s="51">
        <f ca="1">'Balanço Planilhado'!BN17/1000</f>
        <v>0</v>
      </c>
      <c r="BO16" s="51">
        <f ca="1">'Balanço Planilhado'!BO17/1000</f>
        <v>0</v>
      </c>
      <c r="BP16" s="51">
        <f ca="1">'Balanço Planilhado'!BP17/1000</f>
        <v>0</v>
      </c>
      <c r="BQ16" s="51">
        <f ca="1">'Balanço Planilhado'!BQ17/1000</f>
        <v>0</v>
      </c>
      <c r="BR16" s="51">
        <f ca="1">'Balanço Planilhado'!BR17/1000</f>
        <v>0</v>
      </c>
      <c r="BS16" s="51">
        <f ca="1">'Balanço Planilhado'!BS17/1000</f>
        <v>0</v>
      </c>
      <c r="BT16" s="51">
        <f ca="1">'Balanço Planilhado'!BT17/1000</f>
        <v>0</v>
      </c>
      <c r="BU16" s="51">
        <f ca="1">'Balanço Planilhado'!BU17/1000</f>
        <v>0</v>
      </c>
      <c r="BV16" s="51">
        <f ca="1">'Balanço Planilhado'!BV17/1000</f>
        <v>0</v>
      </c>
      <c r="BW16" s="51">
        <f ca="1">'Balanço Planilhado'!BW17/1000</f>
        <v>0</v>
      </c>
    </row>
    <row r="17" spans="1:75" x14ac:dyDescent="0.3">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row>
    <row r="18" spans="1:75" x14ac:dyDescent="0.3">
      <c r="A18" s="2" t="s">
        <v>103</v>
      </c>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74">
        <f>AG6</f>
        <v>5.04E-2</v>
      </c>
      <c r="AH18" s="74">
        <f t="shared" ref="AH18:BW18" si="9">AH6</f>
        <v>4.3212338156892516E-2</v>
      </c>
      <c r="AI18" s="74">
        <f t="shared" si="9"/>
        <v>4.0213861127290196E-2</v>
      </c>
      <c r="AJ18" s="74">
        <f t="shared" si="9"/>
        <v>4.0355185985008202E-2</v>
      </c>
      <c r="AK18" s="74">
        <f t="shared" si="9"/>
        <v>4.0355185985008202E-2</v>
      </c>
      <c r="AL18" s="74">
        <f t="shared" si="9"/>
        <v>4.3250041952341833E-2</v>
      </c>
      <c r="AM18" s="74">
        <f t="shared" si="9"/>
        <v>4.3250041952341833E-2</v>
      </c>
      <c r="AN18" s="74">
        <f t="shared" si="9"/>
        <v>4.2666703950685614E-2</v>
      </c>
      <c r="AO18" s="74">
        <f t="shared" si="9"/>
        <v>4.2666703950685614E-2</v>
      </c>
      <c r="AP18" s="74">
        <f t="shared" si="9"/>
        <v>4.2666703950685614E-2</v>
      </c>
      <c r="AQ18" s="74">
        <f t="shared" si="9"/>
        <v>4.7905992904401451E-2</v>
      </c>
      <c r="AR18" s="74">
        <f t="shared" si="9"/>
        <v>4.7905992904401451E-2</v>
      </c>
      <c r="AS18" s="74">
        <f t="shared" si="9"/>
        <v>4.7905992904401451E-2</v>
      </c>
      <c r="AT18" s="74">
        <f t="shared" si="9"/>
        <v>4.7905992904401451E-2</v>
      </c>
      <c r="AU18" s="74">
        <f t="shared" si="9"/>
        <v>4.7905992904401451E-2</v>
      </c>
      <c r="AV18" s="74">
        <f t="shared" si="9"/>
        <v>4.7905992904401451E-2</v>
      </c>
      <c r="AW18" s="74">
        <f t="shared" si="9"/>
        <v>4.7905992904401451E-2</v>
      </c>
      <c r="AX18" s="74">
        <f t="shared" si="9"/>
        <v>4.7905992904401451E-2</v>
      </c>
      <c r="AY18" s="74">
        <f t="shared" si="9"/>
        <v>4.7905992904401451E-2</v>
      </c>
      <c r="AZ18" s="74">
        <f t="shared" si="9"/>
        <v>4.7905992904401451E-2</v>
      </c>
      <c r="BA18" s="74">
        <f t="shared" si="9"/>
        <v>4.2402868799912063E-2</v>
      </c>
      <c r="BB18" s="74">
        <f t="shared" si="9"/>
        <v>4.2402868799912063E-2</v>
      </c>
      <c r="BC18" s="74">
        <f t="shared" si="9"/>
        <v>4.2402868799912063E-2</v>
      </c>
      <c r="BD18" s="74">
        <f t="shared" si="9"/>
        <v>4.2402868799912063E-2</v>
      </c>
      <c r="BE18" s="74">
        <f t="shared" si="9"/>
        <v>4.2402868799912063E-2</v>
      </c>
      <c r="BF18" s="74">
        <f t="shared" si="9"/>
        <v>4.2402868799912063E-2</v>
      </c>
      <c r="BG18" s="74">
        <f t="shared" si="9"/>
        <v>4.2402868799912063E-2</v>
      </c>
      <c r="BH18" s="74">
        <f t="shared" si="9"/>
        <v>4.2402868799912063E-2</v>
      </c>
      <c r="BI18" s="74">
        <f t="shared" si="9"/>
        <v>4.2402868799912063E-2</v>
      </c>
      <c r="BJ18" s="74">
        <f t="shared" si="9"/>
        <v>4.2402868799912063E-2</v>
      </c>
      <c r="BK18" s="74">
        <f t="shared" si="9"/>
        <v>4.2402868799912063E-2</v>
      </c>
      <c r="BL18" s="74">
        <f t="shared" si="9"/>
        <v>4.2402868799912063E-2</v>
      </c>
      <c r="BM18" s="74">
        <f t="shared" si="9"/>
        <v>4.2402868799912063E-2</v>
      </c>
      <c r="BN18" s="74">
        <f t="shared" si="9"/>
        <v>4.2402868799912063E-2</v>
      </c>
      <c r="BO18" s="74">
        <f t="shared" si="9"/>
        <v>4.2402868799912063E-2</v>
      </c>
      <c r="BP18" s="74">
        <f t="shared" si="9"/>
        <v>4.2402868799912063E-2</v>
      </c>
      <c r="BQ18" s="74">
        <f t="shared" si="9"/>
        <v>4.2402868799912063E-2</v>
      </c>
      <c r="BR18" s="74">
        <f t="shared" si="9"/>
        <v>4.2402868799912063E-2</v>
      </c>
      <c r="BS18" s="74">
        <f t="shared" si="9"/>
        <v>4.2402868799912063E-2</v>
      </c>
      <c r="BT18" s="74">
        <f t="shared" si="9"/>
        <v>4.2402868799912063E-2</v>
      </c>
      <c r="BU18" s="74">
        <f t="shared" si="9"/>
        <v>4.2402868799912063E-2</v>
      </c>
      <c r="BV18" s="74">
        <f t="shared" si="9"/>
        <v>4.2402868799912063E-2</v>
      </c>
      <c r="BW18" s="74">
        <f t="shared" si="9"/>
        <v>4.2402868799912063E-2</v>
      </c>
    </row>
    <row r="19" spans="1:75" s="34" customFormat="1" x14ac:dyDescent="0.3">
      <c r="A19" s="4" t="s">
        <v>92</v>
      </c>
      <c r="B19" s="4"/>
      <c r="C19" s="4"/>
      <c r="D19" s="4"/>
      <c r="E19" s="4"/>
      <c r="F19" s="4"/>
      <c r="AC19" s="25"/>
      <c r="AD19" s="25"/>
      <c r="AE19" s="25"/>
      <c r="AG19" s="48">
        <f>AG18*AF16</f>
        <v>117.70431119999999</v>
      </c>
      <c r="AH19" s="48">
        <f t="shared" ref="AH19:BW19" ca="1" si="10">AH18*AG16</f>
        <v>177.13368697014727</v>
      </c>
      <c r="AI19" s="48">
        <f t="shared" ca="1" si="10"/>
        <v>204.39736959646888</v>
      </c>
      <c r="AJ19" s="48">
        <f t="shared" ca="1" si="10"/>
        <v>209.13813152738868</v>
      </c>
      <c r="AK19" s="48">
        <f t="shared" ca="1" si="10"/>
        <v>215.20797122335068</v>
      </c>
      <c r="AL19" s="48">
        <f t="shared" ca="1" si="10"/>
        <v>222.31620054939336</v>
      </c>
      <c r="AM19" s="48">
        <f t="shared" ca="1" si="10"/>
        <v>224.78182846449428</v>
      </c>
      <c r="AN19" s="48">
        <f t="shared" ca="1" si="10"/>
        <v>202.33472265393377</v>
      </c>
      <c r="AO19" s="48">
        <f t="shared" ca="1" si="10"/>
        <v>173.12870099155504</v>
      </c>
      <c r="AP19" s="48">
        <f t="shared" ca="1" si="10"/>
        <v>154.2123159247231</v>
      </c>
      <c r="AQ19" s="48">
        <f t="shared" ca="1" si="10"/>
        <v>155.84225280553821</v>
      </c>
      <c r="AR19" s="48">
        <f t="shared" ca="1" si="10"/>
        <v>141.35459158936033</v>
      </c>
      <c r="AS19" s="48">
        <f t="shared" ca="1" si="10"/>
        <v>126.64291460631357</v>
      </c>
      <c r="AT19" s="48">
        <f t="shared" ca="1" si="10"/>
        <v>111.80293716298674</v>
      </c>
      <c r="AU19" s="48">
        <f t="shared" ca="1" si="10"/>
        <v>99.144814718082586</v>
      </c>
      <c r="AV19" s="48">
        <f t="shared" ca="1" si="10"/>
        <v>90.044125951540494</v>
      </c>
      <c r="AW19" s="48">
        <f t="shared" ca="1" si="10"/>
        <v>82.196506096843152</v>
      </c>
      <c r="AX19" s="48">
        <f t="shared" ca="1" si="10"/>
        <v>66.718743742987513</v>
      </c>
      <c r="AY19" s="48">
        <f t="shared" ca="1" si="10"/>
        <v>60.212480992224556</v>
      </c>
      <c r="AZ19" s="48">
        <f t="shared" ca="1" si="10"/>
        <v>54.504038197286214</v>
      </c>
      <c r="BA19" s="48">
        <f t="shared" ca="1" si="10"/>
        <v>43.46363165981856</v>
      </c>
      <c r="BB19" s="48">
        <f t="shared" ca="1" si="10"/>
        <v>39.765802838361061</v>
      </c>
      <c r="BC19" s="48">
        <f t="shared" ca="1" si="10"/>
        <v>35.587372479422719</v>
      </c>
      <c r="BD19" s="48">
        <f t="shared" ca="1" si="10"/>
        <v>33.21704541388609</v>
      </c>
      <c r="BE19" s="48">
        <f t="shared" ca="1" si="10"/>
        <v>31.366443306993848</v>
      </c>
      <c r="BF19" s="48">
        <f t="shared" ca="1" si="10"/>
        <v>29.805965750737254</v>
      </c>
      <c r="BG19" s="48">
        <f t="shared" ca="1" si="10"/>
        <v>26.9029507128575</v>
      </c>
      <c r="BH19" s="48">
        <f t="shared" ca="1" si="10"/>
        <v>25.265721436858275</v>
      </c>
      <c r="BI19" s="48">
        <f t="shared" ca="1" si="10"/>
        <v>24.232198233110488</v>
      </c>
      <c r="BJ19" s="48">
        <f t="shared" ca="1" si="10"/>
        <v>15.658504980892115</v>
      </c>
      <c r="BK19" s="48">
        <f t="shared" ca="1" si="10"/>
        <v>0</v>
      </c>
      <c r="BL19" s="48">
        <f t="shared" ca="1" si="10"/>
        <v>0</v>
      </c>
      <c r="BM19" s="48">
        <f t="shared" ca="1" si="10"/>
        <v>0</v>
      </c>
      <c r="BN19" s="48">
        <f t="shared" ca="1" si="10"/>
        <v>0</v>
      </c>
      <c r="BO19" s="48">
        <f t="shared" ca="1" si="10"/>
        <v>0</v>
      </c>
      <c r="BP19" s="48">
        <f t="shared" ca="1" si="10"/>
        <v>0</v>
      </c>
      <c r="BQ19" s="48">
        <f t="shared" ca="1" si="10"/>
        <v>0</v>
      </c>
      <c r="BR19" s="48">
        <f t="shared" ca="1" si="10"/>
        <v>0</v>
      </c>
      <c r="BS19" s="48">
        <f t="shared" ca="1" si="10"/>
        <v>0</v>
      </c>
      <c r="BT19" s="48">
        <f t="shared" ca="1" si="10"/>
        <v>0</v>
      </c>
      <c r="BU19" s="48">
        <f t="shared" ca="1" si="10"/>
        <v>0</v>
      </c>
      <c r="BV19" s="48">
        <f t="shared" ca="1" si="10"/>
        <v>0</v>
      </c>
      <c r="BW19" s="48">
        <f t="shared" ca="1" si="10"/>
        <v>0</v>
      </c>
    </row>
    <row r="20" spans="1:75" x14ac:dyDescent="0.3">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row>
    <row r="21" spans="1:75" x14ac:dyDescent="0.3">
      <c r="A21" s="2" t="s">
        <v>697</v>
      </c>
      <c r="AC21" s="25"/>
      <c r="AD21" s="25"/>
      <c r="AE21" s="25"/>
      <c r="AG21" s="51">
        <f ca="1">(AG16)/AG7</f>
        <v>831.01467541333568</v>
      </c>
      <c r="AH21" s="51">
        <f t="shared" ref="AH21:BW21" ca="1" si="11">(AH16)/AH7</f>
        <v>1016.5518250012525</v>
      </c>
      <c r="AI21" s="51">
        <f t="shared" ca="1" si="11"/>
        <v>1028.2609286636543</v>
      </c>
      <c r="AJ21" s="51">
        <f t="shared" ca="1" si="11"/>
        <v>1045.6559767069227</v>
      </c>
      <c r="AK21" s="51">
        <f t="shared" ca="1" si="11"/>
        <v>1007.8929384730865</v>
      </c>
      <c r="AL21" s="51">
        <f t="shared" ca="1" si="11"/>
        <v>1009.177217249696</v>
      </c>
      <c r="AM21" s="51">
        <f t="shared" ca="1" si="11"/>
        <v>911.87863825216311</v>
      </c>
      <c r="AN21" s="51">
        <f t="shared" ca="1" si="11"/>
        <v>772.67816740920489</v>
      </c>
      <c r="AO21" s="51">
        <f t="shared" ca="1" si="11"/>
        <v>681.57174322864796</v>
      </c>
      <c r="AP21" s="51">
        <f t="shared" ca="1" si="11"/>
        <v>607.49111572379843</v>
      </c>
      <c r="AQ21" s="51">
        <f t="shared" ca="1" si="11"/>
        <v>545.66686250696921</v>
      </c>
      <c r="AR21" s="51">
        <f t="shared" ca="1" si="11"/>
        <v>484.12945280118271</v>
      </c>
      <c r="AS21" s="51">
        <f t="shared" ca="1" si="11"/>
        <v>423.24980582014052</v>
      </c>
      <c r="AT21" s="51">
        <f t="shared" ca="1" si="11"/>
        <v>371.68626009372417</v>
      </c>
      <c r="AU21" s="51">
        <f t="shared" ca="1" si="11"/>
        <v>334.29111625705639</v>
      </c>
      <c r="AV21" s="51">
        <f t="shared" ca="1" si="11"/>
        <v>302.193941510022</v>
      </c>
      <c r="AW21" s="51">
        <f t="shared" ca="1" si="11"/>
        <v>242.90877457187847</v>
      </c>
      <c r="AX21" s="51">
        <f t="shared" ca="1" si="11"/>
        <v>217.09249605478496</v>
      </c>
      <c r="AY21" s="51">
        <f t="shared" ca="1" si="11"/>
        <v>194.60317300504252</v>
      </c>
      <c r="AZ21" s="51">
        <f t="shared" ca="1" si="11"/>
        <v>173.62201858606227</v>
      </c>
      <c r="BA21" s="51">
        <f t="shared" ca="1" si="11"/>
        <v>157.30824706437463</v>
      </c>
      <c r="BB21" s="51">
        <f t="shared" ca="1" si="11"/>
        <v>139.41214447578903</v>
      </c>
      <c r="BC21" s="51">
        <f t="shared" ca="1" si="11"/>
        <v>128.86311670374954</v>
      </c>
      <c r="BD21" s="51">
        <f t="shared" ca="1" si="11"/>
        <v>120.50244364524215</v>
      </c>
      <c r="BE21" s="51">
        <f t="shared" ca="1" si="11"/>
        <v>113.39573569356379</v>
      </c>
      <c r="BF21" s="51">
        <f t="shared" ca="1" si="11"/>
        <v>101.357616201167</v>
      </c>
      <c r="BG21" s="51">
        <f t="shared" ca="1" si="11"/>
        <v>94.265141246844209</v>
      </c>
      <c r="BH21" s="51">
        <f t="shared" ca="1" si="11"/>
        <v>89.531359511108406</v>
      </c>
      <c r="BI21" s="51">
        <f t="shared" ca="1" si="11"/>
        <v>57.292214326938293</v>
      </c>
      <c r="BJ21" s="51">
        <f t="shared" ca="1" si="11"/>
        <v>0</v>
      </c>
      <c r="BK21" s="51">
        <f t="shared" ca="1" si="11"/>
        <v>0</v>
      </c>
      <c r="BL21" s="51">
        <f t="shared" ca="1" si="11"/>
        <v>0</v>
      </c>
      <c r="BM21" s="51">
        <f t="shared" ca="1" si="11"/>
        <v>0</v>
      </c>
      <c r="BN21" s="51">
        <f t="shared" ca="1" si="11"/>
        <v>0</v>
      </c>
      <c r="BO21" s="51">
        <f t="shared" ca="1" si="11"/>
        <v>0</v>
      </c>
      <c r="BP21" s="51">
        <f t="shared" ca="1" si="11"/>
        <v>0</v>
      </c>
      <c r="BQ21" s="51">
        <f t="shared" ca="1" si="11"/>
        <v>0</v>
      </c>
      <c r="BR21" s="51">
        <f t="shared" ca="1" si="11"/>
        <v>0</v>
      </c>
      <c r="BS21" s="51">
        <f t="shared" ca="1" si="11"/>
        <v>0</v>
      </c>
      <c r="BT21" s="51">
        <f t="shared" ca="1" si="11"/>
        <v>0</v>
      </c>
      <c r="BU21" s="51">
        <f t="shared" ca="1" si="11"/>
        <v>0</v>
      </c>
      <c r="BV21" s="51">
        <f t="shared" ca="1" si="11"/>
        <v>0</v>
      </c>
      <c r="BW21" s="51">
        <f t="shared" ca="1" si="11"/>
        <v>0</v>
      </c>
    </row>
    <row r="22" spans="1:75" x14ac:dyDescent="0.3">
      <c r="A22" s="4" t="s">
        <v>695</v>
      </c>
      <c r="G22" s="25"/>
      <c r="H22" s="25"/>
      <c r="I22" s="25"/>
      <c r="J22" s="25"/>
      <c r="K22" s="25"/>
      <c r="L22" s="25"/>
      <c r="M22" s="25"/>
      <c r="N22" s="25"/>
      <c r="O22" s="25"/>
      <c r="P22" s="25"/>
      <c r="Q22" s="25"/>
      <c r="R22" s="25"/>
      <c r="S22" s="25"/>
      <c r="T22" s="25"/>
      <c r="U22" s="25"/>
      <c r="V22" s="25"/>
      <c r="W22" s="25"/>
      <c r="X22" s="25"/>
      <c r="Y22" s="25"/>
      <c r="AC22" s="25"/>
      <c r="AD22" s="25"/>
      <c r="AE22" s="25"/>
      <c r="AG22" s="48">
        <f>(AG7-AF7)*AF21</f>
        <v>0</v>
      </c>
      <c r="AH22" s="48">
        <f t="shared" ref="AH22:BW22" ca="1" si="12">(AH7-AG7)*AG21</f>
        <v>55.927287655317791</v>
      </c>
      <c r="AI22" s="48">
        <f t="shared" ca="1" si="12"/>
        <v>40.662073000050135</v>
      </c>
      <c r="AJ22" s="48">
        <f t="shared" ca="1" si="12"/>
        <v>61.695655719818859</v>
      </c>
      <c r="AK22" s="48">
        <f t="shared" ca="1" si="12"/>
        <v>0</v>
      </c>
      <c r="AL22" s="48">
        <f t="shared" ca="1" si="12"/>
        <v>50.394646923655039</v>
      </c>
      <c r="AM22" s="48">
        <f t="shared" ca="1" si="12"/>
        <v>50.953555576823156</v>
      </c>
      <c r="AN22" s="48">
        <f t="shared" ca="1" si="12"/>
        <v>46.492312923958501</v>
      </c>
      <c r="AO22" s="48">
        <f t="shared" ca="1" si="12"/>
        <v>39.781376310702449</v>
      </c>
      <c r="AP22" s="48">
        <f t="shared" ca="1" si="12"/>
        <v>35.434784275575126</v>
      </c>
      <c r="AQ22" s="48">
        <f t="shared" ca="1" si="12"/>
        <v>31.892987306047946</v>
      </c>
      <c r="AR22" s="48">
        <f t="shared" ca="1" si="12"/>
        <v>28.928099498385535</v>
      </c>
      <c r="AS22" s="48">
        <f t="shared" ca="1" si="12"/>
        <v>25.91736705051375</v>
      </c>
      <c r="AT22" s="48">
        <f t="shared" ca="1" si="12"/>
        <v>22.880378020249644</v>
      </c>
      <c r="AU22" s="48">
        <f t="shared" ca="1" si="12"/>
        <v>20.289903799131395</v>
      </c>
      <c r="AV22" s="48">
        <f t="shared" ca="1" si="12"/>
        <v>18.427455418910739</v>
      </c>
      <c r="AW22" s="48">
        <f t="shared" ca="1" si="12"/>
        <v>16.821446548383946</v>
      </c>
      <c r="AX22" s="48">
        <f t="shared" ca="1" si="12"/>
        <v>13.653935367103125</v>
      </c>
      <c r="AY22" s="48">
        <f t="shared" ca="1" si="12"/>
        <v>12.322434111286473</v>
      </c>
      <c r="AZ22" s="48">
        <f t="shared" ca="1" si="12"/>
        <v>11.154206045285218</v>
      </c>
      <c r="BA22" s="48">
        <f t="shared" ca="1" si="12"/>
        <v>10.049179405556185</v>
      </c>
      <c r="BB22" s="48">
        <f t="shared" ca="1" si="12"/>
        <v>9.194208391428587</v>
      </c>
      <c r="BC22" s="48">
        <f t="shared" ca="1" si="12"/>
        <v>8.2281180140932513</v>
      </c>
      <c r="BD22" s="48">
        <f t="shared" ca="1" si="12"/>
        <v>7.680077249394766</v>
      </c>
      <c r="BE22" s="48">
        <f t="shared" ca="1" si="12"/>
        <v>7.2522015319210418</v>
      </c>
      <c r="BF22" s="48">
        <f t="shared" ca="1" si="12"/>
        <v>6.8914051989338132</v>
      </c>
      <c r="BG22" s="48">
        <f t="shared" ca="1" si="12"/>
        <v>6.2202022225923947</v>
      </c>
      <c r="BH22" s="48">
        <f t="shared" ca="1" si="12"/>
        <v>5.8416602072513424</v>
      </c>
      <c r="BI22" s="48">
        <f t="shared" ca="1" si="12"/>
        <v>5.6027004218484082</v>
      </c>
      <c r="BJ22" s="48">
        <f t="shared" ca="1" si="12"/>
        <v>3.6203860507416015</v>
      </c>
      <c r="BK22" s="48">
        <f t="shared" ca="1" si="12"/>
        <v>0</v>
      </c>
      <c r="BL22" s="48">
        <f t="shared" ca="1" si="12"/>
        <v>0</v>
      </c>
      <c r="BM22" s="48">
        <f t="shared" ca="1" si="12"/>
        <v>0</v>
      </c>
      <c r="BN22" s="48">
        <f t="shared" ca="1" si="12"/>
        <v>0</v>
      </c>
      <c r="BO22" s="48">
        <f t="shared" ca="1" si="12"/>
        <v>0</v>
      </c>
      <c r="BP22" s="48">
        <f t="shared" ca="1" si="12"/>
        <v>0</v>
      </c>
      <c r="BQ22" s="48">
        <f t="shared" ca="1" si="12"/>
        <v>0</v>
      </c>
      <c r="BR22" s="48">
        <f t="shared" ca="1" si="12"/>
        <v>0</v>
      </c>
      <c r="BS22" s="48">
        <f t="shared" ca="1" si="12"/>
        <v>0</v>
      </c>
      <c r="BT22" s="48">
        <f t="shared" ca="1" si="12"/>
        <v>0</v>
      </c>
      <c r="BU22" s="48">
        <f t="shared" ca="1" si="12"/>
        <v>0</v>
      </c>
      <c r="BV22" s="48">
        <f t="shared" ca="1" si="12"/>
        <v>0</v>
      </c>
      <c r="BW22" s="48">
        <f t="shared" ca="1" si="12"/>
        <v>0</v>
      </c>
    </row>
    <row r="23" spans="1:75" x14ac:dyDescent="0.3">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33"/>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row>
    <row r="24" spans="1:75" s="204" customFormat="1" ht="13.8" x14ac:dyDescent="0.3">
      <c r="A24" s="204" t="s">
        <v>99</v>
      </c>
    </row>
    <row r="25" spans="1:75" s="23" customFormat="1" ht="13.8" x14ac:dyDescent="0.3"/>
    <row r="26" spans="1:75" x14ac:dyDescent="0.3">
      <c r="A26" s="7" t="s">
        <v>509</v>
      </c>
      <c r="B26" s="4"/>
      <c r="C26" s="4"/>
      <c r="D26" s="4"/>
      <c r="E26" s="4"/>
      <c r="F26" s="4"/>
      <c r="G26" s="48">
        <f>G35-G16</f>
        <v>-529.8180000000001</v>
      </c>
      <c r="H26" s="23"/>
      <c r="I26" s="23"/>
      <c r="J26" s="23"/>
      <c r="K26" s="23"/>
      <c r="L26" s="48">
        <f>L35-L16</f>
        <v>907.65600000000006</v>
      </c>
      <c r="M26" s="23"/>
      <c r="N26" s="23"/>
      <c r="O26" s="23"/>
      <c r="P26" s="23"/>
      <c r="Q26" s="48">
        <f>Q35-Q16</f>
        <v>1027.6569999999997</v>
      </c>
      <c r="R26" s="23"/>
      <c r="S26" s="23"/>
      <c r="T26" s="23"/>
      <c r="U26" s="23"/>
      <c r="V26" s="48">
        <f>V35-V16</f>
        <v>2337.3029999999999</v>
      </c>
      <c r="W26" s="23"/>
      <c r="X26" s="23"/>
      <c r="Y26" s="23"/>
      <c r="Z26" s="23"/>
      <c r="AA26" s="48">
        <f>AA35-AA16</f>
        <v>-1980.8729999999996</v>
      </c>
      <c r="AB26" s="48">
        <f>AB35-AB16</f>
        <v>8348.6570000000011</v>
      </c>
      <c r="AC26" s="48">
        <f>('Balanço Planilhado'!AC44+'Balanço Planilhado'!AC49-'Balanço Planilhado'!AC17)/1000</f>
        <v>7288.4790000000003</v>
      </c>
      <c r="AD26" s="48">
        <f>('Balanço Planilhado'!AD44+'Balanço Planilhado'!AD49-'Balanço Planilhado'!AD17)/1000</f>
        <v>6195.2889999999998</v>
      </c>
      <c r="AE26" s="48">
        <f t="shared" ref="AE26:BW26" si="13">AE35-AE16</f>
        <v>5057.7610000000004</v>
      </c>
      <c r="AF26" s="48">
        <f t="shared" si="13"/>
        <v>5057.7610000000004</v>
      </c>
      <c r="AG26" s="48">
        <f ca="1">AG35-AG16</f>
        <v>2129.9007105886394</v>
      </c>
      <c r="AH26" s="48">
        <f t="shared" ca="1" si="13"/>
        <v>-228.71232500626229</v>
      </c>
      <c r="AI26" s="48">
        <f t="shared" ca="1" si="13"/>
        <v>-3478.3882804648183</v>
      </c>
      <c r="AJ26" s="48">
        <f t="shared" ca="1" si="13"/>
        <v>-4383.5986812053061</v>
      </c>
      <c r="AK26" s="48">
        <f t="shared" ca="1" si="13"/>
        <v>-5140.2539862127405</v>
      </c>
      <c r="AL26" s="48">
        <f t="shared" ca="1" si="13"/>
        <v>-5197.2626688359351</v>
      </c>
      <c r="AM26" s="48">
        <f t="shared" ca="1" si="13"/>
        <v>-4742.2159182437254</v>
      </c>
      <c r="AN26" s="48">
        <f t="shared" ca="1" si="13"/>
        <v>-4057.7003836916497</v>
      </c>
      <c r="AO26" s="48">
        <f t="shared" ca="1" si="13"/>
        <v>-3614.3479961086859</v>
      </c>
      <c r="AP26" s="48">
        <f t="shared" ca="1" si="13"/>
        <v>-3253.0847052169106</v>
      </c>
      <c r="AQ26" s="48">
        <f t="shared" ca="1" si="13"/>
        <v>-2950.666148835277</v>
      </c>
      <c r="AR26" s="48">
        <f t="shared" ca="1" si="13"/>
        <v>-2643.5714391524075</v>
      </c>
      <c r="AS26" s="48">
        <f t="shared" ca="1" si="13"/>
        <v>-2333.7985580654699</v>
      </c>
      <c r="AT26" s="48">
        <f t="shared" ca="1" si="13"/>
        <v>-2069.5701875114141</v>
      </c>
      <c r="AU26" s="48">
        <f t="shared" ca="1" si="13"/>
        <v>-1879.6004527289012</v>
      </c>
      <c r="AV26" s="48">
        <f t="shared" ca="1" si="13"/>
        <v>-1715.787547935181</v>
      </c>
      <c r="AW26" s="48">
        <f t="shared" ca="1" si="13"/>
        <v>-1392.701407444529</v>
      </c>
      <c r="AX26" s="48">
        <f t="shared" ca="1" si="13"/>
        <v>-1256.888279351213</v>
      </c>
      <c r="AY26" s="48">
        <f t="shared" ca="1" si="13"/>
        <v>-1137.7290166190994</v>
      </c>
      <c r="AZ26" s="48">
        <f t="shared" ca="1" si="13"/>
        <v>-1025.0162993667234</v>
      </c>
      <c r="BA26" s="48">
        <f t="shared" ca="1" si="13"/>
        <v>-937.80925592571054</v>
      </c>
      <c r="BB26" s="48">
        <f t="shared" ca="1" si="13"/>
        <v>-839.26803743751702</v>
      </c>
      <c r="BC26" s="48">
        <f t="shared" ca="1" si="13"/>
        <v>-783.36787943826516</v>
      </c>
      <c r="BD26" s="48">
        <f t="shared" ca="1" si="13"/>
        <v>-739.72455625594125</v>
      </c>
      <c r="BE26" s="48">
        <f t="shared" ca="1" si="13"/>
        <v>-702.92333029125302</v>
      </c>
      <c r="BF26" s="48">
        <f t="shared" ca="1" si="13"/>
        <v>-634.46062670441984</v>
      </c>
      <c r="BG26" s="48">
        <f t="shared" ca="1" si="13"/>
        <v>-595.84934113964175</v>
      </c>
      <c r="BH26" s="48">
        <f t="shared" ca="1" si="13"/>
        <v>-571.4754430285326</v>
      </c>
      <c r="BI26" s="48">
        <f t="shared" ca="1" si="13"/>
        <v>-369.27937717564498</v>
      </c>
      <c r="BJ26" s="48">
        <f t="shared" ca="1" si="13"/>
        <v>0</v>
      </c>
      <c r="BK26" s="48">
        <f t="shared" ca="1" si="13"/>
        <v>0</v>
      </c>
      <c r="BL26" s="48">
        <f t="shared" ca="1" si="13"/>
        <v>0</v>
      </c>
      <c r="BM26" s="48">
        <f t="shared" ca="1" si="13"/>
        <v>0</v>
      </c>
      <c r="BN26" s="48">
        <f t="shared" ca="1" si="13"/>
        <v>0</v>
      </c>
      <c r="BO26" s="48">
        <f t="shared" ca="1" si="13"/>
        <v>0</v>
      </c>
      <c r="BP26" s="48">
        <f t="shared" ca="1" si="13"/>
        <v>0</v>
      </c>
      <c r="BQ26" s="48">
        <f t="shared" ca="1" si="13"/>
        <v>0</v>
      </c>
      <c r="BR26" s="48">
        <f t="shared" ca="1" si="13"/>
        <v>0</v>
      </c>
      <c r="BS26" s="48">
        <f t="shared" ca="1" si="13"/>
        <v>0</v>
      </c>
      <c r="BT26" s="48">
        <f t="shared" ca="1" si="13"/>
        <v>0</v>
      </c>
      <c r="BU26" s="48">
        <f t="shared" ca="1" si="13"/>
        <v>0</v>
      </c>
      <c r="BV26" s="48">
        <f t="shared" ca="1" si="13"/>
        <v>0</v>
      </c>
      <c r="BW26" s="48">
        <f t="shared" ca="1" si="13"/>
        <v>0</v>
      </c>
    </row>
    <row r="27" spans="1:75" x14ac:dyDescent="0.3">
      <c r="A27" s="7" t="s">
        <v>98</v>
      </c>
      <c r="B27" s="7"/>
      <c r="C27" s="7"/>
      <c r="D27" s="7"/>
      <c r="E27" s="7"/>
      <c r="F27" s="7"/>
      <c r="G27" s="25"/>
      <c r="H27" s="25"/>
      <c r="I27" s="25"/>
      <c r="J27" s="25"/>
      <c r="K27" s="25"/>
      <c r="L27" s="51">
        <f>L26-G26</f>
        <v>1437.4740000000002</v>
      </c>
      <c r="M27" s="23"/>
      <c r="N27" s="23"/>
      <c r="O27" s="23"/>
      <c r="P27" s="23"/>
      <c r="Q27" s="51">
        <f>Q26-L26</f>
        <v>120.00099999999964</v>
      </c>
      <c r="R27" s="23"/>
      <c r="S27" s="23"/>
      <c r="T27" s="23"/>
      <c r="U27" s="23"/>
      <c r="V27" s="51">
        <f>V26-Q26</f>
        <v>1309.6460000000002</v>
      </c>
      <c r="W27" s="23"/>
      <c r="X27" s="23"/>
      <c r="Y27" s="23"/>
      <c r="Z27" s="23"/>
      <c r="AA27" s="23"/>
      <c r="AB27" s="51">
        <f>AB26-AA26</f>
        <v>10329.530000000001</v>
      </c>
      <c r="AC27" s="51">
        <f>AC26-AB26</f>
        <v>-1060.1780000000008</v>
      </c>
      <c r="AD27" s="51">
        <f>AD26-AC26</f>
        <v>-1093.1900000000005</v>
      </c>
      <c r="AE27" s="51">
        <f>AE26-AD26</f>
        <v>-1137.5279999999993</v>
      </c>
      <c r="AF27" s="51">
        <f>AF26-AA26</f>
        <v>7038.634</v>
      </c>
      <c r="AG27" s="51">
        <f t="shared" ref="AG27:AH27" ca="1" si="14">AG26-AF26</f>
        <v>-2927.860289411361</v>
      </c>
      <c r="AH27" s="51">
        <f t="shared" ca="1" si="14"/>
        <v>-2358.6130355949017</v>
      </c>
      <c r="AI27" s="51">
        <f t="shared" ref="AI27" ca="1" si="15">AI26-AH26</f>
        <v>-3249.675955458556</v>
      </c>
      <c r="AJ27" s="51">
        <f t="shared" ref="AJ27" ca="1" si="16">AJ26-AI26</f>
        <v>-905.21040074048778</v>
      </c>
      <c r="AK27" s="51">
        <f t="shared" ref="AK27" ca="1" si="17">AK26-AJ26</f>
        <v>-756.65530500743444</v>
      </c>
      <c r="AL27" s="51">
        <f t="shared" ref="AL27" ca="1" si="18">AL26-AK26</f>
        <v>-57.008682623194545</v>
      </c>
      <c r="AM27" s="51">
        <f t="shared" ref="AM27" ca="1" si="19">AM26-AL26</f>
        <v>455.04675059220972</v>
      </c>
      <c r="AN27" s="51">
        <f t="shared" ref="AN27" ca="1" si="20">AN26-AM26</f>
        <v>684.51553455207568</v>
      </c>
      <c r="AO27" s="51">
        <f t="shared" ref="AO27" ca="1" si="21">AO26-AN26</f>
        <v>443.35238758296373</v>
      </c>
      <c r="AP27" s="51">
        <f t="shared" ref="AP27" ca="1" si="22">AP26-AO26</f>
        <v>361.26329089177534</v>
      </c>
      <c r="AQ27" s="51">
        <f t="shared" ref="AQ27" ca="1" si="23">AQ26-AP26</f>
        <v>302.41855638163361</v>
      </c>
      <c r="AR27" s="51">
        <f t="shared" ref="AR27" ca="1" si="24">AR26-AQ26</f>
        <v>307.09470968286951</v>
      </c>
      <c r="AS27" s="51">
        <f t="shared" ref="AS27" ca="1" si="25">AS26-AR26</f>
        <v>309.77288108693756</v>
      </c>
      <c r="AT27" s="51">
        <f t="shared" ref="AT27" ca="1" si="26">AT26-AS26</f>
        <v>264.2283705540558</v>
      </c>
      <c r="AU27" s="51">
        <f t="shared" ref="AU27" ca="1" si="27">AU26-AT26</f>
        <v>189.96973478251289</v>
      </c>
      <c r="AV27" s="51">
        <f t="shared" ref="AV27" ca="1" si="28">AV26-AU26</f>
        <v>163.81290479372024</v>
      </c>
      <c r="AW27" s="51">
        <f t="shared" ref="AW27" ca="1" si="29">AW26-AV26</f>
        <v>323.08614049065204</v>
      </c>
      <c r="AX27" s="51">
        <f t="shared" ref="AX27" ca="1" si="30">AX26-AW26</f>
        <v>135.81312809331598</v>
      </c>
      <c r="AY27" s="51">
        <f t="shared" ref="AY27" ca="1" si="31">AY26-AX26</f>
        <v>119.15926273211358</v>
      </c>
      <c r="AZ27" s="51">
        <f t="shared" ref="AZ27" ca="1" si="32">AZ26-AY26</f>
        <v>112.71271725237602</v>
      </c>
      <c r="BA27" s="51">
        <f t="shared" ref="BA27" ca="1" si="33">BA26-AZ26</f>
        <v>87.207043441012843</v>
      </c>
      <c r="BB27" s="51">
        <f t="shared" ref="BB27" ca="1" si="34">BB26-BA26</f>
        <v>98.541218488193522</v>
      </c>
      <c r="BC27" s="51">
        <f t="shared" ref="BC27" ca="1" si="35">BC26-BB26</f>
        <v>55.90015799925186</v>
      </c>
      <c r="BD27" s="51">
        <f t="shared" ref="BD27" ca="1" si="36">BD26-BC26</f>
        <v>43.643323182323911</v>
      </c>
      <c r="BE27" s="51">
        <f t="shared" ref="BE27" ca="1" si="37">BE26-BD26</f>
        <v>36.801225964688228</v>
      </c>
      <c r="BF27" s="51">
        <f t="shared" ref="BF27" ca="1" si="38">BF26-BE26</f>
        <v>68.462703586833186</v>
      </c>
      <c r="BG27" s="51">
        <f t="shared" ref="BG27" ca="1" si="39">BG26-BF26</f>
        <v>38.611285564778086</v>
      </c>
      <c r="BH27" s="51">
        <f t="shared" ref="BH27" ca="1" si="40">BH26-BG26</f>
        <v>24.373898111109156</v>
      </c>
      <c r="BI27" s="51">
        <f t="shared" ref="BI27" ca="1" si="41">BI26-BH26</f>
        <v>202.19606585288761</v>
      </c>
      <c r="BJ27" s="51">
        <f t="shared" ref="BJ27" ca="1" si="42">BJ26-BI26</f>
        <v>369.27937717564498</v>
      </c>
      <c r="BK27" s="51">
        <f t="shared" ref="BK27" ca="1" si="43">BK26-BJ26</f>
        <v>0</v>
      </c>
      <c r="BL27" s="51">
        <f t="shared" ref="BL27" ca="1" si="44">BL26-BK26</f>
        <v>0</v>
      </c>
      <c r="BM27" s="51">
        <f t="shared" ref="BM27" ca="1" si="45">BM26-BL26</f>
        <v>0</v>
      </c>
      <c r="BN27" s="51">
        <f t="shared" ref="BN27" ca="1" si="46">BN26-BM26</f>
        <v>0</v>
      </c>
      <c r="BO27" s="51">
        <f t="shared" ref="BO27" ca="1" si="47">BO26-BN26</f>
        <v>0</v>
      </c>
      <c r="BP27" s="51">
        <f t="shared" ref="BP27" ca="1" si="48">BP26-BO26</f>
        <v>0</v>
      </c>
      <c r="BQ27" s="51">
        <f t="shared" ref="BQ27" ca="1" si="49">BQ26-BP26</f>
        <v>0</v>
      </c>
      <c r="BR27" s="51">
        <f t="shared" ref="BR27" ca="1" si="50">BR26-BQ26</f>
        <v>0</v>
      </c>
      <c r="BS27" s="51">
        <f t="shared" ref="BS27" ca="1" si="51">BS26-BR26</f>
        <v>0</v>
      </c>
      <c r="BT27" s="51">
        <f t="shared" ref="BT27" ca="1" si="52">BT26-BS26</f>
        <v>0</v>
      </c>
      <c r="BU27" s="51">
        <f t="shared" ref="BU27" ca="1" si="53">BU26-BT26</f>
        <v>0</v>
      </c>
      <c r="BV27" s="51">
        <f t="shared" ref="BV27" ca="1" si="54">BV26-BU26</f>
        <v>0</v>
      </c>
      <c r="BW27" s="51">
        <f t="shared" ref="BW27" ca="1" si="55">BW26-BV26</f>
        <v>0</v>
      </c>
    </row>
    <row r="28" spans="1:75" x14ac:dyDescent="0.3">
      <c r="A28" s="7" t="s">
        <v>286</v>
      </c>
      <c r="B28" s="89"/>
      <c r="C28" s="89"/>
      <c r="D28" s="89"/>
      <c r="E28" s="89"/>
      <c r="F28" s="89"/>
      <c r="G28" s="48">
        <f>'Fluxo de Caixa dos Acionistas'!G67/1000</f>
        <v>242.762</v>
      </c>
      <c r="H28" s="89"/>
      <c r="I28" s="89"/>
      <c r="J28" s="89"/>
      <c r="K28" s="89"/>
      <c r="L28" s="48">
        <f>'Fluxo de Caixa dos Acionistas'!L67/1000</f>
        <v>1387.2139999999999</v>
      </c>
      <c r="M28" s="89"/>
      <c r="N28" s="89"/>
      <c r="O28" s="89"/>
      <c r="P28" s="89"/>
      <c r="Q28" s="48">
        <f>'Fluxo de Caixa dos Acionistas'!Q67/1000</f>
        <v>1786.549</v>
      </c>
      <c r="R28" s="89"/>
      <c r="S28" s="89"/>
      <c r="T28" s="89"/>
      <c r="U28" s="89"/>
      <c r="V28" s="48">
        <f>'Fluxo de Caixa dos Acionistas'!V67/1000</f>
        <v>3002.7139999999999</v>
      </c>
      <c r="W28" s="89"/>
      <c r="X28" s="89"/>
      <c r="Y28" s="89"/>
      <c r="Z28" s="89"/>
      <c r="AA28" s="48">
        <f>'Fluxo de Caixa dos Acionistas'!AA67/1000</f>
        <v>4770.4690000000001</v>
      </c>
      <c r="AB28" s="48">
        <f>'Fluxo de Caixa dos Acionistas'!AB67/1000</f>
        <v>5458.2870000000003</v>
      </c>
      <c r="AC28" s="48">
        <f>'Fluxo de Caixa dos Acionistas'!AC67/1000</f>
        <v>5951.1769999999997</v>
      </c>
      <c r="AD28" s="48">
        <f>'Fluxo de Caixa dos Acionistas'!AD67/1000</f>
        <v>7487.0280000000002</v>
      </c>
      <c r="AE28" s="48">
        <f>'Fluxo de Caixa dos Acionistas'!AE67/1000</f>
        <v>9210.4470000000001</v>
      </c>
      <c r="AF28" s="48">
        <f>'Fluxo de Caixa dos Acionistas'!AF67/1000</f>
        <v>9210.4470000000001</v>
      </c>
      <c r="AG28" s="48">
        <f ca="1">'Fluxo de Caixa dos Acionistas'!AG67/1000</f>
        <v>11787.167592139496</v>
      </c>
      <c r="AH28" s="48">
        <f ca="1">'Fluxo de Caixa dos Acionistas'!AH65/1000</f>
        <v>14563.6590776476</v>
      </c>
      <c r="AI28" s="48">
        <f ca="1">'Fluxo de Caixa dos Acionistas'!AI65/1000</f>
        <v>14557.418074921296</v>
      </c>
      <c r="AJ28" s="48">
        <f ca="1">'Fluxo de Caixa dos Acionistas'!AJ65/1000</f>
        <v>14655.784295433339</v>
      </c>
      <c r="AK28" s="48">
        <f ca="1">'Fluxo de Caixa dos Acionistas'!AK65/1000</f>
        <v>13848.129845905165</v>
      </c>
      <c r="AL28" s="48">
        <f ca="1">'Fluxo de Caixa dos Acionistas'!AL65/1000</f>
        <v>13777.965169483137</v>
      </c>
      <c r="AM28" s="48">
        <f ca="1">'Fluxo de Caixa dos Acionistas'!AM65/1000</f>
        <v>12512.319813114698</v>
      </c>
      <c r="AN28" s="48">
        <f ca="1">'Fluxo de Caixa dos Acionistas'!AN65/1000</f>
        <v>10711.908111057743</v>
      </c>
      <c r="AO28" s="48">
        <f ca="1">'Fluxo de Caixa dos Acionistas'!AO65/1000</f>
        <v>9521.2598363578491</v>
      </c>
      <c r="AP28" s="48">
        <f ca="1">'Fluxo de Caixa dos Acionistas'!AP65/1000</f>
        <v>8314.1666345506692</v>
      </c>
      <c r="AQ28" s="48">
        <f ca="1">'Fluxo de Caixa dos Acionistas'!AQ65/1000</f>
        <v>7474.1962129836811</v>
      </c>
      <c r="AR28" s="48">
        <f ca="1">'Fluxo de Caixa dos Acionistas'!AR65/1000</f>
        <v>6580.325496078317</v>
      </c>
      <c r="AS28" s="48">
        <f ca="1">'Fluxo de Caixa dos Acionistas'!AS65/1000</f>
        <v>5683.1109586032844</v>
      </c>
      <c r="AT28" s="48">
        <f ca="1">'Fluxo de Caixa dos Acionistas'!AT65/1000</f>
        <v>4911.7469517360796</v>
      </c>
      <c r="AU28" s="48">
        <f ca="1">'Fluxo de Caixa dos Acionistas'!AU65/1000</f>
        <v>4448.9673505448809</v>
      </c>
      <c r="AV28" s="48">
        <f ca="1">'Fluxo de Caixa dos Acionistas'!AV65/1000</f>
        <v>4108.0376635734974</v>
      </c>
      <c r="AW28" s="48">
        <f ca="1">'Fluxo de Caixa dos Acionistas'!AW65/1000</f>
        <v>3384.5799032081709</v>
      </c>
      <c r="AX28" s="48">
        <f ca="1">'Fluxo de Caixa dos Acionistas'!AX65/1000</f>
        <v>3084.2894927298544</v>
      </c>
      <c r="AY28" s="48">
        <f ca="1">'Fluxo de Caixa dos Acionistas'!AY65/1000</f>
        <v>2821.8971557734135</v>
      </c>
      <c r="AZ28" s="48">
        <f ca="1">'Fluxo de Caixa dos Acionistas'!AZ65/1000</f>
        <v>2574.3593073129327</v>
      </c>
      <c r="BA28" s="48">
        <f ca="1">'Fluxo de Caixa dos Acionistas'!BA65/1000</f>
        <v>2384.6885578555857</v>
      </c>
      <c r="BB28" s="48">
        <f ca="1">'Fluxo de Caixa dos Acionistas'!BB65/1000</f>
        <v>2169.6374986206965</v>
      </c>
      <c r="BC28" s="48">
        <f ca="1">'Fluxo de Caixa dos Acionistas'!BC65/1000</f>
        <v>2051.1636277219104</v>
      </c>
      <c r="BD28" s="48">
        <f ca="1">'Fluxo de Caixa dos Acionistas'!BD65/1000</f>
        <v>1960.6846300132204</v>
      </c>
      <c r="BE28" s="48">
        <f ca="1">'Fluxo de Caixa dos Acionistas'!BE65/1000</f>
        <v>1885.8136974478614</v>
      </c>
      <c r="BF28" s="48">
        <f ca="1">'Fluxo de Caixa dos Acionistas'!BF65/1000</f>
        <v>1739.7096373303268</v>
      </c>
      <c r="BG28" s="48">
        <f ca="1">'Fluxo de Caixa dos Acionistas'!BG65/1000</f>
        <v>1661.6061594788384</v>
      </c>
      <c r="BH28" s="48">
        <f ca="1">'Fluxo de Caixa dos Acionistas'!BH65/1000</f>
        <v>1615.9939224468051</v>
      </c>
      <c r="BI28" s="48">
        <f ca="1">'Fluxo de Caixa dos Acionistas'!BI65/1000</f>
        <v>1167.9982631211647</v>
      </c>
      <c r="BJ28" s="48">
        <f ca="1">'Fluxo de Caixa dos Acionistas'!BJ65/1000</f>
        <v>0</v>
      </c>
      <c r="BK28" s="48">
        <f ca="1">'Fluxo de Caixa dos Acionistas'!BK65/1000</f>
        <v>0</v>
      </c>
      <c r="BL28" s="48">
        <f ca="1">'Fluxo de Caixa dos Acionistas'!BL65/1000</f>
        <v>0</v>
      </c>
      <c r="BM28" s="48">
        <f ca="1">'Fluxo de Caixa dos Acionistas'!BM65/1000</f>
        <v>0</v>
      </c>
      <c r="BN28" s="48">
        <f ca="1">'Fluxo de Caixa dos Acionistas'!BN65/1000</f>
        <v>0</v>
      </c>
      <c r="BO28" s="48">
        <f ca="1">'Fluxo de Caixa dos Acionistas'!BO65/1000</f>
        <v>0</v>
      </c>
      <c r="BP28" s="48">
        <f ca="1">'Fluxo de Caixa dos Acionistas'!BP65/1000</f>
        <v>0</v>
      </c>
      <c r="BQ28" s="48">
        <f ca="1">'Fluxo de Caixa dos Acionistas'!BQ65/1000</f>
        <v>0</v>
      </c>
      <c r="BR28" s="48">
        <f ca="1">'Fluxo de Caixa dos Acionistas'!BR65/1000</f>
        <v>0</v>
      </c>
      <c r="BS28" s="48">
        <f ca="1">'Fluxo de Caixa dos Acionistas'!BS65/1000</f>
        <v>0</v>
      </c>
      <c r="BT28" s="48">
        <f ca="1">'Fluxo de Caixa dos Acionistas'!BT65/1000</f>
        <v>0</v>
      </c>
      <c r="BU28" s="48">
        <f ca="1">'Fluxo de Caixa dos Acionistas'!BU65/1000</f>
        <v>0</v>
      </c>
      <c r="BV28" s="48">
        <f ca="1">'Fluxo de Caixa dos Acionistas'!BV65/1000</f>
        <v>0</v>
      </c>
      <c r="BW28" s="48">
        <f ca="1">'Fluxo de Caixa dos Acionistas'!BW65/1000</f>
        <v>0</v>
      </c>
    </row>
    <row r="29" spans="1:75" s="25" customFormat="1" x14ac:dyDescent="0.3">
      <c r="A29" s="7" t="s">
        <v>508</v>
      </c>
      <c r="G29" s="91">
        <f>G26/G28</f>
        <v>-2.1824585396396476</v>
      </c>
      <c r="L29" s="91">
        <f>L26/L28</f>
        <v>0.65430135509013032</v>
      </c>
      <c r="Q29" s="91">
        <f>Q26/Q28</f>
        <v>0.57521903961212351</v>
      </c>
      <c r="V29" s="91">
        <f>V26/V28</f>
        <v>0.77839681035223462</v>
      </c>
      <c r="Z29" s="89"/>
      <c r="AA29" s="91">
        <f>IFERROR(AA26/AA28,0)</f>
        <v>-0.41523653125091048</v>
      </c>
      <c r="AB29" s="91">
        <f t="shared" ref="AB29:BW29" si="56">IFERROR(AB26/AB28,0)</f>
        <v>1.5295379301234986</v>
      </c>
      <c r="AC29" s="91">
        <f t="shared" si="56"/>
        <v>1.2247121871858291</v>
      </c>
      <c r="AD29" s="91">
        <f t="shared" si="56"/>
        <v>0.82746972496964077</v>
      </c>
      <c r="AE29" s="91">
        <f t="shared" si="56"/>
        <v>0.54913306596303091</v>
      </c>
      <c r="AF29" s="91">
        <f t="shared" si="56"/>
        <v>0.54913306596303091</v>
      </c>
      <c r="AG29" s="91">
        <f t="shared" ca="1" si="56"/>
        <v>0.18069656632429706</v>
      </c>
      <c r="AH29" s="91">
        <f t="shared" ca="1" si="56"/>
        <v>-1.5704317423722962E-2</v>
      </c>
      <c r="AI29" s="91">
        <f t="shared" ca="1" si="56"/>
        <v>-0.23894266569544986</v>
      </c>
      <c r="AJ29" s="91">
        <f t="shared" ca="1" si="56"/>
        <v>-0.29910365715270598</v>
      </c>
      <c r="AK29" s="91">
        <f t="shared" ca="1" si="56"/>
        <v>-0.37118759308374716</v>
      </c>
      <c r="AL29" s="91">
        <f t="shared" ca="1" si="56"/>
        <v>-0.3772155470640447</v>
      </c>
      <c r="AM29" s="91">
        <f t="shared" ca="1" si="56"/>
        <v>-0.37900373304662544</v>
      </c>
      <c r="AN29" s="91">
        <f t="shared" ca="1" si="56"/>
        <v>-0.37880276246049444</v>
      </c>
      <c r="AO29" s="91">
        <f t="shared" ca="1" si="56"/>
        <v>-0.37960816722036611</v>
      </c>
      <c r="AP29" s="91">
        <f t="shared" ca="1" si="56"/>
        <v>-0.39127008733482288</v>
      </c>
      <c r="AQ29" s="91">
        <f t="shared" ca="1" si="56"/>
        <v>-0.39478039708264206</v>
      </c>
      <c r="AR29" s="91">
        <f t="shared" ca="1" si="56"/>
        <v>-0.40173870437380327</v>
      </c>
      <c r="AS29" s="91">
        <f t="shared" ca="1" si="56"/>
        <v>-0.41065511039028496</v>
      </c>
      <c r="AT29" s="91">
        <f t="shared" ca="1" si="56"/>
        <v>-0.42135114203713508</v>
      </c>
      <c r="AU29" s="91">
        <f t="shared" ca="1" si="56"/>
        <v>-0.42248016328973503</v>
      </c>
      <c r="AV29" s="91">
        <f t="shared" ca="1" si="56"/>
        <v>-0.41766597301414532</v>
      </c>
      <c r="AW29" s="91">
        <f t="shared" ca="1" si="56"/>
        <v>-0.41148427493894207</v>
      </c>
      <c r="AX29" s="91">
        <f t="shared" ca="1" si="56"/>
        <v>-0.407513069805507</v>
      </c>
      <c r="AY29" s="91">
        <f t="shared" ca="1" si="56"/>
        <v>-0.40317876726704294</v>
      </c>
      <c r="AZ29" s="91">
        <f t="shared" ca="1" si="56"/>
        <v>-0.39816365044886293</v>
      </c>
      <c r="BA29" s="91">
        <f t="shared" ca="1" si="56"/>
        <v>-0.3932627817734945</v>
      </c>
      <c r="BB29" s="91">
        <f t="shared" ca="1" si="56"/>
        <v>-0.3868240837333724</v>
      </c>
      <c r="BC29" s="91">
        <f t="shared" ca="1" si="56"/>
        <v>-0.38191388968236495</v>
      </c>
      <c r="BD29" s="91">
        <f t="shared" ca="1" si="56"/>
        <v>-0.37727870404683772</v>
      </c>
      <c r="BE29" s="91">
        <f t="shared" ca="1" si="56"/>
        <v>-0.37274272174528383</v>
      </c>
      <c r="BF29" s="91">
        <f t="shared" ca="1" si="56"/>
        <v>-0.36469340233007619</v>
      </c>
      <c r="BG29" s="91">
        <f t="shared" ca="1" si="56"/>
        <v>-0.35859841860873304</v>
      </c>
      <c r="BH29" s="91">
        <f t="shared" ca="1" si="56"/>
        <v>-0.35363712393376545</v>
      </c>
      <c r="BI29" s="91">
        <f t="shared" ca="1" si="56"/>
        <v>-0.31616432047496723</v>
      </c>
      <c r="BJ29" s="91">
        <f t="shared" ca="1" si="56"/>
        <v>0</v>
      </c>
      <c r="BK29" s="91">
        <f t="shared" ca="1" si="56"/>
        <v>0</v>
      </c>
      <c r="BL29" s="91">
        <f t="shared" ca="1" si="56"/>
        <v>0</v>
      </c>
      <c r="BM29" s="91">
        <f t="shared" ca="1" si="56"/>
        <v>0</v>
      </c>
      <c r="BN29" s="91">
        <f t="shared" ca="1" si="56"/>
        <v>0</v>
      </c>
      <c r="BO29" s="91">
        <f t="shared" ca="1" si="56"/>
        <v>0</v>
      </c>
      <c r="BP29" s="91">
        <f t="shared" ca="1" si="56"/>
        <v>0</v>
      </c>
      <c r="BQ29" s="91">
        <f t="shared" ca="1" si="56"/>
        <v>0</v>
      </c>
      <c r="BR29" s="91">
        <f t="shared" ca="1" si="56"/>
        <v>0</v>
      </c>
      <c r="BS29" s="91">
        <f t="shared" ca="1" si="56"/>
        <v>0</v>
      </c>
      <c r="BT29" s="91">
        <f t="shared" ca="1" si="56"/>
        <v>0</v>
      </c>
      <c r="BU29" s="91">
        <f t="shared" ca="1" si="56"/>
        <v>0</v>
      </c>
      <c r="BV29" s="91">
        <f t="shared" ca="1" si="56"/>
        <v>0</v>
      </c>
      <c r="BW29" s="91">
        <f t="shared" ca="1" si="56"/>
        <v>0</v>
      </c>
    </row>
    <row r="30" spans="1:75" s="25" customFormat="1" x14ac:dyDescent="0.3">
      <c r="A30"/>
    </row>
    <row r="31" spans="1:75" s="25" customFormat="1" x14ac:dyDescent="0.3">
      <c r="A31" s="7" t="s">
        <v>390</v>
      </c>
      <c r="G31" s="69">
        <f>G35*1000/('Balanço Planilhado'!G15-'Balanço Planilhado'!G39-'Balanço Planilhado'!G48)</f>
        <v>0.28477846084298708</v>
      </c>
      <c r="L31" s="69">
        <f>L35*1000/('Balanço Planilhado'!L15-'Balanço Planilhado'!L39-'Balanço Planilhado'!L48)</f>
        <v>0.76004583619886557</v>
      </c>
      <c r="Q31" s="69">
        <f>Q35*1000/('Balanço Planilhado'!Q15-'Balanço Planilhado'!Q39-'Balanço Planilhado'!Q48)</f>
        <v>0.60601701603452318</v>
      </c>
      <c r="V31" s="69">
        <f>V35*1000/('Balanço Planilhado'!V15-'Balanço Planilhado'!V39-'Balanço Planilhado'!V48)</f>
        <v>0.49966715753440694</v>
      </c>
      <c r="AA31" s="69">
        <f>AA35*1000/('Balanço Planilhado'!AA54)</f>
        <v>0.77154012169611108</v>
      </c>
      <c r="AB31" s="69">
        <f>AB35*1000/('Balanço Planilhado'!AB54)</f>
        <v>0.83506126890059396</v>
      </c>
      <c r="AC31" s="69">
        <f>AC35*1000/('Balanço Planilhado'!AC54)</f>
        <v>0.78517946253485249</v>
      </c>
      <c r="AD31" s="69">
        <f>AD35*1000/('Balanço Planilhado'!AD54)</f>
        <v>0.65269979995510463</v>
      </c>
      <c r="AE31" s="69">
        <f>AE35*1000/('Balanço Planilhado'!AE54)</f>
        <v>0.53271471680928761</v>
      </c>
      <c r="AF31" s="69">
        <f>AF35*1000/('Balanço Planilhado'!AF54)</f>
        <v>0.53271471680928761</v>
      </c>
      <c r="AG31" s="69">
        <f ca="1">AG35*1000/('Balanço Planilhado'!AG54)</f>
        <v>0.32130197052542037</v>
      </c>
      <c r="AH31" s="69">
        <f ca="1">AH35*1000/('Balanço Planilhado'!AH54)</f>
        <v>0.21622434078895497</v>
      </c>
      <c r="AI31" s="69">
        <f ca="1">AI35*1000/('Balanço Planilhado'!AI54)</f>
        <v>6.795095439195005E-2</v>
      </c>
      <c r="AJ31" s="69">
        <f ca="1">AJ35*1000/('Balanço Planilhado'!AJ54)</f>
        <v>3.7615154144099244E-2</v>
      </c>
      <c r="AK31" s="69">
        <f ca="1">AK35*1000/('Balanço Planilhado'!AK54)</f>
        <v>0</v>
      </c>
      <c r="AL31" s="69">
        <f ca="1">AL35*1000/('Balanço Planilhado'!AL54)</f>
        <v>0</v>
      </c>
      <c r="AM31" s="69">
        <f ca="1">AM35*1000/('Balanço Planilhado'!AM54)</f>
        <v>0</v>
      </c>
      <c r="AN31" s="69">
        <f ca="1">AN35*1000/('Balanço Planilhado'!AN54)</f>
        <v>0</v>
      </c>
      <c r="AO31" s="69">
        <f ca="1">AO35*1000/('Balanço Planilhado'!AO54)</f>
        <v>0</v>
      </c>
      <c r="AP31" s="69">
        <f ca="1">AP35*1000/('Balanço Planilhado'!AP54)</f>
        <v>0</v>
      </c>
      <c r="AQ31" s="69">
        <f ca="1">AQ35*1000/('Balanço Planilhado'!AQ54)</f>
        <v>0</v>
      </c>
      <c r="AR31" s="69">
        <f ca="1">AR35*1000/('Balanço Planilhado'!AR54)</f>
        <v>0</v>
      </c>
      <c r="AS31" s="69">
        <f ca="1">AS35*1000/('Balanço Planilhado'!AS54)</f>
        <v>0</v>
      </c>
      <c r="AT31" s="69">
        <f ca="1">AT35*1000/('Balanço Planilhado'!AT54)</f>
        <v>0</v>
      </c>
      <c r="AU31" s="69">
        <f ca="1">AU35*1000/('Balanço Planilhado'!AU54)</f>
        <v>0</v>
      </c>
      <c r="AV31" s="69">
        <f ca="1">AV35*1000/('Balanço Planilhado'!AV54)</f>
        <v>0</v>
      </c>
      <c r="AW31" s="69">
        <f ca="1">AW35*1000/('Balanço Planilhado'!AW54)</f>
        <v>0</v>
      </c>
      <c r="AX31" s="69">
        <f ca="1">AX35*1000/('Balanço Planilhado'!AX54)</f>
        <v>0</v>
      </c>
      <c r="AY31" s="69">
        <f ca="1">AY35*1000/('Balanço Planilhado'!AY54)</f>
        <v>0</v>
      </c>
      <c r="AZ31" s="69">
        <f ca="1">AZ35*1000/('Balanço Planilhado'!AZ54)</f>
        <v>0</v>
      </c>
      <c r="BA31" s="69">
        <f ca="1">BA35*1000/('Balanço Planilhado'!BA54)</f>
        <v>0</v>
      </c>
      <c r="BB31" s="69">
        <f ca="1">BB35*1000/('Balanço Planilhado'!BB54)</f>
        <v>0</v>
      </c>
      <c r="BC31" s="69">
        <f ca="1">BC35*1000/('Balanço Planilhado'!BC54)</f>
        <v>0</v>
      </c>
      <c r="BD31" s="69">
        <f ca="1">BD35*1000/('Balanço Planilhado'!BD54)</f>
        <v>0</v>
      </c>
      <c r="BE31" s="69">
        <f ca="1">BE35*1000/('Balanço Planilhado'!BE54)</f>
        <v>0</v>
      </c>
      <c r="BF31" s="69">
        <f ca="1">BF35*1000/('Balanço Planilhado'!BF54)</f>
        <v>0</v>
      </c>
      <c r="BG31" s="69">
        <f ca="1">BG35*1000/('Balanço Planilhado'!BG54)</f>
        <v>0</v>
      </c>
      <c r="BH31" s="69">
        <f ca="1">BH35*1000/('Balanço Planilhado'!BH54)</f>
        <v>0</v>
      </c>
      <c r="BI31" s="69">
        <f ca="1">BI35*1000/('Balanço Planilhado'!BI54)</f>
        <v>0</v>
      </c>
      <c r="BJ31" s="69">
        <f ca="1">BJ35*1000/('Balanço Planilhado'!BJ54)</f>
        <v>0</v>
      </c>
      <c r="BK31" s="69">
        <f ca="1">BK35*1000/('Balanço Planilhado'!BK54)</f>
        <v>0</v>
      </c>
      <c r="BL31" s="69">
        <f ca="1">BL35*1000/('Balanço Planilhado'!BL54)</f>
        <v>0</v>
      </c>
      <c r="BM31" s="69">
        <f ca="1">BM35*1000/('Balanço Planilhado'!BM54)</f>
        <v>0</v>
      </c>
      <c r="BN31" s="69">
        <f ca="1">BN35*1000/('Balanço Planilhado'!BN54)</f>
        <v>0</v>
      </c>
      <c r="BO31" s="69">
        <f ca="1">BO35*1000/('Balanço Planilhado'!BO54)</f>
        <v>0</v>
      </c>
      <c r="BP31" s="69">
        <f ca="1">BP35*1000/('Balanço Planilhado'!BP54)</f>
        <v>0</v>
      </c>
      <c r="BQ31" s="69">
        <f ca="1">BQ35*1000/('Balanço Planilhado'!BQ54)</f>
        <v>0</v>
      </c>
      <c r="BR31" s="69">
        <f ca="1">BR35*1000/('Balanço Planilhado'!BR54)</f>
        <v>0</v>
      </c>
      <c r="BS31" s="69">
        <f ca="1">BS35*1000/('Balanço Planilhado'!BS54)</f>
        <v>0</v>
      </c>
      <c r="BT31" s="69">
        <f ca="1">BT35*1000/('Balanço Planilhado'!BT54)</f>
        <v>0</v>
      </c>
      <c r="BU31" s="69">
        <f ca="1">BU35*1000/('Balanço Planilhado'!BU54)</f>
        <v>0</v>
      </c>
      <c r="BV31" s="69">
        <f ca="1">BV35*1000/('Balanço Planilhado'!BV54)</f>
        <v>0</v>
      </c>
      <c r="BW31" s="69">
        <f ca="1">BW35*1000/('Balanço Planilhado'!BW54)</f>
        <v>0</v>
      </c>
    </row>
    <row r="32" spans="1:75" s="25" customFormat="1" x14ac:dyDescent="0.3">
      <c r="A32" s="7"/>
      <c r="AF32" s="1"/>
    </row>
    <row r="33" spans="1:76" s="204" customFormat="1" ht="13.8" x14ac:dyDescent="0.3">
      <c r="A33" s="204" t="s">
        <v>100</v>
      </c>
    </row>
    <row r="34" spans="1:76" s="23" customFormat="1" ht="13.8" x14ac:dyDescent="0.3">
      <c r="AC34" s="96">
        <f>AC35-('Balanço Planilhado'!AC44+'Balanço Planilhado'!AC49)/1000</f>
        <v>0</v>
      </c>
      <c r="AD34" s="96">
        <f>AD35-('Balanço Planilhado'!AD44+'Balanço Planilhado'!AD49)/1000</f>
        <v>0</v>
      </c>
      <c r="AE34" s="96">
        <f>AE35-('Balanço Planilhado'!AE44+'Balanço Planilhado'!AE49)/1000</f>
        <v>0</v>
      </c>
    </row>
    <row r="35" spans="1:76" x14ac:dyDescent="0.3">
      <c r="A35" s="4" t="s">
        <v>696</v>
      </c>
      <c r="B35" s="4"/>
      <c r="C35" s="4"/>
      <c r="D35" s="4"/>
      <c r="E35" s="4"/>
      <c r="F35" s="4"/>
      <c r="G35" s="48">
        <f>SUM(G36:G37)</f>
        <v>279.702</v>
      </c>
      <c r="H35" s="23"/>
      <c r="I35" s="23"/>
      <c r="J35" s="23"/>
      <c r="K35" s="23"/>
      <c r="L35" s="48">
        <f>SUM(L36:L37)</f>
        <v>1645.576</v>
      </c>
      <c r="M35" s="23"/>
      <c r="N35" s="23"/>
      <c r="O35" s="23"/>
      <c r="P35" s="23"/>
      <c r="Q35" s="48">
        <f>SUM(Q36:Q37)</f>
        <v>1909.7189999999998</v>
      </c>
      <c r="R35" s="23"/>
      <c r="S35" s="23"/>
      <c r="T35" s="23"/>
      <c r="U35" s="23"/>
      <c r="V35" s="48">
        <f>SUM(V36:V37)</f>
        <v>3307.9209999999998</v>
      </c>
      <c r="W35" s="23"/>
      <c r="X35" s="23"/>
      <c r="Y35" s="23"/>
      <c r="Z35" s="23"/>
      <c r="AA35" s="48">
        <f>SUM(AA36:AA37)</f>
        <v>7632.0879999999997</v>
      </c>
      <c r="AB35" s="48">
        <f>SUM(AB36:AB37)</f>
        <v>8875.8370000000014</v>
      </c>
      <c r="AC35" s="48">
        <f>SUM(AC36:AC37)</f>
        <v>8443.732</v>
      </c>
      <c r="AD35" s="48">
        <f>SUM(AD36:AD37)</f>
        <v>8420.5480000000007</v>
      </c>
      <c r="AE35" s="48">
        <f>SUM(AE36:AE37)</f>
        <v>7393.1639999999998</v>
      </c>
      <c r="AF35" s="48">
        <f>AE35</f>
        <v>7393.1639999999998</v>
      </c>
      <c r="AG35" s="48">
        <f t="shared" ref="AG35:BW35" si="57">AF35-AG47</f>
        <v>6229.0468000000001</v>
      </c>
      <c r="AH35" s="48">
        <f t="shared" si="57"/>
        <v>4854.0468000000001</v>
      </c>
      <c r="AI35" s="48">
        <f t="shared" si="57"/>
        <v>1704.0468000000001</v>
      </c>
      <c r="AJ35" s="48">
        <f t="shared" si="57"/>
        <v>949.24680000000012</v>
      </c>
      <c r="AK35" s="48">
        <f t="shared" si="57"/>
        <v>0</v>
      </c>
      <c r="AL35" s="48">
        <f t="shared" si="57"/>
        <v>0</v>
      </c>
      <c r="AM35" s="48">
        <f t="shared" si="57"/>
        <v>0</v>
      </c>
      <c r="AN35" s="48">
        <f t="shared" si="57"/>
        <v>0</v>
      </c>
      <c r="AO35" s="48">
        <f t="shared" si="57"/>
        <v>0</v>
      </c>
      <c r="AP35" s="48">
        <f t="shared" si="57"/>
        <v>0</v>
      </c>
      <c r="AQ35" s="48">
        <f t="shared" si="57"/>
        <v>0</v>
      </c>
      <c r="AR35" s="48">
        <f t="shared" si="57"/>
        <v>0</v>
      </c>
      <c r="AS35" s="48">
        <f t="shared" si="57"/>
        <v>0</v>
      </c>
      <c r="AT35" s="48">
        <f t="shared" si="57"/>
        <v>0</v>
      </c>
      <c r="AU35" s="48">
        <f t="shared" si="57"/>
        <v>0</v>
      </c>
      <c r="AV35" s="48">
        <f t="shared" si="57"/>
        <v>0</v>
      </c>
      <c r="AW35" s="48">
        <f t="shared" si="57"/>
        <v>0</v>
      </c>
      <c r="AX35" s="48">
        <f t="shared" si="57"/>
        <v>0</v>
      </c>
      <c r="AY35" s="48">
        <f t="shared" si="57"/>
        <v>0</v>
      </c>
      <c r="AZ35" s="48">
        <f t="shared" si="57"/>
        <v>0</v>
      </c>
      <c r="BA35" s="48">
        <f t="shared" si="57"/>
        <v>0</v>
      </c>
      <c r="BB35" s="48">
        <f t="shared" si="57"/>
        <v>0</v>
      </c>
      <c r="BC35" s="48">
        <f t="shared" si="57"/>
        <v>0</v>
      </c>
      <c r="BD35" s="48">
        <f t="shared" si="57"/>
        <v>0</v>
      </c>
      <c r="BE35" s="48">
        <f t="shared" si="57"/>
        <v>0</v>
      </c>
      <c r="BF35" s="48">
        <f t="shared" si="57"/>
        <v>0</v>
      </c>
      <c r="BG35" s="48">
        <f t="shared" si="57"/>
        <v>0</v>
      </c>
      <c r="BH35" s="48">
        <f t="shared" si="57"/>
        <v>0</v>
      </c>
      <c r="BI35" s="48">
        <f t="shared" si="57"/>
        <v>0</v>
      </c>
      <c r="BJ35" s="48">
        <f t="shared" si="57"/>
        <v>0</v>
      </c>
      <c r="BK35" s="48">
        <f t="shared" si="57"/>
        <v>0</v>
      </c>
      <c r="BL35" s="48">
        <f t="shared" si="57"/>
        <v>0</v>
      </c>
      <c r="BM35" s="48">
        <f t="shared" si="57"/>
        <v>0</v>
      </c>
      <c r="BN35" s="48">
        <f t="shared" si="57"/>
        <v>0</v>
      </c>
      <c r="BO35" s="48">
        <f t="shared" si="57"/>
        <v>0</v>
      </c>
      <c r="BP35" s="48">
        <f t="shared" si="57"/>
        <v>0</v>
      </c>
      <c r="BQ35" s="48">
        <f t="shared" si="57"/>
        <v>0</v>
      </c>
      <c r="BR35" s="48">
        <f t="shared" si="57"/>
        <v>0</v>
      </c>
      <c r="BS35" s="48">
        <f t="shared" si="57"/>
        <v>0</v>
      </c>
      <c r="BT35" s="48">
        <f t="shared" si="57"/>
        <v>0</v>
      </c>
      <c r="BU35" s="48">
        <f t="shared" si="57"/>
        <v>0</v>
      </c>
      <c r="BV35" s="48">
        <f t="shared" si="57"/>
        <v>0</v>
      </c>
      <c r="BW35" s="48">
        <f t="shared" si="57"/>
        <v>0</v>
      </c>
    </row>
    <row r="36" spans="1:76" x14ac:dyDescent="0.3">
      <c r="A36" s="5" t="s">
        <v>93</v>
      </c>
      <c r="B36" s="5"/>
      <c r="C36" s="5"/>
      <c r="D36" s="5"/>
      <c r="E36" s="5"/>
      <c r="F36" s="5"/>
      <c r="G36" s="55">
        <v>31.547000000000001</v>
      </c>
      <c r="H36" s="24"/>
      <c r="I36" s="24"/>
      <c r="J36" s="24"/>
      <c r="K36" s="24"/>
      <c r="L36" s="55">
        <v>0</v>
      </c>
      <c r="M36" s="24"/>
      <c r="N36" s="24"/>
      <c r="O36" s="24"/>
      <c r="P36" s="24"/>
      <c r="Q36" s="55">
        <v>0</v>
      </c>
      <c r="R36" s="24"/>
      <c r="S36" s="24"/>
      <c r="T36" s="24"/>
      <c r="U36" s="24"/>
      <c r="V36" s="55">
        <v>0</v>
      </c>
      <c r="W36" s="24"/>
      <c r="X36" s="24"/>
      <c r="Y36" s="24"/>
      <c r="Z36" s="24"/>
      <c r="AA36" s="55">
        <v>1990.722</v>
      </c>
      <c r="AB36" s="55">
        <v>1902.877</v>
      </c>
      <c r="AC36" s="55">
        <v>1847.6499999999999</v>
      </c>
      <c r="AD36" s="55">
        <v>1879.4939999999999</v>
      </c>
      <c r="AE36" s="55">
        <v>1839.6780000000001</v>
      </c>
      <c r="AF36" s="48">
        <f>AE36</f>
        <v>1839.6780000000001</v>
      </c>
    </row>
    <row r="37" spans="1:76" x14ac:dyDescent="0.3">
      <c r="A37" s="5" t="s">
        <v>94</v>
      </c>
      <c r="B37" s="5"/>
      <c r="C37" s="5"/>
      <c r="D37" s="5"/>
      <c r="E37" s="5"/>
      <c r="F37" s="5"/>
      <c r="G37" s="55">
        <v>248.155</v>
      </c>
      <c r="H37" s="24"/>
      <c r="I37" s="24"/>
      <c r="J37" s="24"/>
      <c r="K37" s="24"/>
      <c r="L37" s="55">
        <v>1645.576</v>
      </c>
      <c r="M37" s="24"/>
      <c r="N37" s="24"/>
      <c r="O37" s="24"/>
      <c r="P37" s="24"/>
      <c r="Q37" s="55">
        <v>1909.7189999999998</v>
      </c>
      <c r="R37" s="24"/>
      <c r="S37" s="24"/>
      <c r="T37" s="24"/>
      <c r="U37" s="24"/>
      <c r="V37" s="55">
        <v>3307.9209999999998</v>
      </c>
      <c r="W37" s="24"/>
      <c r="X37" s="24"/>
      <c r="Y37" s="24"/>
      <c r="Z37" s="24"/>
      <c r="AA37" s="55">
        <v>5641.366</v>
      </c>
      <c r="AB37" s="55">
        <v>6972.9600000000009</v>
      </c>
      <c r="AC37" s="55">
        <v>6596.0820000000003</v>
      </c>
      <c r="AD37" s="55">
        <v>6541.0540000000001</v>
      </c>
      <c r="AE37" s="55">
        <v>5553.4859999999999</v>
      </c>
      <c r="AF37" s="48">
        <f>AE37</f>
        <v>5553.4859999999999</v>
      </c>
    </row>
    <row r="38" spans="1:76" x14ac:dyDescent="0.3">
      <c r="A38" s="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row>
    <row r="39" spans="1:76" x14ac:dyDescent="0.3">
      <c r="A39" s="4" t="s">
        <v>89</v>
      </c>
      <c r="G39" s="25"/>
      <c r="H39" s="25"/>
      <c r="I39" s="25"/>
      <c r="J39" s="25"/>
      <c r="K39" s="25"/>
      <c r="L39" s="25"/>
      <c r="M39" s="25"/>
      <c r="N39" s="25"/>
      <c r="O39" s="25"/>
      <c r="P39" s="25"/>
      <c r="Q39" s="25"/>
      <c r="R39" s="25"/>
      <c r="S39" s="25"/>
      <c r="T39" s="25"/>
      <c r="U39" s="25"/>
      <c r="V39" s="25"/>
      <c r="W39" s="25"/>
      <c r="X39" s="25"/>
      <c r="Y39" s="89"/>
      <c r="Z39" s="25"/>
      <c r="AA39" s="25"/>
      <c r="AB39" s="25"/>
      <c r="AC39" s="25"/>
      <c r="AD39" s="25"/>
      <c r="AE39" s="25"/>
      <c r="AF39" s="25"/>
      <c r="AG39" s="48">
        <f t="shared" ref="AG39:BW39" si="58">-AF35*AG42</f>
        <v>-430.75028334736714</v>
      </c>
      <c r="AH39" s="48">
        <f t="shared" si="58"/>
        <v>-318.15266786715858</v>
      </c>
      <c r="AI39" s="48">
        <f t="shared" si="58"/>
        <v>-233.36888943813884</v>
      </c>
      <c r="AJ39" s="48">
        <f t="shared" si="58"/>
        <v>-82.166591608863897</v>
      </c>
      <c r="AK39" s="48">
        <f t="shared" si="58"/>
        <v>-45.771262943964281</v>
      </c>
      <c r="AL39" s="48">
        <f t="shared" si="58"/>
        <v>0</v>
      </c>
      <c r="AM39" s="48">
        <f t="shared" si="58"/>
        <v>0</v>
      </c>
      <c r="AN39" s="48">
        <f t="shared" si="58"/>
        <v>0</v>
      </c>
      <c r="AO39" s="48">
        <f t="shared" si="58"/>
        <v>0</v>
      </c>
      <c r="AP39" s="48">
        <f t="shared" si="58"/>
        <v>0</v>
      </c>
      <c r="AQ39" s="48">
        <f t="shared" si="58"/>
        <v>0</v>
      </c>
      <c r="AR39" s="48">
        <f t="shared" si="58"/>
        <v>0</v>
      </c>
      <c r="AS39" s="48">
        <f t="shared" si="58"/>
        <v>0</v>
      </c>
      <c r="AT39" s="48">
        <f t="shared" si="58"/>
        <v>0</v>
      </c>
      <c r="AU39" s="48">
        <f t="shared" si="58"/>
        <v>0</v>
      </c>
      <c r="AV39" s="48">
        <f t="shared" si="58"/>
        <v>0</v>
      </c>
      <c r="AW39" s="48">
        <f t="shared" si="58"/>
        <v>0</v>
      </c>
      <c r="AX39" s="48">
        <f t="shared" si="58"/>
        <v>0</v>
      </c>
      <c r="AY39" s="48">
        <f t="shared" si="58"/>
        <v>0</v>
      </c>
      <c r="AZ39" s="48">
        <f t="shared" si="58"/>
        <v>0</v>
      </c>
      <c r="BA39" s="48">
        <f t="shared" si="58"/>
        <v>0</v>
      </c>
      <c r="BB39" s="48">
        <f t="shared" si="58"/>
        <v>0</v>
      </c>
      <c r="BC39" s="48">
        <f t="shared" si="58"/>
        <v>0</v>
      </c>
      <c r="BD39" s="48">
        <f t="shared" si="58"/>
        <v>0</v>
      </c>
      <c r="BE39" s="48">
        <f t="shared" si="58"/>
        <v>0</v>
      </c>
      <c r="BF39" s="48">
        <f t="shared" si="58"/>
        <v>0</v>
      </c>
      <c r="BG39" s="48">
        <f t="shared" si="58"/>
        <v>0</v>
      </c>
      <c r="BH39" s="48">
        <f t="shared" si="58"/>
        <v>0</v>
      </c>
      <c r="BI39" s="48">
        <f t="shared" si="58"/>
        <v>0</v>
      </c>
      <c r="BJ39" s="48">
        <f t="shared" si="58"/>
        <v>0</v>
      </c>
      <c r="BK39" s="48">
        <f t="shared" si="58"/>
        <v>0</v>
      </c>
      <c r="BL39" s="48">
        <f t="shared" si="58"/>
        <v>0</v>
      </c>
      <c r="BM39" s="48">
        <f t="shared" si="58"/>
        <v>0</v>
      </c>
      <c r="BN39" s="48">
        <f t="shared" si="58"/>
        <v>0</v>
      </c>
      <c r="BO39" s="48">
        <f t="shared" si="58"/>
        <v>0</v>
      </c>
      <c r="BP39" s="48">
        <f t="shared" si="58"/>
        <v>0</v>
      </c>
      <c r="BQ39" s="48">
        <f t="shared" si="58"/>
        <v>0</v>
      </c>
      <c r="BR39" s="48">
        <f t="shared" si="58"/>
        <v>0</v>
      </c>
      <c r="BS39" s="48">
        <f t="shared" si="58"/>
        <v>0</v>
      </c>
      <c r="BT39" s="48">
        <f t="shared" si="58"/>
        <v>0</v>
      </c>
      <c r="BU39" s="48">
        <f t="shared" si="58"/>
        <v>0</v>
      </c>
      <c r="BV39" s="48">
        <f t="shared" si="58"/>
        <v>0</v>
      </c>
      <c r="BW39" s="48">
        <f t="shared" si="58"/>
        <v>0</v>
      </c>
    </row>
    <row r="40" spans="1:76" x14ac:dyDescent="0.3">
      <c r="A40" s="6" t="s">
        <v>695</v>
      </c>
      <c r="B40" s="5"/>
      <c r="C40" s="5"/>
      <c r="D40" s="5"/>
      <c r="E40" s="5"/>
      <c r="F40" s="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48">
        <f t="shared" ref="AG40:BW40" si="59">-((AG$7-AF$7)*(AF35))</f>
        <v>-1.4786328000031204</v>
      </c>
      <c r="AH40" s="48">
        <f t="shared" si="59"/>
        <v>-419.21484964000223</v>
      </c>
      <c r="AI40" s="48">
        <f t="shared" si="59"/>
        <v>-194.16187200000019</v>
      </c>
      <c r="AJ40" s="48">
        <f t="shared" si="59"/>
        <v>-102.24280799999934</v>
      </c>
      <c r="AK40" s="48">
        <f t="shared" si="59"/>
        <v>0</v>
      </c>
      <c r="AL40" s="48">
        <f t="shared" si="59"/>
        <v>0</v>
      </c>
      <c r="AM40" s="48">
        <f t="shared" si="59"/>
        <v>0</v>
      </c>
      <c r="AN40" s="48">
        <f t="shared" si="59"/>
        <v>0</v>
      </c>
      <c r="AO40" s="48">
        <f t="shared" si="59"/>
        <v>0</v>
      </c>
      <c r="AP40" s="48">
        <f t="shared" si="59"/>
        <v>0</v>
      </c>
      <c r="AQ40" s="48">
        <f t="shared" si="59"/>
        <v>0</v>
      </c>
      <c r="AR40" s="48">
        <f t="shared" si="59"/>
        <v>0</v>
      </c>
      <c r="AS40" s="48">
        <f t="shared" si="59"/>
        <v>0</v>
      </c>
      <c r="AT40" s="48">
        <f t="shared" si="59"/>
        <v>0</v>
      </c>
      <c r="AU40" s="48">
        <f t="shared" si="59"/>
        <v>0</v>
      </c>
      <c r="AV40" s="48">
        <f t="shared" si="59"/>
        <v>0</v>
      </c>
      <c r="AW40" s="48">
        <f t="shared" si="59"/>
        <v>0</v>
      </c>
      <c r="AX40" s="48">
        <f t="shared" si="59"/>
        <v>0</v>
      </c>
      <c r="AY40" s="48">
        <f t="shared" si="59"/>
        <v>0</v>
      </c>
      <c r="AZ40" s="48">
        <f t="shared" si="59"/>
        <v>0</v>
      </c>
      <c r="BA40" s="48">
        <f t="shared" si="59"/>
        <v>0</v>
      </c>
      <c r="BB40" s="48">
        <f t="shared" si="59"/>
        <v>0</v>
      </c>
      <c r="BC40" s="48">
        <f t="shared" si="59"/>
        <v>0</v>
      </c>
      <c r="BD40" s="48">
        <f t="shared" si="59"/>
        <v>0</v>
      </c>
      <c r="BE40" s="48">
        <f t="shared" si="59"/>
        <v>0</v>
      </c>
      <c r="BF40" s="48">
        <f t="shared" si="59"/>
        <v>0</v>
      </c>
      <c r="BG40" s="48">
        <f t="shared" si="59"/>
        <v>0</v>
      </c>
      <c r="BH40" s="48">
        <f t="shared" si="59"/>
        <v>0</v>
      </c>
      <c r="BI40" s="48">
        <f t="shared" si="59"/>
        <v>0</v>
      </c>
      <c r="BJ40" s="48">
        <f t="shared" si="59"/>
        <v>0</v>
      </c>
      <c r="BK40" s="48">
        <f t="shared" si="59"/>
        <v>0</v>
      </c>
      <c r="BL40" s="48">
        <f t="shared" si="59"/>
        <v>0</v>
      </c>
      <c r="BM40" s="48">
        <f t="shared" si="59"/>
        <v>0</v>
      </c>
      <c r="BN40" s="48">
        <f t="shared" si="59"/>
        <v>0</v>
      </c>
      <c r="BO40" s="48">
        <f t="shared" si="59"/>
        <v>0</v>
      </c>
      <c r="BP40" s="48">
        <f t="shared" si="59"/>
        <v>0</v>
      </c>
      <c r="BQ40" s="48">
        <f t="shared" si="59"/>
        <v>0</v>
      </c>
      <c r="BR40" s="48">
        <f t="shared" si="59"/>
        <v>0</v>
      </c>
      <c r="BS40" s="48">
        <f t="shared" si="59"/>
        <v>0</v>
      </c>
      <c r="BT40" s="48">
        <f t="shared" si="59"/>
        <v>0</v>
      </c>
      <c r="BU40" s="48">
        <f t="shared" si="59"/>
        <v>0</v>
      </c>
      <c r="BV40" s="48">
        <f t="shared" si="59"/>
        <v>0</v>
      </c>
      <c r="BW40" s="48">
        <f t="shared" si="59"/>
        <v>0</v>
      </c>
    </row>
    <row r="41" spans="1:76" s="5" customFormat="1" x14ac:dyDescent="0.3">
      <c r="AC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row>
    <row r="42" spans="1:76" x14ac:dyDescent="0.3">
      <c r="A42" s="4" t="s">
        <v>769</v>
      </c>
      <c r="G42" s="25"/>
      <c r="H42" s="25"/>
      <c r="I42" s="25"/>
      <c r="J42" s="25"/>
      <c r="K42" s="25"/>
      <c r="L42" s="25"/>
      <c r="M42" s="25"/>
      <c r="N42" s="25"/>
      <c r="O42" s="25"/>
      <c r="P42" s="25"/>
      <c r="Q42" s="25"/>
      <c r="R42" s="25"/>
      <c r="S42" s="25"/>
      <c r="T42" s="25"/>
      <c r="AA42" s="25"/>
      <c r="AB42" s="246">
        <v>6.0199999999999997E-2</v>
      </c>
      <c r="AC42" s="246">
        <v>6.0499999999999998E-2</v>
      </c>
      <c r="AD42" s="246">
        <v>6.1800000000000001E-2</v>
      </c>
      <c r="AE42" s="246">
        <v>5.9900000000000002E-2</v>
      </c>
      <c r="AG42" s="69">
        <f>AG43+AG44</f>
        <v>5.8263320460274812E-2</v>
      </c>
      <c r="AH42" s="69">
        <f t="shared" ref="AH42:BW42" si="60">AH43+AH44</f>
        <v>5.1075658617167327E-2</v>
      </c>
      <c r="AI42" s="69">
        <f t="shared" si="60"/>
        <v>4.8077181587565007E-2</v>
      </c>
      <c r="AJ42" s="69">
        <f t="shared" si="60"/>
        <v>4.8218506445283013E-2</v>
      </c>
      <c r="AK42" s="69">
        <f t="shared" si="60"/>
        <v>4.8218506445283013E-2</v>
      </c>
      <c r="AL42" s="69">
        <f t="shared" si="60"/>
        <v>5.1113362412616645E-2</v>
      </c>
      <c r="AM42" s="69">
        <f t="shared" si="60"/>
        <v>5.1113362412616645E-2</v>
      </c>
      <c r="AN42" s="69">
        <f t="shared" si="60"/>
        <v>5.0530024410960425E-2</v>
      </c>
      <c r="AO42" s="69">
        <f t="shared" si="60"/>
        <v>5.0530024410960425E-2</v>
      </c>
      <c r="AP42" s="69">
        <f t="shared" si="60"/>
        <v>5.0530024410960425E-2</v>
      </c>
      <c r="AQ42" s="69">
        <f t="shared" si="60"/>
        <v>5.5769313364676262E-2</v>
      </c>
      <c r="AR42" s="69">
        <f t="shared" si="60"/>
        <v>5.5769313364676262E-2</v>
      </c>
      <c r="AS42" s="69">
        <f t="shared" si="60"/>
        <v>5.5769313364676262E-2</v>
      </c>
      <c r="AT42" s="69">
        <f t="shared" si="60"/>
        <v>5.5769313364676262E-2</v>
      </c>
      <c r="AU42" s="69">
        <f t="shared" si="60"/>
        <v>5.5769313364676262E-2</v>
      </c>
      <c r="AV42" s="69">
        <f t="shared" si="60"/>
        <v>5.5769313364676262E-2</v>
      </c>
      <c r="AW42" s="69">
        <f t="shared" si="60"/>
        <v>5.5769313364676262E-2</v>
      </c>
      <c r="AX42" s="69">
        <f t="shared" si="60"/>
        <v>5.5769313364676262E-2</v>
      </c>
      <c r="AY42" s="69">
        <f t="shared" si="60"/>
        <v>5.5769313364676262E-2</v>
      </c>
      <c r="AZ42" s="69">
        <f t="shared" si="60"/>
        <v>5.5769313364676262E-2</v>
      </c>
      <c r="BA42" s="69">
        <f t="shared" si="60"/>
        <v>5.0266189260186875E-2</v>
      </c>
      <c r="BB42" s="69">
        <f t="shared" si="60"/>
        <v>5.0266189260186875E-2</v>
      </c>
      <c r="BC42" s="69">
        <f t="shared" si="60"/>
        <v>5.0266189260186875E-2</v>
      </c>
      <c r="BD42" s="69">
        <f t="shared" si="60"/>
        <v>5.0266189260186875E-2</v>
      </c>
      <c r="BE42" s="69">
        <f t="shared" si="60"/>
        <v>5.0266189260186875E-2</v>
      </c>
      <c r="BF42" s="69">
        <f t="shared" si="60"/>
        <v>5.0266189260186875E-2</v>
      </c>
      <c r="BG42" s="69">
        <f t="shared" si="60"/>
        <v>5.0266189260186875E-2</v>
      </c>
      <c r="BH42" s="69">
        <f t="shared" si="60"/>
        <v>5.0266189260186875E-2</v>
      </c>
      <c r="BI42" s="69">
        <f t="shared" si="60"/>
        <v>5.0266189260186875E-2</v>
      </c>
      <c r="BJ42" s="69">
        <f t="shared" si="60"/>
        <v>5.0266189260186875E-2</v>
      </c>
      <c r="BK42" s="69">
        <f t="shared" si="60"/>
        <v>5.0266189260186875E-2</v>
      </c>
      <c r="BL42" s="69">
        <f t="shared" si="60"/>
        <v>5.0266189260186875E-2</v>
      </c>
      <c r="BM42" s="69">
        <f t="shared" si="60"/>
        <v>5.0266189260186875E-2</v>
      </c>
      <c r="BN42" s="69">
        <f t="shared" si="60"/>
        <v>5.0266189260186875E-2</v>
      </c>
      <c r="BO42" s="69">
        <f t="shared" si="60"/>
        <v>5.0266189260186875E-2</v>
      </c>
      <c r="BP42" s="69">
        <f t="shared" si="60"/>
        <v>5.0266189260186875E-2</v>
      </c>
      <c r="BQ42" s="69">
        <f t="shared" si="60"/>
        <v>5.0266189260186875E-2</v>
      </c>
      <c r="BR42" s="69">
        <f t="shared" si="60"/>
        <v>5.0266189260186875E-2</v>
      </c>
      <c r="BS42" s="69">
        <f t="shared" si="60"/>
        <v>5.0266189260186875E-2</v>
      </c>
      <c r="BT42" s="69">
        <f t="shared" si="60"/>
        <v>5.0266189260186875E-2</v>
      </c>
      <c r="BU42" s="69">
        <f t="shared" si="60"/>
        <v>5.0266189260186875E-2</v>
      </c>
      <c r="BV42" s="69">
        <f t="shared" si="60"/>
        <v>5.0266189260186875E-2</v>
      </c>
      <c r="BW42" s="69">
        <f t="shared" si="60"/>
        <v>5.0266189260186875E-2</v>
      </c>
    </row>
    <row r="43" spans="1:76" x14ac:dyDescent="0.3">
      <c r="A43" s="5" t="s">
        <v>768</v>
      </c>
      <c r="G43" s="25"/>
      <c r="H43" s="25"/>
      <c r="I43" s="25"/>
      <c r="J43" s="25"/>
      <c r="K43" s="25"/>
      <c r="L43" s="25"/>
      <c r="M43" s="25"/>
      <c r="N43" s="25"/>
      <c r="O43" s="25"/>
      <c r="P43" s="25"/>
      <c r="Q43" s="25"/>
      <c r="R43" s="25"/>
      <c r="S43" s="25"/>
      <c r="T43" s="25"/>
      <c r="Z43" s="1"/>
      <c r="AA43" s="25"/>
      <c r="AB43" s="69">
        <f>AB42-AB6</f>
        <v>1.1449999999999995E-2</v>
      </c>
      <c r="AC43" s="69">
        <f>AC42-AC6</f>
        <v>9.290064290001343E-3</v>
      </c>
      <c r="AD43" s="69">
        <f>AD42-AD6</f>
        <v>7.0132175510978986E-3</v>
      </c>
      <c r="AE43" s="69">
        <f>AE42-AE6</f>
        <v>3.7000000000000019E-3</v>
      </c>
      <c r="AG43" s="69">
        <f>AVERAGE($AB$43:$AE$43)</f>
        <v>7.8633204602748096E-3</v>
      </c>
      <c r="AH43" s="69">
        <f t="shared" ref="AH43:BW43" si="61">AVERAGE($AB$43:$AE$43)</f>
        <v>7.8633204602748096E-3</v>
      </c>
      <c r="AI43" s="69">
        <f t="shared" si="61"/>
        <v>7.8633204602748096E-3</v>
      </c>
      <c r="AJ43" s="69">
        <f t="shared" si="61"/>
        <v>7.8633204602748096E-3</v>
      </c>
      <c r="AK43" s="69">
        <f t="shared" si="61"/>
        <v>7.8633204602748096E-3</v>
      </c>
      <c r="AL43" s="69">
        <f t="shared" si="61"/>
        <v>7.8633204602748096E-3</v>
      </c>
      <c r="AM43" s="69">
        <f t="shared" si="61"/>
        <v>7.8633204602748096E-3</v>
      </c>
      <c r="AN43" s="69">
        <f t="shared" si="61"/>
        <v>7.8633204602748096E-3</v>
      </c>
      <c r="AO43" s="69">
        <f t="shared" si="61"/>
        <v>7.8633204602748096E-3</v>
      </c>
      <c r="AP43" s="69">
        <f t="shared" si="61"/>
        <v>7.8633204602748096E-3</v>
      </c>
      <c r="AQ43" s="69">
        <f t="shared" si="61"/>
        <v>7.8633204602748096E-3</v>
      </c>
      <c r="AR43" s="69">
        <f t="shared" si="61"/>
        <v>7.8633204602748096E-3</v>
      </c>
      <c r="AS43" s="69">
        <f t="shared" si="61"/>
        <v>7.8633204602748096E-3</v>
      </c>
      <c r="AT43" s="69">
        <f t="shared" si="61"/>
        <v>7.8633204602748096E-3</v>
      </c>
      <c r="AU43" s="69">
        <f t="shared" si="61"/>
        <v>7.8633204602748096E-3</v>
      </c>
      <c r="AV43" s="69">
        <f t="shared" si="61"/>
        <v>7.8633204602748096E-3</v>
      </c>
      <c r="AW43" s="69">
        <f t="shared" si="61"/>
        <v>7.8633204602748096E-3</v>
      </c>
      <c r="AX43" s="69">
        <f t="shared" si="61"/>
        <v>7.8633204602748096E-3</v>
      </c>
      <c r="AY43" s="69">
        <f t="shared" si="61"/>
        <v>7.8633204602748096E-3</v>
      </c>
      <c r="AZ43" s="69">
        <f t="shared" si="61"/>
        <v>7.8633204602748096E-3</v>
      </c>
      <c r="BA43" s="69">
        <f t="shared" si="61"/>
        <v>7.8633204602748096E-3</v>
      </c>
      <c r="BB43" s="69">
        <f t="shared" si="61"/>
        <v>7.8633204602748096E-3</v>
      </c>
      <c r="BC43" s="69">
        <f t="shared" si="61"/>
        <v>7.8633204602748096E-3</v>
      </c>
      <c r="BD43" s="69">
        <f t="shared" si="61"/>
        <v>7.8633204602748096E-3</v>
      </c>
      <c r="BE43" s="69">
        <f t="shared" si="61"/>
        <v>7.8633204602748096E-3</v>
      </c>
      <c r="BF43" s="69">
        <f t="shared" si="61"/>
        <v>7.8633204602748096E-3</v>
      </c>
      <c r="BG43" s="69">
        <f t="shared" si="61"/>
        <v>7.8633204602748096E-3</v>
      </c>
      <c r="BH43" s="69">
        <f t="shared" si="61"/>
        <v>7.8633204602748096E-3</v>
      </c>
      <c r="BI43" s="69">
        <f t="shared" si="61"/>
        <v>7.8633204602748096E-3</v>
      </c>
      <c r="BJ43" s="69">
        <f t="shared" si="61"/>
        <v>7.8633204602748096E-3</v>
      </c>
      <c r="BK43" s="69">
        <f t="shared" si="61"/>
        <v>7.8633204602748096E-3</v>
      </c>
      <c r="BL43" s="69">
        <f t="shared" si="61"/>
        <v>7.8633204602748096E-3</v>
      </c>
      <c r="BM43" s="69">
        <f t="shared" si="61"/>
        <v>7.8633204602748096E-3</v>
      </c>
      <c r="BN43" s="69">
        <f t="shared" si="61"/>
        <v>7.8633204602748096E-3</v>
      </c>
      <c r="BO43" s="69">
        <f t="shared" si="61"/>
        <v>7.8633204602748096E-3</v>
      </c>
      <c r="BP43" s="69">
        <f t="shared" si="61"/>
        <v>7.8633204602748096E-3</v>
      </c>
      <c r="BQ43" s="69">
        <f t="shared" si="61"/>
        <v>7.8633204602748096E-3</v>
      </c>
      <c r="BR43" s="69">
        <f t="shared" si="61"/>
        <v>7.8633204602748096E-3</v>
      </c>
      <c r="BS43" s="69">
        <f t="shared" si="61"/>
        <v>7.8633204602748096E-3</v>
      </c>
      <c r="BT43" s="69">
        <f t="shared" si="61"/>
        <v>7.8633204602748096E-3</v>
      </c>
      <c r="BU43" s="69">
        <f t="shared" si="61"/>
        <v>7.8633204602748096E-3</v>
      </c>
      <c r="BV43" s="69">
        <f t="shared" si="61"/>
        <v>7.8633204602748096E-3</v>
      </c>
      <c r="BW43" s="69">
        <f t="shared" si="61"/>
        <v>7.8633204602748096E-3</v>
      </c>
    </row>
    <row r="44" spans="1:76" x14ac:dyDescent="0.3">
      <c r="A44" s="5" t="s">
        <v>698</v>
      </c>
      <c r="G44" s="25"/>
      <c r="H44" s="25"/>
      <c r="I44" s="25"/>
      <c r="J44" s="25"/>
      <c r="K44" s="25"/>
      <c r="L44" s="25"/>
      <c r="M44" s="25"/>
      <c r="N44" s="25"/>
      <c r="O44" s="25"/>
      <c r="P44" s="25"/>
      <c r="Q44" s="25"/>
      <c r="R44" s="25"/>
      <c r="S44" s="25"/>
      <c r="T44" s="25"/>
      <c r="Z44" s="1"/>
      <c r="AA44" s="25"/>
      <c r="AB44" s="69">
        <f>AB6</f>
        <v>4.8750000000000002E-2</v>
      </c>
      <c r="AC44" s="69">
        <f>AC6</f>
        <v>5.1209935709998655E-2</v>
      </c>
      <c r="AD44" s="69">
        <f>AD6</f>
        <v>5.4786782448902102E-2</v>
      </c>
      <c r="AE44" s="69">
        <f>AE6</f>
        <v>5.62E-2</v>
      </c>
      <c r="AG44" s="69">
        <f t="shared" ref="AG44:BW44" si="62">AG6</f>
        <v>5.04E-2</v>
      </c>
      <c r="AH44" s="69">
        <f t="shared" si="62"/>
        <v>4.3212338156892516E-2</v>
      </c>
      <c r="AI44" s="69">
        <f t="shared" si="62"/>
        <v>4.0213861127290196E-2</v>
      </c>
      <c r="AJ44" s="69">
        <f t="shared" si="62"/>
        <v>4.0355185985008202E-2</v>
      </c>
      <c r="AK44" s="69">
        <f t="shared" si="62"/>
        <v>4.0355185985008202E-2</v>
      </c>
      <c r="AL44" s="69">
        <f t="shared" si="62"/>
        <v>4.3250041952341833E-2</v>
      </c>
      <c r="AM44" s="69">
        <f t="shared" si="62"/>
        <v>4.3250041952341833E-2</v>
      </c>
      <c r="AN44" s="69">
        <f t="shared" si="62"/>
        <v>4.2666703950685614E-2</v>
      </c>
      <c r="AO44" s="69">
        <f t="shared" si="62"/>
        <v>4.2666703950685614E-2</v>
      </c>
      <c r="AP44" s="69">
        <f t="shared" si="62"/>
        <v>4.2666703950685614E-2</v>
      </c>
      <c r="AQ44" s="69">
        <f t="shared" si="62"/>
        <v>4.7905992904401451E-2</v>
      </c>
      <c r="AR44" s="69">
        <f t="shared" si="62"/>
        <v>4.7905992904401451E-2</v>
      </c>
      <c r="AS44" s="69">
        <f t="shared" si="62"/>
        <v>4.7905992904401451E-2</v>
      </c>
      <c r="AT44" s="69">
        <f t="shared" si="62"/>
        <v>4.7905992904401451E-2</v>
      </c>
      <c r="AU44" s="69">
        <f t="shared" si="62"/>
        <v>4.7905992904401451E-2</v>
      </c>
      <c r="AV44" s="69">
        <f t="shared" si="62"/>
        <v>4.7905992904401451E-2</v>
      </c>
      <c r="AW44" s="69">
        <f t="shared" si="62"/>
        <v>4.7905992904401451E-2</v>
      </c>
      <c r="AX44" s="69">
        <f t="shared" si="62"/>
        <v>4.7905992904401451E-2</v>
      </c>
      <c r="AY44" s="69">
        <f t="shared" si="62"/>
        <v>4.7905992904401451E-2</v>
      </c>
      <c r="AZ44" s="69">
        <f t="shared" si="62"/>
        <v>4.7905992904401451E-2</v>
      </c>
      <c r="BA44" s="69">
        <f t="shared" si="62"/>
        <v>4.2402868799912063E-2</v>
      </c>
      <c r="BB44" s="69">
        <f t="shared" si="62"/>
        <v>4.2402868799912063E-2</v>
      </c>
      <c r="BC44" s="69">
        <f t="shared" si="62"/>
        <v>4.2402868799912063E-2</v>
      </c>
      <c r="BD44" s="69">
        <f t="shared" si="62"/>
        <v>4.2402868799912063E-2</v>
      </c>
      <c r="BE44" s="69">
        <f t="shared" si="62"/>
        <v>4.2402868799912063E-2</v>
      </c>
      <c r="BF44" s="69">
        <f t="shared" si="62"/>
        <v>4.2402868799912063E-2</v>
      </c>
      <c r="BG44" s="69">
        <f t="shared" si="62"/>
        <v>4.2402868799912063E-2</v>
      </c>
      <c r="BH44" s="69">
        <f t="shared" si="62"/>
        <v>4.2402868799912063E-2</v>
      </c>
      <c r="BI44" s="69">
        <f t="shared" si="62"/>
        <v>4.2402868799912063E-2</v>
      </c>
      <c r="BJ44" s="69">
        <f t="shared" si="62"/>
        <v>4.2402868799912063E-2</v>
      </c>
      <c r="BK44" s="69">
        <f t="shared" si="62"/>
        <v>4.2402868799912063E-2</v>
      </c>
      <c r="BL44" s="69">
        <f t="shared" si="62"/>
        <v>4.2402868799912063E-2</v>
      </c>
      <c r="BM44" s="69">
        <f t="shared" si="62"/>
        <v>4.2402868799912063E-2</v>
      </c>
      <c r="BN44" s="69">
        <f t="shared" si="62"/>
        <v>4.2402868799912063E-2</v>
      </c>
      <c r="BO44" s="69">
        <f t="shared" si="62"/>
        <v>4.2402868799912063E-2</v>
      </c>
      <c r="BP44" s="69">
        <f t="shared" si="62"/>
        <v>4.2402868799912063E-2</v>
      </c>
      <c r="BQ44" s="69">
        <f t="shared" si="62"/>
        <v>4.2402868799912063E-2</v>
      </c>
      <c r="BR44" s="69">
        <f t="shared" si="62"/>
        <v>4.2402868799912063E-2</v>
      </c>
      <c r="BS44" s="69">
        <f t="shared" si="62"/>
        <v>4.2402868799912063E-2</v>
      </c>
      <c r="BT44" s="69">
        <f t="shared" si="62"/>
        <v>4.2402868799912063E-2</v>
      </c>
      <c r="BU44" s="69">
        <f t="shared" si="62"/>
        <v>4.2402868799912063E-2</v>
      </c>
      <c r="BV44" s="69">
        <f t="shared" si="62"/>
        <v>4.2402868799912063E-2</v>
      </c>
      <c r="BW44" s="69">
        <f t="shared" si="62"/>
        <v>4.2402868799912063E-2</v>
      </c>
    </row>
    <row r="46" spans="1:76" x14ac:dyDescent="0.3">
      <c r="A46" s="267" t="s">
        <v>1173</v>
      </c>
      <c r="B46" s="245"/>
      <c r="C46" s="245"/>
      <c r="D46" s="245"/>
      <c r="E46" s="245"/>
      <c r="F46" s="245"/>
      <c r="G46" s="245"/>
      <c r="H46" s="245"/>
      <c r="I46" s="245"/>
      <c r="J46" s="245"/>
      <c r="K46" s="245"/>
      <c r="L46" s="245"/>
      <c r="M46" s="245"/>
      <c r="N46" s="245"/>
      <c r="O46" s="245"/>
      <c r="P46" s="245"/>
      <c r="Q46" s="245"/>
      <c r="R46" s="245"/>
      <c r="S46" s="245"/>
      <c r="T46" s="245"/>
      <c r="AA46" s="245"/>
      <c r="AG46" s="55">
        <v>236</v>
      </c>
      <c r="AH46" s="55">
        <v>275</v>
      </c>
      <c r="AI46" s="55">
        <v>625</v>
      </c>
      <c r="AJ46" s="55">
        <v>148</v>
      </c>
      <c r="AK46" s="55">
        <v>246</v>
      </c>
    </row>
    <row r="47" spans="1:76" x14ac:dyDescent="0.3">
      <c r="A47" s="267" t="s">
        <v>1174</v>
      </c>
      <c r="AG47" s="51">
        <f>AG46*AG7</f>
        <v>1164.1171999999999</v>
      </c>
      <c r="AH47" s="51">
        <f>AH46*AH7</f>
        <v>1375</v>
      </c>
      <c r="AI47" s="51">
        <f>AI46*AI7</f>
        <v>3150</v>
      </c>
      <c r="AJ47" s="51">
        <f>AJ46*AJ7</f>
        <v>754.8</v>
      </c>
      <c r="AK47" s="51">
        <f>AF35-SUM(AG47:AJ47)</f>
        <v>949.24679999999989</v>
      </c>
    </row>
    <row r="48" spans="1:76" x14ac:dyDescent="0.3">
      <c r="A48" s="5" t="s">
        <v>1175</v>
      </c>
    </row>
  </sheetData>
  <pageMargins left="0.511811024" right="0.511811024" top="0.78740157499999996" bottom="0.78740157499999996" header="0.31496062000000002" footer="0.31496062000000002"/>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5C881-05C7-48FB-A21E-CE32E8F10D85}">
  <sheetPr>
    <tabColor theme="9" tint="-0.499984740745262"/>
  </sheetPr>
  <dimension ref="A1:BW71"/>
  <sheetViews>
    <sheetView showGridLines="0" zoomScaleNormal="100" workbookViewId="0">
      <pane xSplit="2" ySplit="1" topLeftCell="AB14" activePane="bottomRight" state="frozen"/>
      <selection pane="topRight" activeCell="C1" sqref="C1"/>
      <selection pane="bottomLeft" activeCell="A2" sqref="A2"/>
      <selection pane="bottomRight" activeCell="AK51" sqref="AK51"/>
    </sheetView>
  </sheetViews>
  <sheetFormatPr defaultRowHeight="14.4" x14ac:dyDescent="0.3"/>
  <cols>
    <col min="1" max="1" width="12.21875" style="1" bestFit="1" customWidth="1"/>
    <col min="2" max="2" width="53.88671875" style="1" customWidth="1"/>
    <col min="3" max="18" width="9.77734375" style="1" bestFit="1" customWidth="1"/>
    <col min="19" max="21" width="10.109375" style="1" bestFit="1" customWidth="1"/>
    <col min="22" max="22" width="10.109375" style="1" customWidth="1"/>
    <col min="23" max="30" width="10.109375" style="1" bestFit="1" customWidth="1"/>
    <col min="31" max="31" width="10.21875" style="1" bestFit="1" customWidth="1"/>
    <col min="32" max="32" width="10.88671875" style="1" bestFit="1" customWidth="1"/>
    <col min="33" max="52" width="10.21875" style="1" bestFit="1" customWidth="1"/>
    <col min="53" max="75" width="10.77734375" style="1" bestFit="1" customWidth="1"/>
    <col min="76" max="16384" width="8.88671875" style="1"/>
  </cols>
  <sheetData>
    <row r="1" spans="1:75" x14ac:dyDescent="0.3">
      <c r="C1" s="41" t="s">
        <v>244</v>
      </c>
      <c r="D1" s="41" t="s">
        <v>243</v>
      </c>
      <c r="E1" s="41" t="s">
        <v>242</v>
      </c>
      <c r="F1" s="41" t="s">
        <v>236</v>
      </c>
      <c r="G1" s="41">
        <v>2018</v>
      </c>
      <c r="H1" s="41" t="s">
        <v>241</v>
      </c>
      <c r="I1" s="41" t="s">
        <v>240</v>
      </c>
      <c r="J1" s="41" t="s">
        <v>239</v>
      </c>
      <c r="K1" s="41" t="s">
        <v>237</v>
      </c>
      <c r="L1" s="41">
        <v>2019</v>
      </c>
      <c r="M1" s="41" t="s">
        <v>235</v>
      </c>
      <c r="N1" s="41" t="s">
        <v>234</v>
      </c>
      <c r="O1" s="41" t="s">
        <v>238</v>
      </c>
      <c r="P1" s="41" t="s">
        <v>226</v>
      </c>
      <c r="Q1" s="41">
        <v>2020</v>
      </c>
      <c r="R1" s="41" t="s">
        <v>232</v>
      </c>
      <c r="S1" s="41" t="s">
        <v>231</v>
      </c>
      <c r="T1" s="41" t="s">
        <v>229</v>
      </c>
      <c r="U1" s="41" t="s">
        <v>225</v>
      </c>
      <c r="V1" s="41">
        <v>2021</v>
      </c>
      <c r="W1" s="41" t="s">
        <v>230</v>
      </c>
      <c r="X1" s="41" t="s">
        <v>228</v>
      </c>
      <c r="Y1" s="41" t="s">
        <v>227</v>
      </c>
      <c r="Z1" s="41" t="s">
        <v>224</v>
      </c>
      <c r="AA1" s="41">
        <v>2022</v>
      </c>
      <c r="AB1" s="41" t="s">
        <v>136</v>
      </c>
      <c r="AC1" s="41" t="s">
        <v>137</v>
      </c>
      <c r="AD1" s="41" t="s">
        <v>268</v>
      </c>
      <c r="AE1" s="41" t="s">
        <v>269</v>
      </c>
      <c r="AF1" s="41">
        <v>2023</v>
      </c>
      <c r="AG1" s="41">
        <f>'Receita Líquida - O&amp;G'!AG1</f>
        <v>2024</v>
      </c>
      <c r="AH1" s="41">
        <f>'Receita Líquida - O&amp;G'!AH1</f>
        <v>2025</v>
      </c>
      <c r="AI1" s="41">
        <f>'Receita Líquida - O&amp;G'!AI1</f>
        <v>2026</v>
      </c>
      <c r="AJ1" s="41">
        <f>'Receita Líquida - O&amp;G'!AJ1</f>
        <v>2027</v>
      </c>
      <c r="AK1" s="41">
        <f>'Receita Líquida - O&amp;G'!AK1</f>
        <v>2028</v>
      </c>
      <c r="AL1" s="41">
        <f>'Receita Líquida - O&amp;G'!AL1</f>
        <v>2029</v>
      </c>
      <c r="AM1" s="41">
        <f>'Receita Líquida - O&amp;G'!AM1</f>
        <v>2030</v>
      </c>
      <c r="AN1" s="41">
        <f>'Receita Líquida - O&amp;G'!AN1</f>
        <v>2031</v>
      </c>
      <c r="AO1" s="41">
        <f>'Receita Líquida - O&amp;G'!AO1</f>
        <v>2032</v>
      </c>
      <c r="AP1" s="41">
        <f>'Receita Líquida - O&amp;G'!AP1</f>
        <v>2033</v>
      </c>
      <c r="AQ1" s="41">
        <f>'Receita Líquida - O&amp;G'!AQ1</f>
        <v>2034</v>
      </c>
      <c r="AR1" s="41">
        <f>'Receita Líquida - O&amp;G'!AR1</f>
        <v>2035</v>
      </c>
      <c r="AS1" s="41">
        <f>'Receita Líquida - O&amp;G'!AS1</f>
        <v>2036</v>
      </c>
      <c r="AT1" s="41">
        <f>'Receita Líquida - O&amp;G'!AT1</f>
        <v>2037</v>
      </c>
      <c r="AU1" s="41">
        <f>'Receita Líquida - O&amp;G'!AU1</f>
        <v>2038</v>
      </c>
      <c r="AV1" s="41">
        <f>'Receita Líquida - O&amp;G'!AV1</f>
        <v>2039</v>
      </c>
      <c r="AW1" s="41">
        <f>'Receita Líquida - O&amp;G'!AW1</f>
        <v>2040</v>
      </c>
      <c r="AX1" s="41">
        <f>'Receita Líquida - O&amp;G'!AX1</f>
        <v>2041</v>
      </c>
      <c r="AY1" s="41">
        <f>'Receita Líquida - O&amp;G'!AY1</f>
        <v>2042</v>
      </c>
      <c r="AZ1" s="41">
        <f>'Receita Líquida - O&amp;G'!AZ1</f>
        <v>2043</v>
      </c>
      <c r="BA1" s="41">
        <f>'Receita Líquida - O&amp;G'!BA1</f>
        <v>2044</v>
      </c>
      <c r="BB1" s="41">
        <f>'Receita Líquida - O&amp;G'!BB1</f>
        <v>2045</v>
      </c>
      <c r="BC1" s="41">
        <f>'Receita Líquida - O&amp;G'!BC1</f>
        <v>2046</v>
      </c>
      <c r="BD1" s="41">
        <f>'Receita Líquida - O&amp;G'!BD1</f>
        <v>2047</v>
      </c>
      <c r="BE1" s="41">
        <f>'Receita Líquida - O&amp;G'!BE1</f>
        <v>2048</v>
      </c>
      <c r="BF1" s="41">
        <f>'Receita Líquida - O&amp;G'!BF1</f>
        <v>2049</v>
      </c>
      <c r="BG1" s="41">
        <f>'Receita Líquida - O&amp;G'!BG1</f>
        <v>2050</v>
      </c>
      <c r="BH1" s="41">
        <f>'Receita Líquida - O&amp;G'!BH1</f>
        <v>2051</v>
      </c>
      <c r="BI1" s="41">
        <f>'Receita Líquida - O&amp;G'!BI1</f>
        <v>2052</v>
      </c>
      <c r="BJ1" s="41">
        <f>'Receita Líquida - O&amp;G'!BJ1</f>
        <v>2053</v>
      </c>
      <c r="BK1" s="41">
        <f>'Receita Líquida - O&amp;G'!BK1</f>
        <v>2054</v>
      </c>
      <c r="BL1" s="41">
        <f>'Receita Líquida - O&amp;G'!BL1</f>
        <v>2055</v>
      </c>
      <c r="BM1" s="41">
        <f>'Receita Líquida - O&amp;G'!BM1</f>
        <v>2056</v>
      </c>
      <c r="BN1" s="41">
        <f>'Receita Líquida - O&amp;G'!BN1</f>
        <v>2057</v>
      </c>
      <c r="BO1" s="41">
        <f>'Receita Líquida - O&amp;G'!BO1</f>
        <v>2058</v>
      </c>
      <c r="BP1" s="41">
        <f>'Receita Líquida - O&amp;G'!BP1</f>
        <v>2059</v>
      </c>
      <c r="BQ1" s="41">
        <f>'Receita Líquida - O&amp;G'!BQ1</f>
        <v>2060</v>
      </c>
      <c r="BR1" s="41">
        <f>'Receita Líquida - O&amp;G'!BR1</f>
        <v>2061</v>
      </c>
      <c r="BS1" s="41">
        <f>'Receita Líquida - O&amp;G'!BS1</f>
        <v>2062</v>
      </c>
      <c r="BT1" s="41">
        <f>'Receita Líquida - O&amp;G'!BT1</f>
        <v>2063</v>
      </c>
      <c r="BU1" s="41">
        <f>'Receita Líquida - O&amp;G'!BU1</f>
        <v>2064</v>
      </c>
      <c r="BV1" s="41">
        <f>'Receita Líquida - O&amp;G'!BV1</f>
        <v>2065</v>
      </c>
      <c r="BW1" s="41">
        <f>'Receita Líquida - O&amp;G'!BW1</f>
        <v>2066</v>
      </c>
    </row>
    <row r="3" spans="1:75" s="275" customFormat="1" ht="13.8" x14ac:dyDescent="0.3">
      <c r="A3" s="276" t="s">
        <v>1186</v>
      </c>
    </row>
    <row r="5" spans="1:75" x14ac:dyDescent="0.3">
      <c r="A5" s="1" t="s">
        <v>505</v>
      </c>
      <c r="C5" s="51">
        <f>'Fluxo de Caixa dos Acionistas'!C16</f>
        <v>117155</v>
      </c>
      <c r="D5" s="51">
        <f>'Fluxo de Caixa dos Acionistas'!D16</f>
        <v>239405</v>
      </c>
      <c r="E5" s="51">
        <f>'Fluxo de Caixa dos Acionistas'!E16</f>
        <v>224627</v>
      </c>
      <c r="F5" s="51">
        <f>'Fluxo de Caixa dos Acionistas'!F16</f>
        <v>267733</v>
      </c>
      <c r="G5" s="48">
        <f>'Fluxo de Caixa dos Acionistas'!G16</f>
        <v>848920</v>
      </c>
      <c r="H5" s="51">
        <f>'Fluxo de Caixa dos Acionistas'!H16</f>
        <v>139431</v>
      </c>
      <c r="I5" s="51">
        <f>'Fluxo de Caixa dos Acionistas'!I16</f>
        <v>547875</v>
      </c>
      <c r="J5" s="51">
        <f>'Fluxo de Caixa dos Acionistas'!J16</f>
        <v>399045</v>
      </c>
      <c r="K5" s="51">
        <f>'Fluxo de Caixa dos Acionistas'!K16</f>
        <v>557995</v>
      </c>
      <c r="L5" s="48">
        <f>'Fluxo de Caixa dos Acionistas'!L16</f>
        <v>1644346</v>
      </c>
      <c r="M5" s="51">
        <f>'Fluxo de Caixa dos Acionistas'!M16</f>
        <v>223162</v>
      </c>
      <c r="N5" s="51">
        <f>'Fluxo de Caixa dos Acionistas'!N16</f>
        <v>312293</v>
      </c>
      <c r="O5" s="51">
        <f>'Fluxo de Caixa dos Acionistas'!O16</f>
        <v>488695</v>
      </c>
      <c r="P5" s="51">
        <f>'Fluxo de Caixa dos Acionistas'!P16</f>
        <v>880035</v>
      </c>
      <c r="Q5" s="48">
        <f>'Fluxo de Caixa dos Acionistas'!Q16</f>
        <v>1904185</v>
      </c>
      <c r="R5" s="51">
        <f>'Fluxo de Caixa dos Acionistas'!R16</f>
        <v>655334</v>
      </c>
      <c r="S5" s="51">
        <f>'Fluxo de Caixa dos Acionistas'!S16</f>
        <v>1022837</v>
      </c>
      <c r="T5" s="51">
        <f>'Fluxo de Caixa dos Acionistas'!T16</f>
        <v>939517</v>
      </c>
      <c r="U5" s="51">
        <f>'Fluxo de Caixa dos Acionistas'!U16</f>
        <v>1778315</v>
      </c>
      <c r="V5" s="48">
        <f>'Fluxo de Caixa dos Acionistas'!V16</f>
        <v>4396003</v>
      </c>
      <c r="W5" s="51">
        <f>'Fluxo de Caixa dos Acionistas'!W16</f>
        <v>1529995</v>
      </c>
      <c r="X5" s="51">
        <f>'Fluxo de Caixa dos Acionistas'!X16</f>
        <v>1873985</v>
      </c>
      <c r="Y5" s="51">
        <f>'Fluxo de Caixa dos Acionistas'!Y16</f>
        <v>1985786</v>
      </c>
      <c r="Z5" s="51">
        <f>'Fluxo de Caixa dos Acionistas'!Z16</f>
        <v>973709</v>
      </c>
      <c r="AA5" s="48">
        <f>'Fluxo de Caixa dos Acionistas'!AA16</f>
        <v>6363475</v>
      </c>
      <c r="AB5" s="51">
        <f>'Fluxo de Caixa dos Acionistas'!AB16</f>
        <v>2814955</v>
      </c>
      <c r="AC5" s="51">
        <f>'Fluxo de Caixa dos Acionistas'!AC16</f>
        <v>2311206</v>
      </c>
      <c r="AD5" s="51">
        <f>'Fluxo de Caixa dos Acionistas'!AD16</f>
        <v>3783682</v>
      </c>
      <c r="AE5" s="51">
        <f>'Fluxo de Caixa dos Acionistas'!AE16</f>
        <v>2995198</v>
      </c>
      <c r="AF5" s="48">
        <f>'Fluxo de Caixa dos Acionistas'!AF16</f>
        <v>11905041</v>
      </c>
      <c r="AG5" s="48">
        <f ca="1">'Fluxo de Caixa dos Acionistas'!AG16</f>
        <v>16390386.78087198</v>
      </c>
      <c r="AH5" s="48">
        <f ca="1">'Fluxo de Caixa dos Acionistas'!AH16</f>
        <v>20323351.780034315</v>
      </c>
      <c r="AI5" s="48">
        <f ca="1">'Fluxo de Caixa dos Acionistas'!AI16</f>
        <v>20721904.899899654</v>
      </c>
      <c r="AJ5" s="48">
        <f ca="1">'Fluxo de Caixa dos Acionistas'!AJ16</f>
        <v>21323319.09452197</v>
      </c>
      <c r="AK5" s="48">
        <f ca="1">'Fluxo de Caixa dos Acionistas'!AK16</f>
        <v>20553244.297288332</v>
      </c>
      <c r="AL5" s="48">
        <f ca="1">'Fluxo de Caixa dos Acionistas'!AL16</f>
        <v>20781192.835271839</v>
      </c>
      <c r="AM5" s="48">
        <f ca="1">'Fluxo de Caixa dos Acionistas'!AM16</f>
        <v>18961693.826721907</v>
      </c>
      <c r="AN5" s="48">
        <f ca="1">'Fluxo de Caixa dos Acionistas'!AN16</f>
        <v>16224666.620542247</v>
      </c>
      <c r="AO5" s="48">
        <f ca="1">'Fluxo de Caixa dos Acionistas'!AO16</f>
        <v>14451927.383099908</v>
      </c>
      <c r="AP5" s="48">
        <f ca="1">'Fluxo de Caixa dos Acionistas'!AP16</f>
        <v>13007420.420359002</v>
      </c>
      <c r="AQ5" s="48">
        <f ca="1">'Fluxo de Caixa dos Acionistas'!AQ16</f>
        <v>11798203.427187698</v>
      </c>
      <c r="AR5" s="48">
        <f ca="1">'Fluxo de Caixa dos Acionistas'!AR16</f>
        <v>10570288.890776379</v>
      </c>
      <c r="AS5" s="48">
        <f ca="1">'Fluxo de Caixa dos Acionistas'!AS16</f>
        <v>9331665.7179269642</v>
      </c>
      <c r="AT5" s="48">
        <f ca="1">'Fluxo de Caixa dos Acionistas'!AT16</f>
        <v>8275151.7275991775</v>
      </c>
      <c r="AU5" s="48">
        <f ca="1">'Fluxo de Caixa dos Acionistas'!AU16</f>
        <v>7515560.0073167263</v>
      </c>
      <c r="AV5" s="48">
        <f ca="1">'Fluxo de Caixa dos Acionistas'!AV16</f>
        <v>6860556.0599817354</v>
      </c>
      <c r="AW5" s="48">
        <f ca="1">'Fluxo de Caixa dos Acionistas'!AW16</f>
        <v>5568699.9780870378</v>
      </c>
      <c r="AX5" s="48">
        <f ca="1">'Fluxo de Caixa dos Acionistas'!AX16</f>
        <v>5025652.8041598415</v>
      </c>
      <c r="AY5" s="48">
        <f ca="1">'Fluxo de Caixa dos Acionistas'!AY16</f>
        <v>4549195.912382327</v>
      </c>
      <c r="AZ5" s="48">
        <f ca="1">'Fluxo de Caixa dos Acionistas'!AZ16</f>
        <v>4098515.4558692994</v>
      </c>
      <c r="BA5" s="48">
        <f ca="1">'Fluxo de Caixa dos Acionistas'!BA16</f>
        <v>3749819.1320893974</v>
      </c>
      <c r="BB5" s="48">
        <f ca="1">'Fluxo de Caixa dos Acionistas'!BB16</f>
        <v>3355803.2444751463</v>
      </c>
      <c r="BC5" s="48">
        <f ca="1">'Fluxo de Caixa dos Acionistas'!BC16</f>
        <v>3132287.1289879899</v>
      </c>
      <c r="BD5" s="48">
        <f ca="1">'Fluxo de Caixa dos Acionistas'!BD16</f>
        <v>2957779.8214273546</v>
      </c>
      <c r="BE5" s="48">
        <f ca="1">'Fluxo de Caixa dos Acionistas'!BE16</f>
        <v>2810630.5580406166</v>
      </c>
      <c r="BF5" s="48">
        <f ca="1">'Fluxo de Caixa dos Acionistas'!BF16</f>
        <v>2536883.2537542437</v>
      </c>
      <c r="BG5" s="48">
        <f ca="1">'Fluxo de Caixa dos Acionistas'!BG16</f>
        <v>2382496.4886306101</v>
      </c>
      <c r="BH5" s="48">
        <f ca="1">'Fluxo de Caixa dos Acionistas'!BH16</f>
        <v>2285037.7475453387</v>
      </c>
      <c r="BI5" s="48">
        <f ca="1">'Fluxo de Caixa dos Acionistas'!BI16</f>
        <v>1476559.1882033877</v>
      </c>
      <c r="BJ5" s="48">
        <f ca="1">'Fluxo de Caixa dos Acionistas'!BJ16</f>
        <v>0</v>
      </c>
      <c r="BK5" s="48">
        <f ca="1">'Fluxo de Caixa dos Acionistas'!BK16</f>
        <v>0</v>
      </c>
      <c r="BL5" s="48">
        <f ca="1">'Fluxo de Caixa dos Acionistas'!BL16</f>
        <v>0</v>
      </c>
      <c r="BM5" s="48">
        <f ca="1">'Fluxo de Caixa dos Acionistas'!BM16</f>
        <v>0</v>
      </c>
      <c r="BN5" s="48">
        <f ca="1">'Fluxo de Caixa dos Acionistas'!BN16</f>
        <v>0</v>
      </c>
      <c r="BO5" s="48">
        <f ca="1">'Fluxo de Caixa dos Acionistas'!BO16</f>
        <v>0</v>
      </c>
      <c r="BP5" s="48">
        <f ca="1">'Fluxo de Caixa dos Acionistas'!BP16</f>
        <v>0</v>
      </c>
      <c r="BQ5" s="48">
        <f ca="1">'Fluxo de Caixa dos Acionistas'!BQ16</f>
        <v>0</v>
      </c>
      <c r="BR5" s="48">
        <f ca="1">'Fluxo de Caixa dos Acionistas'!BR16</f>
        <v>0</v>
      </c>
      <c r="BS5" s="48">
        <f ca="1">'Fluxo de Caixa dos Acionistas'!BS16</f>
        <v>0</v>
      </c>
      <c r="BT5" s="48">
        <f ca="1">'Fluxo de Caixa dos Acionistas'!BT16</f>
        <v>0</v>
      </c>
      <c r="BU5" s="48">
        <f ca="1">'Fluxo de Caixa dos Acionistas'!BU16</f>
        <v>0</v>
      </c>
      <c r="BV5" s="48">
        <f ca="1">'Fluxo de Caixa dos Acionistas'!BV16</f>
        <v>0</v>
      </c>
      <c r="BW5" s="48">
        <f ca="1">'Fluxo de Caixa dos Acionistas'!BW16</f>
        <v>0</v>
      </c>
    </row>
    <row r="6" spans="1:75" x14ac:dyDescent="0.3">
      <c r="A6" s="1" t="s">
        <v>506</v>
      </c>
      <c r="F6" s="51">
        <f>F5+E5+D5+C5</f>
        <v>848920</v>
      </c>
      <c r="G6" s="48">
        <f>G5</f>
        <v>848920</v>
      </c>
      <c r="H6" s="51">
        <f>H5+F5+E5+D5</f>
        <v>871196</v>
      </c>
      <c r="I6" s="51">
        <f>I5+H5+F5+E5</f>
        <v>1179666</v>
      </c>
      <c r="J6" s="51">
        <f>J5+I5+H5+F5</f>
        <v>1354084</v>
      </c>
      <c r="K6" s="51">
        <f>K5+J5+I5+H5</f>
        <v>1644346</v>
      </c>
      <c r="L6" s="48">
        <f>L5</f>
        <v>1644346</v>
      </c>
      <c r="M6" s="51">
        <f>M5+K5+J5+I5</f>
        <v>1728077</v>
      </c>
      <c r="N6" s="51">
        <f>N5+M5+K5+J5</f>
        <v>1492495</v>
      </c>
      <c r="O6" s="51">
        <f>O5+N5+M5+K5</f>
        <v>1582145</v>
      </c>
      <c r="P6" s="51">
        <f>P5+O5+N5+M5</f>
        <v>1904185</v>
      </c>
      <c r="Q6" s="48">
        <f>Q5</f>
        <v>1904185</v>
      </c>
      <c r="R6" s="51">
        <f>R5+P5+O5+N5</f>
        <v>2336357</v>
      </c>
      <c r="S6" s="51">
        <f>S5+R5+P5+O5</f>
        <v>3046901</v>
      </c>
      <c r="T6" s="51">
        <f>T5+S5+R5+P5</f>
        <v>3497723</v>
      </c>
      <c r="U6" s="51">
        <f>U5+T5+S5+R5</f>
        <v>4396003</v>
      </c>
      <c r="V6" s="48">
        <f>V5</f>
        <v>4396003</v>
      </c>
      <c r="W6" s="51">
        <f>W5+U5+T5+S5</f>
        <v>5270664</v>
      </c>
      <c r="X6" s="51">
        <f>X5+W5+U5+T5</f>
        <v>6121812</v>
      </c>
      <c r="Y6" s="51">
        <f>Y5+X5+W5+U5</f>
        <v>7168081</v>
      </c>
      <c r="Z6" s="51">
        <f>Z5+Y5+X5+W5</f>
        <v>6363475</v>
      </c>
      <c r="AA6" s="48">
        <f>AA5</f>
        <v>6363475</v>
      </c>
      <c r="AB6" s="51">
        <f>AB5+Z5+Y5+X5</f>
        <v>7648435</v>
      </c>
      <c r="AC6" s="51">
        <f>AC5+AB5+Z5+Y5</f>
        <v>8085656</v>
      </c>
      <c r="AD6" s="51">
        <f>AD5+AC5+AB5+Z5</f>
        <v>9883552</v>
      </c>
      <c r="AE6" s="51">
        <f>AE5+AD5+AC5+AB5</f>
        <v>11905041</v>
      </c>
      <c r="AF6" s="48">
        <f t="shared" ref="AF6:BW6" si="0">AF5</f>
        <v>11905041</v>
      </c>
      <c r="AG6" s="48">
        <f t="shared" ca="1" si="0"/>
        <v>16390386.78087198</v>
      </c>
      <c r="AH6" s="48">
        <f t="shared" ca="1" si="0"/>
        <v>20323351.780034315</v>
      </c>
      <c r="AI6" s="48">
        <f t="shared" ca="1" si="0"/>
        <v>20721904.899899654</v>
      </c>
      <c r="AJ6" s="48">
        <f t="shared" ca="1" si="0"/>
        <v>21323319.09452197</v>
      </c>
      <c r="AK6" s="48">
        <f t="shared" ca="1" si="0"/>
        <v>20553244.297288332</v>
      </c>
      <c r="AL6" s="48">
        <f t="shared" ca="1" si="0"/>
        <v>20781192.835271839</v>
      </c>
      <c r="AM6" s="48">
        <f t="shared" ca="1" si="0"/>
        <v>18961693.826721907</v>
      </c>
      <c r="AN6" s="48">
        <f t="shared" ca="1" si="0"/>
        <v>16224666.620542247</v>
      </c>
      <c r="AO6" s="48">
        <f t="shared" ca="1" si="0"/>
        <v>14451927.383099908</v>
      </c>
      <c r="AP6" s="48">
        <f t="shared" ca="1" si="0"/>
        <v>13007420.420359002</v>
      </c>
      <c r="AQ6" s="48">
        <f t="shared" ca="1" si="0"/>
        <v>11798203.427187698</v>
      </c>
      <c r="AR6" s="48">
        <f t="shared" ca="1" si="0"/>
        <v>10570288.890776379</v>
      </c>
      <c r="AS6" s="48">
        <f t="shared" ca="1" si="0"/>
        <v>9331665.7179269642</v>
      </c>
      <c r="AT6" s="48">
        <f t="shared" ca="1" si="0"/>
        <v>8275151.7275991775</v>
      </c>
      <c r="AU6" s="48">
        <f t="shared" ca="1" si="0"/>
        <v>7515560.0073167263</v>
      </c>
      <c r="AV6" s="48">
        <f t="shared" ca="1" si="0"/>
        <v>6860556.0599817354</v>
      </c>
      <c r="AW6" s="48">
        <f t="shared" ca="1" si="0"/>
        <v>5568699.9780870378</v>
      </c>
      <c r="AX6" s="48">
        <f t="shared" ca="1" si="0"/>
        <v>5025652.8041598415</v>
      </c>
      <c r="AY6" s="48">
        <f t="shared" ca="1" si="0"/>
        <v>4549195.912382327</v>
      </c>
      <c r="AZ6" s="48">
        <f t="shared" ca="1" si="0"/>
        <v>4098515.4558692994</v>
      </c>
      <c r="BA6" s="48">
        <f t="shared" ca="1" si="0"/>
        <v>3749819.1320893974</v>
      </c>
      <c r="BB6" s="48">
        <f t="shared" ca="1" si="0"/>
        <v>3355803.2444751463</v>
      </c>
      <c r="BC6" s="48">
        <f t="shared" ca="1" si="0"/>
        <v>3132287.1289879899</v>
      </c>
      <c r="BD6" s="48">
        <f t="shared" ca="1" si="0"/>
        <v>2957779.8214273546</v>
      </c>
      <c r="BE6" s="48">
        <f t="shared" ca="1" si="0"/>
        <v>2810630.5580406166</v>
      </c>
      <c r="BF6" s="48">
        <f t="shared" ca="1" si="0"/>
        <v>2536883.2537542437</v>
      </c>
      <c r="BG6" s="48">
        <f t="shared" ca="1" si="0"/>
        <v>2382496.4886306101</v>
      </c>
      <c r="BH6" s="48">
        <f t="shared" ca="1" si="0"/>
        <v>2285037.7475453387</v>
      </c>
      <c r="BI6" s="48">
        <f t="shared" ca="1" si="0"/>
        <v>1476559.1882033877</v>
      </c>
      <c r="BJ6" s="48">
        <f t="shared" ca="1" si="0"/>
        <v>0</v>
      </c>
      <c r="BK6" s="48">
        <f t="shared" ca="1" si="0"/>
        <v>0</v>
      </c>
      <c r="BL6" s="48">
        <f t="shared" ca="1" si="0"/>
        <v>0</v>
      </c>
      <c r="BM6" s="48">
        <f t="shared" ca="1" si="0"/>
        <v>0</v>
      </c>
      <c r="BN6" s="48">
        <f t="shared" ca="1" si="0"/>
        <v>0</v>
      </c>
      <c r="BO6" s="48">
        <f t="shared" ca="1" si="0"/>
        <v>0</v>
      </c>
      <c r="BP6" s="48">
        <f t="shared" ca="1" si="0"/>
        <v>0</v>
      </c>
      <c r="BQ6" s="48">
        <f t="shared" ca="1" si="0"/>
        <v>0</v>
      </c>
      <c r="BR6" s="48">
        <f t="shared" ca="1" si="0"/>
        <v>0</v>
      </c>
      <c r="BS6" s="48">
        <f t="shared" ca="1" si="0"/>
        <v>0</v>
      </c>
      <c r="BT6" s="48">
        <f t="shared" ca="1" si="0"/>
        <v>0</v>
      </c>
      <c r="BU6" s="48">
        <f t="shared" ca="1" si="0"/>
        <v>0</v>
      </c>
      <c r="BV6" s="48">
        <f t="shared" ca="1" si="0"/>
        <v>0</v>
      </c>
      <c r="BW6" s="48">
        <f t="shared" ca="1" si="0"/>
        <v>0</v>
      </c>
    </row>
    <row r="7" spans="1:75" x14ac:dyDescent="0.3">
      <c r="A7" s="1" t="s">
        <v>590</v>
      </c>
      <c r="R7" s="51">
        <f>-'Fluxo de Caixa dos Acionistas'!R18</f>
        <v>101329</v>
      </c>
      <c r="S7" s="51">
        <f>-'Fluxo de Caixa dos Acionistas'!S18</f>
        <v>175300</v>
      </c>
      <c r="T7" s="51">
        <f>-'Fluxo de Caixa dos Acionistas'!T18</f>
        <v>195016</v>
      </c>
      <c r="U7" s="51">
        <f>-'Fluxo de Caixa dos Acionistas'!U18</f>
        <v>320323</v>
      </c>
      <c r="V7" s="48">
        <f>-'Fluxo de Caixa dos Acionistas'!V18</f>
        <v>791968</v>
      </c>
      <c r="W7" s="51">
        <f>-'Fluxo de Caixa dos Acionistas'!W18</f>
        <v>180481</v>
      </c>
      <c r="X7" s="51">
        <f>-'Fluxo de Caixa dos Acionistas'!X18</f>
        <v>312597</v>
      </c>
      <c r="Y7" s="51">
        <f>-'Fluxo de Caixa dos Acionistas'!Y18</f>
        <v>241887</v>
      </c>
      <c r="Z7" s="51">
        <f>-'Fluxo de Caixa dos Acionistas'!Z18</f>
        <v>131224</v>
      </c>
      <c r="AA7" s="48">
        <f>-'Fluxo de Caixa dos Acionistas'!AA18</f>
        <v>866189</v>
      </c>
      <c r="AB7" s="51">
        <f>-'Fluxo de Caixa dos Acionistas'!AB18</f>
        <v>462030</v>
      </c>
      <c r="AC7" s="51">
        <f>-'Fluxo de Caixa dos Acionistas'!AC18</f>
        <v>95798</v>
      </c>
      <c r="AD7" s="51">
        <f>-'Fluxo de Caixa dos Acionistas'!AD18</f>
        <v>478897</v>
      </c>
      <c r="AE7" s="51">
        <f>-'Fluxo de Caixa dos Acionistas'!AE18</f>
        <v>157403</v>
      </c>
      <c r="AF7" s="48">
        <f>-'Fluxo de Caixa dos Acionistas'!AF18</f>
        <v>1194128</v>
      </c>
      <c r="AG7" s="48">
        <f ca="1">-'Fluxo de Caixa dos Acionistas'!AG18</f>
        <v>1639250.7294616199</v>
      </c>
      <c r="AH7" s="48">
        <f ca="1">-'Fluxo de Caixa dos Acionistas'!AH18</f>
        <v>2229012.7022048691</v>
      </c>
      <c r="AI7" s="48">
        <f ca="1">-'Fluxo de Caixa dos Acionistas'!AI18</f>
        <v>2463680.6696571549</v>
      </c>
      <c r="AJ7" s="48">
        <f ca="1">-'Fluxo de Caixa dos Acionistas'!AJ18</f>
        <v>2685432.0646592099</v>
      </c>
      <c r="AK7" s="48">
        <f ca="1">-'Fluxo de Caixa dos Acionistas'!AK18</f>
        <v>2746196.1375402692</v>
      </c>
      <c r="AL7" s="48">
        <f ca="1">-'Fluxo de Caixa dos Acionistas'!AL18</f>
        <v>2876515.2368307896</v>
      </c>
      <c r="AM7" s="48">
        <f ca="1">-'Fluxo de Caixa dos Acionistas'!AM18</f>
        <v>2675722.8951819404</v>
      </c>
      <c r="AN7" s="48">
        <f ca="1">-'Fluxo de Caixa dos Acionistas'!AN18</f>
        <v>2315981.6895671533</v>
      </c>
      <c r="AO7" s="48">
        <f ca="1">-'Fluxo de Caixa dos Acionistas'!AO18</f>
        <v>2044186.2335222149</v>
      </c>
      <c r="AP7" s="48">
        <f ca="1">-'Fluxo de Caixa dos Acionistas'!AP18</f>
        <v>1827675.3345078365</v>
      </c>
      <c r="AQ7" s="48">
        <f ca="1">-'Fluxo de Caixa dos Acionistas'!AQ18</f>
        <v>1649402.3899303121</v>
      </c>
      <c r="AR7" s="48">
        <f ca="1">-'Fluxo de Caixa dos Acionistas'!AR18</f>
        <v>1469924.9314477507</v>
      </c>
      <c r="AS7" s="48">
        <f ca="1">-'Fluxo de Caixa dos Acionistas'!AS18</f>
        <v>1290609.6017442627</v>
      </c>
      <c r="AT7" s="48">
        <f ca="1">-'Fluxo de Caixa dos Acionistas'!AT18</f>
        <v>1138720.9558358085</v>
      </c>
      <c r="AU7" s="48">
        <f ca="1">-'Fluxo de Caixa dos Acionistas'!AU18</f>
        <v>1030476.4842899599</v>
      </c>
      <c r="AV7" s="48">
        <f ca="1">-'Fluxo de Caixa dos Acionistas'!AV18</f>
        <v>916255.84962619876</v>
      </c>
      <c r="AW7" s="48">
        <f ca="1">-'Fluxo de Caixa dos Acionistas'!AW18</f>
        <v>741873.69076659041</v>
      </c>
      <c r="AX7" s="48">
        <f ca="1">-'Fluxo de Caixa dos Acionistas'!AX18</f>
        <v>669480.30497487809</v>
      </c>
      <c r="AY7" s="48">
        <f ca="1">-'Fluxo de Caixa dos Acionistas'!AY18</f>
        <v>605911.5560167873</v>
      </c>
      <c r="AZ7" s="48">
        <f ca="1">-'Fluxo de Caixa dos Acionistas'!AZ18</f>
        <v>545741.21660680708</v>
      </c>
      <c r="BA7" s="48">
        <f ca="1">-'Fluxo de Caixa dos Acionistas'!BA18</f>
        <v>499205.4493279162</v>
      </c>
      <c r="BB7" s="48">
        <f ca="1">-'Fluxo de Caixa dos Acionistas'!BB18</f>
        <v>446599.47670700558</v>
      </c>
      <c r="BC7" s="48">
        <f ca="1">-'Fluxo de Caixa dos Acionistas'!BC18</f>
        <v>416868.21388404456</v>
      </c>
      <c r="BD7" s="48">
        <f ca="1">-'Fluxo de Caixa dos Acionistas'!BD18</f>
        <v>393673.1469032215</v>
      </c>
      <c r="BE7" s="48">
        <f ca="1">-'Fluxo de Caixa dos Acionistas'!BE18</f>
        <v>374192.75676684454</v>
      </c>
      <c r="BF7" s="48">
        <f ca="1">-'Fluxo de Caixa dos Acionistas'!BF18</f>
        <v>337741.12909392541</v>
      </c>
      <c r="BG7" s="48">
        <f ca="1">-'Fluxo de Caixa dos Acionistas'!BG18</f>
        <v>317019.49144287605</v>
      </c>
      <c r="BH7" s="48">
        <f ca="1">-'Fluxo de Caixa dos Acionistas'!BH18</f>
        <v>303901.74988740153</v>
      </c>
      <c r="BI7" s="48">
        <f ca="1">-'Fluxo de Caixa dos Acionistas'!BI18</f>
        <v>196225.85750326148</v>
      </c>
      <c r="BJ7" s="48">
        <f ca="1">-'Fluxo de Caixa dos Acionistas'!BJ18</f>
        <v>0</v>
      </c>
      <c r="BK7" s="48">
        <f ca="1">-'Fluxo de Caixa dos Acionistas'!BK18</f>
        <v>0</v>
      </c>
      <c r="BL7" s="48">
        <f ca="1">-'Fluxo de Caixa dos Acionistas'!BL18</f>
        <v>0</v>
      </c>
      <c r="BM7" s="48">
        <f ca="1">-'Fluxo de Caixa dos Acionistas'!BM18</f>
        <v>0</v>
      </c>
      <c r="BN7" s="48">
        <f ca="1">-'Fluxo de Caixa dos Acionistas'!BN18</f>
        <v>0</v>
      </c>
      <c r="BO7" s="48">
        <f ca="1">-'Fluxo de Caixa dos Acionistas'!BO18</f>
        <v>0</v>
      </c>
      <c r="BP7" s="48">
        <f ca="1">-'Fluxo de Caixa dos Acionistas'!BP18</f>
        <v>0</v>
      </c>
      <c r="BQ7" s="48">
        <f ca="1">-'Fluxo de Caixa dos Acionistas'!BQ18</f>
        <v>0</v>
      </c>
      <c r="BR7" s="48">
        <f ca="1">-'Fluxo de Caixa dos Acionistas'!BR18</f>
        <v>0</v>
      </c>
      <c r="BS7" s="48">
        <f ca="1">-'Fluxo de Caixa dos Acionistas'!BS18</f>
        <v>0</v>
      </c>
      <c r="BT7" s="48">
        <f ca="1">-'Fluxo de Caixa dos Acionistas'!BT18</f>
        <v>0</v>
      </c>
      <c r="BU7" s="48">
        <f ca="1">-'Fluxo de Caixa dos Acionistas'!BU18</f>
        <v>0</v>
      </c>
      <c r="BV7" s="48">
        <f ca="1">-'Fluxo de Caixa dos Acionistas'!BV18</f>
        <v>0</v>
      </c>
      <c r="BW7" s="48">
        <f ca="1">-'Fluxo de Caixa dos Acionistas'!BW18</f>
        <v>0</v>
      </c>
    </row>
    <row r="8" spans="1:75" x14ac:dyDescent="0.3">
      <c r="A8" s="1" t="s">
        <v>589</v>
      </c>
      <c r="V8" s="48">
        <f>V7</f>
        <v>791968</v>
      </c>
      <c r="W8" s="51">
        <f>W7+U7+T7+S7</f>
        <v>871120</v>
      </c>
      <c r="X8" s="51">
        <f>X7+W7+U7+T7</f>
        <v>1008417</v>
      </c>
      <c r="Y8" s="51">
        <f>Y7+X7+W7+U7</f>
        <v>1055288</v>
      </c>
      <c r="Z8" s="51">
        <f>Z7+Y7+X7+W7</f>
        <v>866189</v>
      </c>
      <c r="AA8" s="48">
        <f>AA7</f>
        <v>866189</v>
      </c>
      <c r="AB8" s="51">
        <f>AB7+Z7+Y7+X7</f>
        <v>1147738</v>
      </c>
      <c r="AC8" s="51">
        <f>AC7+AB7+Z7+Y7</f>
        <v>930939</v>
      </c>
      <c r="AD8" s="51">
        <f>AD7+AC7+AB7+Z7</f>
        <v>1167949</v>
      </c>
      <c r="AE8" s="51">
        <f>AE7+AD7+AC7+AB7</f>
        <v>1194128</v>
      </c>
      <c r="AF8" s="48">
        <f t="shared" ref="AF8:BW8" si="1">AF7</f>
        <v>1194128</v>
      </c>
      <c r="AG8" s="48">
        <f t="shared" ca="1" si="1"/>
        <v>1639250.7294616199</v>
      </c>
      <c r="AH8" s="48">
        <f t="shared" ca="1" si="1"/>
        <v>2229012.7022048691</v>
      </c>
      <c r="AI8" s="48">
        <f t="shared" ca="1" si="1"/>
        <v>2463680.6696571549</v>
      </c>
      <c r="AJ8" s="48">
        <f t="shared" ca="1" si="1"/>
        <v>2685432.0646592099</v>
      </c>
      <c r="AK8" s="48">
        <f t="shared" ca="1" si="1"/>
        <v>2746196.1375402692</v>
      </c>
      <c r="AL8" s="48">
        <f t="shared" ca="1" si="1"/>
        <v>2876515.2368307896</v>
      </c>
      <c r="AM8" s="48">
        <f t="shared" ca="1" si="1"/>
        <v>2675722.8951819404</v>
      </c>
      <c r="AN8" s="48">
        <f t="shared" ca="1" si="1"/>
        <v>2315981.6895671533</v>
      </c>
      <c r="AO8" s="48">
        <f t="shared" ca="1" si="1"/>
        <v>2044186.2335222149</v>
      </c>
      <c r="AP8" s="48">
        <f t="shared" ca="1" si="1"/>
        <v>1827675.3345078365</v>
      </c>
      <c r="AQ8" s="48">
        <f t="shared" ca="1" si="1"/>
        <v>1649402.3899303121</v>
      </c>
      <c r="AR8" s="48">
        <f t="shared" ca="1" si="1"/>
        <v>1469924.9314477507</v>
      </c>
      <c r="AS8" s="48">
        <f t="shared" ca="1" si="1"/>
        <v>1290609.6017442627</v>
      </c>
      <c r="AT8" s="48">
        <f t="shared" ca="1" si="1"/>
        <v>1138720.9558358085</v>
      </c>
      <c r="AU8" s="48">
        <f t="shared" ca="1" si="1"/>
        <v>1030476.4842899599</v>
      </c>
      <c r="AV8" s="48">
        <f t="shared" ca="1" si="1"/>
        <v>916255.84962619876</v>
      </c>
      <c r="AW8" s="48">
        <f t="shared" ca="1" si="1"/>
        <v>741873.69076659041</v>
      </c>
      <c r="AX8" s="48">
        <f t="shared" ca="1" si="1"/>
        <v>669480.30497487809</v>
      </c>
      <c r="AY8" s="48">
        <f t="shared" ca="1" si="1"/>
        <v>605911.5560167873</v>
      </c>
      <c r="AZ8" s="48">
        <f t="shared" ca="1" si="1"/>
        <v>545741.21660680708</v>
      </c>
      <c r="BA8" s="48">
        <f t="shared" ca="1" si="1"/>
        <v>499205.4493279162</v>
      </c>
      <c r="BB8" s="48">
        <f t="shared" ca="1" si="1"/>
        <v>446599.47670700558</v>
      </c>
      <c r="BC8" s="48">
        <f t="shared" ca="1" si="1"/>
        <v>416868.21388404456</v>
      </c>
      <c r="BD8" s="48">
        <f t="shared" ca="1" si="1"/>
        <v>393673.1469032215</v>
      </c>
      <c r="BE8" s="48">
        <f t="shared" ca="1" si="1"/>
        <v>374192.75676684454</v>
      </c>
      <c r="BF8" s="48">
        <f t="shared" ca="1" si="1"/>
        <v>337741.12909392541</v>
      </c>
      <c r="BG8" s="48">
        <f t="shared" ca="1" si="1"/>
        <v>317019.49144287605</v>
      </c>
      <c r="BH8" s="48">
        <f t="shared" ca="1" si="1"/>
        <v>303901.74988740153</v>
      </c>
      <c r="BI8" s="48">
        <f t="shared" ca="1" si="1"/>
        <v>196225.85750326148</v>
      </c>
      <c r="BJ8" s="48">
        <f t="shared" ca="1" si="1"/>
        <v>0</v>
      </c>
      <c r="BK8" s="48">
        <f t="shared" ca="1" si="1"/>
        <v>0</v>
      </c>
      <c r="BL8" s="48">
        <f t="shared" ca="1" si="1"/>
        <v>0</v>
      </c>
      <c r="BM8" s="48">
        <f t="shared" ca="1" si="1"/>
        <v>0</v>
      </c>
      <c r="BN8" s="48">
        <f t="shared" ca="1" si="1"/>
        <v>0</v>
      </c>
      <c r="BO8" s="48">
        <f t="shared" ca="1" si="1"/>
        <v>0</v>
      </c>
      <c r="BP8" s="48">
        <f t="shared" ca="1" si="1"/>
        <v>0</v>
      </c>
      <c r="BQ8" s="48">
        <f t="shared" ca="1" si="1"/>
        <v>0</v>
      </c>
      <c r="BR8" s="48">
        <f t="shared" ca="1" si="1"/>
        <v>0</v>
      </c>
      <c r="BS8" s="48">
        <f t="shared" ca="1" si="1"/>
        <v>0</v>
      </c>
      <c r="BT8" s="48">
        <f t="shared" ca="1" si="1"/>
        <v>0</v>
      </c>
      <c r="BU8" s="48">
        <f t="shared" ca="1" si="1"/>
        <v>0</v>
      </c>
      <c r="BV8" s="48">
        <f t="shared" ca="1" si="1"/>
        <v>0</v>
      </c>
      <c r="BW8" s="48">
        <f t="shared" ca="1" si="1"/>
        <v>0</v>
      </c>
    </row>
    <row r="9" spans="1:75" x14ac:dyDescent="0.3">
      <c r="A9" s="1" t="s">
        <v>541</v>
      </c>
      <c r="C9" s="51">
        <f>'Fluxo de Caixa dos Acionistas'!C5</f>
        <v>90</v>
      </c>
      <c r="D9" s="51">
        <f>'Fluxo de Caixa dos Acionistas'!D5</f>
        <v>91</v>
      </c>
      <c r="E9" s="51">
        <f>'Fluxo de Caixa dos Acionistas'!E5</f>
        <v>92</v>
      </c>
      <c r="F9" s="51">
        <f>'Fluxo de Caixa dos Acionistas'!F5</f>
        <v>92</v>
      </c>
      <c r="G9" s="48">
        <f>'Fluxo de Caixa dos Acionistas'!G5</f>
        <v>365</v>
      </c>
      <c r="H9" s="51">
        <f>'Fluxo de Caixa dos Acionistas'!H5</f>
        <v>90</v>
      </c>
      <c r="I9" s="51">
        <f>'Fluxo de Caixa dos Acionistas'!I5</f>
        <v>91</v>
      </c>
      <c r="J9" s="51">
        <f>'Fluxo de Caixa dos Acionistas'!J5</f>
        <v>92</v>
      </c>
      <c r="K9" s="51">
        <f>'Fluxo de Caixa dos Acionistas'!K5</f>
        <v>92</v>
      </c>
      <c r="L9" s="48">
        <f>'Fluxo de Caixa dos Acionistas'!L5</f>
        <v>365</v>
      </c>
      <c r="M9" s="51">
        <f>'Fluxo de Caixa dos Acionistas'!M5</f>
        <v>91</v>
      </c>
      <c r="N9" s="51">
        <f>'Fluxo de Caixa dos Acionistas'!N5</f>
        <v>91</v>
      </c>
      <c r="O9" s="51">
        <f>'Fluxo de Caixa dos Acionistas'!O5</f>
        <v>92</v>
      </c>
      <c r="P9" s="51">
        <f>'Fluxo de Caixa dos Acionistas'!P5</f>
        <v>92</v>
      </c>
      <c r="Q9" s="48">
        <f>'Fluxo de Caixa dos Acionistas'!Q5</f>
        <v>366</v>
      </c>
      <c r="R9" s="51">
        <f>'Fluxo de Caixa dos Acionistas'!R5</f>
        <v>90</v>
      </c>
      <c r="S9" s="51">
        <f>'Fluxo de Caixa dos Acionistas'!S5</f>
        <v>91</v>
      </c>
      <c r="T9" s="51">
        <f>'Fluxo de Caixa dos Acionistas'!T5</f>
        <v>92</v>
      </c>
      <c r="U9" s="51">
        <f>'Fluxo de Caixa dos Acionistas'!U5</f>
        <v>92</v>
      </c>
      <c r="V9" s="48">
        <f>'Fluxo de Caixa dos Acionistas'!V5</f>
        <v>365</v>
      </c>
      <c r="W9" s="51">
        <f>'Fluxo de Caixa dos Acionistas'!W5</f>
        <v>90</v>
      </c>
      <c r="X9" s="51">
        <f>'Fluxo de Caixa dos Acionistas'!X5</f>
        <v>91</v>
      </c>
      <c r="Y9" s="51">
        <f>'Fluxo de Caixa dos Acionistas'!Y5</f>
        <v>92</v>
      </c>
      <c r="Z9" s="51">
        <f>'Fluxo de Caixa dos Acionistas'!Z5</f>
        <v>92</v>
      </c>
      <c r="AA9" s="48">
        <f>'Fluxo de Caixa dos Acionistas'!AA5</f>
        <v>365</v>
      </c>
      <c r="AB9" s="51">
        <f>'Fluxo de Caixa dos Acionistas'!AB5</f>
        <v>90</v>
      </c>
      <c r="AC9" s="51">
        <f>'Fluxo de Caixa dos Acionistas'!AC5</f>
        <v>91</v>
      </c>
      <c r="AD9" s="51">
        <f>'Fluxo de Caixa dos Acionistas'!AD5</f>
        <v>92</v>
      </c>
      <c r="AE9" s="51">
        <f>'Fluxo de Caixa dos Acionistas'!AE5</f>
        <v>92</v>
      </c>
      <c r="AF9" s="48">
        <f>'Fluxo de Caixa dos Acionistas'!AF5</f>
        <v>365</v>
      </c>
      <c r="AG9" s="48">
        <f>'Fluxo de Caixa dos Acionistas'!AG5</f>
        <v>366</v>
      </c>
      <c r="AH9" s="48">
        <f>'Fluxo de Caixa dos Acionistas'!AH5</f>
        <v>365</v>
      </c>
      <c r="AI9" s="48">
        <f>'Fluxo de Caixa dos Acionistas'!AI5</f>
        <v>365</v>
      </c>
      <c r="AJ9" s="48">
        <f>'Fluxo de Caixa dos Acionistas'!AJ5</f>
        <v>365</v>
      </c>
      <c r="AK9" s="48">
        <f>'Fluxo de Caixa dos Acionistas'!AK5</f>
        <v>366</v>
      </c>
      <c r="AL9" s="48">
        <f>'Fluxo de Caixa dos Acionistas'!AL5</f>
        <v>365</v>
      </c>
      <c r="AM9" s="48">
        <f>'Fluxo de Caixa dos Acionistas'!AM5</f>
        <v>365</v>
      </c>
      <c r="AN9" s="48">
        <f>'Fluxo de Caixa dos Acionistas'!AN5</f>
        <v>365</v>
      </c>
      <c r="AO9" s="48">
        <f>'Fluxo de Caixa dos Acionistas'!AO5</f>
        <v>366</v>
      </c>
      <c r="AP9" s="48">
        <f>'Fluxo de Caixa dos Acionistas'!AP5</f>
        <v>365</v>
      </c>
      <c r="AQ9" s="48">
        <f>'Fluxo de Caixa dos Acionistas'!AQ5</f>
        <v>365</v>
      </c>
      <c r="AR9" s="48">
        <f>'Fluxo de Caixa dos Acionistas'!AR5</f>
        <v>365</v>
      </c>
      <c r="AS9" s="48">
        <f>'Fluxo de Caixa dos Acionistas'!AS5</f>
        <v>366</v>
      </c>
      <c r="AT9" s="48">
        <f>'Fluxo de Caixa dos Acionistas'!AT5</f>
        <v>365</v>
      </c>
      <c r="AU9" s="48">
        <f>'Fluxo de Caixa dos Acionistas'!AU5</f>
        <v>365</v>
      </c>
      <c r="AV9" s="48">
        <f>'Fluxo de Caixa dos Acionistas'!AV5</f>
        <v>365</v>
      </c>
      <c r="AW9" s="48">
        <f>'Fluxo de Caixa dos Acionistas'!AW5</f>
        <v>366</v>
      </c>
      <c r="AX9" s="48">
        <f>'Fluxo de Caixa dos Acionistas'!AX5</f>
        <v>365</v>
      </c>
      <c r="AY9" s="48">
        <f>'Fluxo de Caixa dos Acionistas'!AY5</f>
        <v>365</v>
      </c>
      <c r="AZ9" s="48">
        <f>'Fluxo de Caixa dos Acionistas'!AZ5</f>
        <v>365</v>
      </c>
      <c r="BA9" s="48">
        <f>'Fluxo de Caixa dos Acionistas'!BA5</f>
        <v>366</v>
      </c>
      <c r="BB9" s="48">
        <f>'Fluxo de Caixa dos Acionistas'!BB5</f>
        <v>365</v>
      </c>
      <c r="BC9" s="48">
        <f>'Fluxo de Caixa dos Acionistas'!BC5</f>
        <v>365</v>
      </c>
      <c r="BD9" s="48">
        <f>'Fluxo de Caixa dos Acionistas'!BD5</f>
        <v>365</v>
      </c>
      <c r="BE9" s="48">
        <f>'Fluxo de Caixa dos Acionistas'!BE5</f>
        <v>366</v>
      </c>
      <c r="BF9" s="48">
        <f>'Fluxo de Caixa dos Acionistas'!BF5</f>
        <v>365</v>
      </c>
      <c r="BG9" s="48">
        <f>'Fluxo de Caixa dos Acionistas'!BG5</f>
        <v>365</v>
      </c>
      <c r="BH9" s="48">
        <f>'Fluxo de Caixa dos Acionistas'!BH5</f>
        <v>365</v>
      </c>
      <c r="BI9" s="48">
        <f>'Fluxo de Caixa dos Acionistas'!BI5</f>
        <v>366</v>
      </c>
      <c r="BJ9" s="48">
        <f>'Fluxo de Caixa dos Acionistas'!BJ5</f>
        <v>365</v>
      </c>
      <c r="BK9" s="48">
        <f>'Fluxo de Caixa dos Acionistas'!BK5</f>
        <v>365</v>
      </c>
      <c r="BL9" s="48">
        <f>'Fluxo de Caixa dos Acionistas'!BL5</f>
        <v>365</v>
      </c>
      <c r="BM9" s="48">
        <f>'Fluxo de Caixa dos Acionistas'!BM5</f>
        <v>366</v>
      </c>
      <c r="BN9" s="48">
        <f>'Fluxo de Caixa dos Acionistas'!BN5</f>
        <v>365</v>
      </c>
      <c r="BO9" s="48">
        <f>'Fluxo de Caixa dos Acionistas'!BO5</f>
        <v>365</v>
      </c>
      <c r="BP9" s="48">
        <f>'Fluxo de Caixa dos Acionistas'!BP5</f>
        <v>365</v>
      </c>
      <c r="BQ9" s="48">
        <f>'Fluxo de Caixa dos Acionistas'!BQ5</f>
        <v>366</v>
      </c>
      <c r="BR9" s="48">
        <f>'Fluxo de Caixa dos Acionistas'!BR5</f>
        <v>365</v>
      </c>
      <c r="BS9" s="48">
        <f>'Fluxo de Caixa dos Acionistas'!BS5</f>
        <v>365</v>
      </c>
      <c r="BT9" s="48">
        <f>'Fluxo de Caixa dos Acionistas'!BT5</f>
        <v>365</v>
      </c>
      <c r="BU9" s="48">
        <f>'Fluxo de Caixa dos Acionistas'!BU5</f>
        <v>366</v>
      </c>
      <c r="BV9" s="48">
        <f>'Fluxo de Caixa dos Acionistas'!BV5</f>
        <v>365</v>
      </c>
      <c r="BW9" s="48">
        <f>'Fluxo de Caixa dos Acionistas'!BW5</f>
        <v>365</v>
      </c>
    </row>
    <row r="10" spans="1:75" x14ac:dyDescent="0.3">
      <c r="A10" s="1" t="s">
        <v>542</v>
      </c>
      <c r="C10" s="51">
        <f>'Fluxo de Caixa dos Acionistas'!C11</f>
        <v>2452</v>
      </c>
      <c r="D10" s="51">
        <f>'Fluxo de Caixa dos Acionistas'!D11</f>
        <v>1774</v>
      </c>
      <c r="E10" s="51">
        <f>'Fluxo de Caixa dos Acionistas'!E11</f>
        <v>2683</v>
      </c>
      <c r="F10" s="51">
        <f>'Fluxo de Caixa dos Acionistas'!F11</f>
        <v>3082</v>
      </c>
      <c r="G10" s="48">
        <f>'Fluxo de Caixa dos Acionistas'!G11</f>
        <v>9991</v>
      </c>
      <c r="H10" s="51">
        <f>'Fluxo de Caixa dos Acionistas'!H11</f>
        <v>1520.471</v>
      </c>
      <c r="I10" s="51">
        <f>'Fluxo de Caixa dos Acionistas'!I11</f>
        <v>2000</v>
      </c>
      <c r="J10" s="51">
        <f>'Fluxo de Caixa dos Acionistas'!J11</f>
        <v>1503</v>
      </c>
      <c r="K10" s="51">
        <f>'Fluxo de Caixa dos Acionistas'!K11</f>
        <v>2328</v>
      </c>
      <c r="L10" s="48">
        <f>'Fluxo de Caixa dos Acionistas'!L11</f>
        <v>7351.4709999999995</v>
      </c>
      <c r="M10" s="51">
        <f>'Fluxo de Caixa dos Acionistas'!M11</f>
        <v>1452</v>
      </c>
      <c r="N10" s="51">
        <f>'Fluxo de Caixa dos Acionistas'!N11</f>
        <v>1397</v>
      </c>
      <c r="O10" s="51">
        <f>'Fluxo de Caixa dos Acionistas'!O11</f>
        <v>2398</v>
      </c>
      <c r="P10" s="51">
        <f>'Fluxo de Caixa dos Acionistas'!P11</f>
        <v>3725</v>
      </c>
      <c r="Q10" s="48">
        <f>'Fluxo de Caixa dos Acionistas'!Q11</f>
        <v>8972</v>
      </c>
      <c r="R10" s="51">
        <f>'Fluxo de Caixa dos Acionistas'!R11</f>
        <v>1928</v>
      </c>
      <c r="S10" s="51">
        <f>'Fluxo de Caixa dos Acionistas'!S11</f>
        <v>2837</v>
      </c>
      <c r="T10" s="51">
        <f>'Fluxo de Caixa dos Acionistas'!T11</f>
        <v>2484</v>
      </c>
      <c r="U10" s="51">
        <f>'Fluxo de Caixa dos Acionistas'!U11</f>
        <v>3827</v>
      </c>
      <c r="V10" s="48">
        <f>'Fluxo de Caixa dos Acionistas'!V11</f>
        <v>11076</v>
      </c>
      <c r="W10" s="51">
        <f>'Fluxo de Caixa dos Acionistas'!W11</f>
        <v>2798</v>
      </c>
      <c r="X10" s="51">
        <f>'Fluxo de Caixa dos Acionistas'!X11</f>
        <v>3347</v>
      </c>
      <c r="Y10" s="51">
        <f>'Fluxo de Caixa dos Acionistas'!Y11</f>
        <v>3847</v>
      </c>
      <c r="Z10" s="51">
        <f>'Fluxo de Caixa dos Acionistas'!Z11</f>
        <v>2293</v>
      </c>
      <c r="AA10" s="48">
        <f>'Fluxo de Caixa dos Acionistas'!AA11</f>
        <v>12285</v>
      </c>
      <c r="AB10" s="51">
        <f>'Fluxo de Caixa dos Acionistas'!AB11</f>
        <v>7290</v>
      </c>
      <c r="AC10" s="51">
        <f>'Fluxo de Caixa dos Acionistas'!AC11</f>
        <v>7156</v>
      </c>
      <c r="AD10" s="51">
        <f>'Fluxo de Caixa dos Acionistas'!AD11</f>
        <v>9772</v>
      </c>
      <c r="AE10" s="51">
        <f>'Fluxo de Caixa dos Acionistas'!AE11</f>
        <v>8343</v>
      </c>
      <c r="AF10" s="48">
        <f>'Fluxo de Caixa dos Acionistas'!AF11</f>
        <v>32561</v>
      </c>
      <c r="AG10" s="48">
        <f ca="1">'Fluxo de Caixa dos Acionistas'!AG11</f>
        <v>43523.297763867173</v>
      </c>
      <c r="AH10" s="48">
        <f ca="1">'Fluxo de Caixa dos Acionistas'!AH11</f>
        <v>58019.124530297122</v>
      </c>
      <c r="AI10" s="48">
        <f ca="1">'Fluxo de Caixa dos Acionistas'!AI11</f>
        <v>62023.685801669584</v>
      </c>
      <c r="AJ10" s="48">
        <f ca="1">'Fluxo de Caixa dos Acionistas'!AJ11</f>
        <v>65754.672833032848</v>
      </c>
      <c r="AK10" s="48">
        <f ca="1">'Fluxo de Caixa dos Acionistas'!AK11</f>
        <v>65148.46561838562</v>
      </c>
      <c r="AL10" s="48">
        <f ca="1">'Fluxo de Caixa dos Acionistas'!AL11</f>
        <v>66252.472996001292</v>
      </c>
      <c r="AM10" s="48">
        <f ca="1">'Fluxo de Caixa dos Acionistas'!AM11</f>
        <v>59832.799719761759</v>
      </c>
      <c r="AN10" s="48">
        <f ca="1">'Fluxo de Caixa dos Acionistas'!AN11</f>
        <v>50280.094703258212</v>
      </c>
      <c r="AO10" s="48">
        <f ca="1">'Fluxo de Caixa dos Acionistas'!AO11</f>
        <v>43086.795956626811</v>
      </c>
      <c r="AP10" s="48">
        <f ca="1">'Fluxo de Caixa dos Acionistas'!AP11</f>
        <v>37401.202617402269</v>
      </c>
      <c r="AQ10" s="48">
        <f ca="1">'Fluxo de Caixa dos Acionistas'!AQ11</f>
        <v>32769.959973683195</v>
      </c>
      <c r="AR10" s="48">
        <f ca="1">'Fluxo de Caixa dos Acionistas'!AR11</f>
        <v>28353.535661687059</v>
      </c>
      <c r="AS10" s="48">
        <f ca="1">'Fluxo de Caixa dos Acionistas'!AS11</f>
        <v>24169.615070156382</v>
      </c>
      <c r="AT10" s="48">
        <f ca="1">'Fluxo de Caixa dos Acionistas'!AT11</f>
        <v>20704.032004536843</v>
      </c>
      <c r="AU10" s="48">
        <f ca="1">'Fluxo de Caixa dos Acionistas'!AU11</f>
        <v>18190.242051858157</v>
      </c>
      <c r="AV10" s="48">
        <f ca="1">'Fluxo de Caixa dos Acionistas'!AV11</f>
        <v>15702.902285133843</v>
      </c>
      <c r="AW10" s="48">
        <f ca="1">'Fluxo de Caixa dos Acionistas'!AW11</f>
        <v>12344</v>
      </c>
      <c r="AX10" s="48">
        <f ca="1">'Fluxo de Caixa dos Acionistas'!AX11</f>
        <v>10815</v>
      </c>
      <c r="AY10" s="48">
        <f ca="1">'Fluxo de Caixa dos Acionistas'!AY11</f>
        <v>9503</v>
      </c>
      <c r="AZ10" s="48">
        <f ca="1">'Fluxo de Caixa dos Acionistas'!AZ11</f>
        <v>8310</v>
      </c>
      <c r="BA10" s="48">
        <f ca="1">'Fluxo de Caixa dos Acionistas'!BA11</f>
        <v>7380</v>
      </c>
      <c r="BB10" s="48">
        <f ca="1">'Fluxo de Caixa dos Acionistas'!BB11</f>
        <v>6410</v>
      </c>
      <c r="BC10" s="48">
        <f ca="1">'Fluxo de Caixa dos Acionistas'!BC11</f>
        <v>5809</v>
      </c>
      <c r="BD10" s="48">
        <f ca="1">'Fluxo de Caixa dos Acionistas'!BD11</f>
        <v>5326</v>
      </c>
      <c r="BE10" s="48">
        <f ca="1">'Fluxo de Caixa dos Acionistas'!BE11</f>
        <v>4915</v>
      </c>
      <c r="BF10" s="48">
        <f ca="1">'Fluxo de Caixa dos Acionistas'!BF11</f>
        <v>4307</v>
      </c>
      <c r="BG10" s="48">
        <f ca="1">'Fluxo de Caixa dos Acionistas'!BG11</f>
        <v>3925</v>
      </c>
      <c r="BH10" s="48">
        <f ca="1">'Fluxo de Caixa dos Acionistas'!BH11</f>
        <v>3653</v>
      </c>
      <c r="BI10" s="48">
        <f ca="1">'Fluxo de Caixa dos Acionistas'!BI11</f>
        <v>2290</v>
      </c>
      <c r="BJ10" s="48">
        <f ca="1">'Fluxo de Caixa dos Acionistas'!BJ11</f>
        <v>0</v>
      </c>
      <c r="BK10" s="48">
        <f ca="1">'Fluxo de Caixa dos Acionistas'!BK11</f>
        <v>0</v>
      </c>
      <c r="BL10" s="48">
        <f ca="1">'Fluxo de Caixa dos Acionistas'!BL11</f>
        <v>0</v>
      </c>
      <c r="BM10" s="48">
        <f ca="1">'Fluxo de Caixa dos Acionistas'!BM11</f>
        <v>0</v>
      </c>
      <c r="BN10" s="48">
        <f ca="1">'Fluxo de Caixa dos Acionistas'!BN11</f>
        <v>0</v>
      </c>
      <c r="BO10" s="48">
        <f ca="1">'Fluxo de Caixa dos Acionistas'!BO11</f>
        <v>0</v>
      </c>
      <c r="BP10" s="48">
        <f ca="1">'Fluxo de Caixa dos Acionistas'!BP11</f>
        <v>0</v>
      </c>
      <c r="BQ10" s="48">
        <f ca="1">'Fluxo de Caixa dos Acionistas'!BQ11</f>
        <v>0</v>
      </c>
      <c r="BR10" s="48">
        <f ca="1">'Fluxo de Caixa dos Acionistas'!BR11</f>
        <v>0</v>
      </c>
      <c r="BS10" s="48">
        <f ca="1">'Fluxo de Caixa dos Acionistas'!BS11</f>
        <v>0</v>
      </c>
      <c r="BT10" s="48">
        <f ca="1">'Fluxo de Caixa dos Acionistas'!BT11</f>
        <v>0</v>
      </c>
      <c r="BU10" s="48">
        <f ca="1">'Fluxo de Caixa dos Acionistas'!BU11</f>
        <v>0</v>
      </c>
      <c r="BV10" s="48">
        <f ca="1">'Fluxo de Caixa dos Acionistas'!BV11</f>
        <v>0</v>
      </c>
      <c r="BW10" s="48">
        <f ca="1">'Fluxo de Caixa dos Acionistas'!BW11</f>
        <v>0</v>
      </c>
    </row>
    <row r="12" spans="1:75" s="209" customFormat="1" x14ac:dyDescent="0.3">
      <c r="A12" s="209" t="s">
        <v>247</v>
      </c>
    </row>
    <row r="14" spans="1:75" x14ac:dyDescent="0.3">
      <c r="A14" s="1" t="s">
        <v>108</v>
      </c>
      <c r="B14" s="1" t="s">
        <v>109</v>
      </c>
      <c r="C14" s="88"/>
      <c r="D14" s="88"/>
      <c r="E14" s="88"/>
      <c r="F14" s="88"/>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row>
    <row r="15" spans="1:75" x14ac:dyDescent="0.3">
      <c r="A15" s="35">
        <v>1</v>
      </c>
      <c r="B15" s="38" t="s">
        <v>110</v>
      </c>
      <c r="C15" s="48">
        <f t="shared" ref="C15:AE15" si="2">C16+C28</f>
        <v>1228426</v>
      </c>
      <c r="D15" s="48">
        <f t="shared" si="2"/>
        <v>1459604</v>
      </c>
      <c r="E15" s="48">
        <f t="shared" si="2"/>
        <v>1279999</v>
      </c>
      <c r="F15" s="48">
        <f t="shared" si="2"/>
        <v>1516180</v>
      </c>
      <c r="G15" s="48">
        <f t="shared" si="2"/>
        <v>1516180</v>
      </c>
      <c r="H15" s="48">
        <f t="shared" si="2"/>
        <v>4332603</v>
      </c>
      <c r="I15" s="48">
        <f t="shared" si="2"/>
        <v>4387144</v>
      </c>
      <c r="J15" s="48">
        <f t="shared" si="2"/>
        <v>4596221</v>
      </c>
      <c r="K15" s="48">
        <f t="shared" si="2"/>
        <v>5489751</v>
      </c>
      <c r="L15" s="48">
        <f t="shared" si="2"/>
        <v>5489751</v>
      </c>
      <c r="M15" s="48">
        <f t="shared" si="2"/>
        <v>6984388</v>
      </c>
      <c r="N15" s="48">
        <f t="shared" si="2"/>
        <v>6660586</v>
      </c>
      <c r="O15" s="48">
        <f t="shared" si="2"/>
        <v>7055431</v>
      </c>
      <c r="P15" s="48">
        <f t="shared" si="2"/>
        <v>6792833</v>
      </c>
      <c r="Q15" s="48">
        <f t="shared" si="2"/>
        <v>6792833</v>
      </c>
      <c r="R15" s="48">
        <f t="shared" si="2"/>
        <v>9341748</v>
      </c>
      <c r="S15" s="48">
        <f t="shared" si="2"/>
        <v>10504500</v>
      </c>
      <c r="T15" s="48">
        <f t="shared" si="2"/>
        <v>11445166</v>
      </c>
      <c r="U15" s="48">
        <f t="shared" si="2"/>
        <v>12221416</v>
      </c>
      <c r="V15" s="48">
        <f t="shared" si="2"/>
        <v>12221416</v>
      </c>
      <c r="W15" s="48">
        <f t="shared" si="2"/>
        <v>12862921</v>
      </c>
      <c r="X15" s="48">
        <f t="shared" si="2"/>
        <v>16292271</v>
      </c>
      <c r="Y15" s="48">
        <f t="shared" si="2"/>
        <v>19920152</v>
      </c>
      <c r="Z15" s="48">
        <f t="shared" si="2"/>
        <v>20302520</v>
      </c>
      <c r="AA15" s="48">
        <f t="shared" si="2"/>
        <v>20302520</v>
      </c>
      <c r="AB15" s="48">
        <f t="shared" si="2"/>
        <v>25623115</v>
      </c>
      <c r="AC15" s="48">
        <f t="shared" si="2"/>
        <v>25991952</v>
      </c>
      <c r="AD15" s="48">
        <f t="shared" si="2"/>
        <v>28521683</v>
      </c>
      <c r="AE15" s="48">
        <f t="shared" si="2"/>
        <v>28310932</v>
      </c>
      <c r="AF15" s="48">
        <f>AE15</f>
        <v>28310932</v>
      </c>
      <c r="AG15" s="48">
        <f t="shared" ref="AG15:BW15" ca="1" si="3">AG16+AG28</f>
        <v>31581084.05536069</v>
      </c>
      <c r="AH15" s="48">
        <f t="shared" ca="1" si="3"/>
        <v>33572063.786920846</v>
      </c>
      <c r="AI15" s="48">
        <f t="shared" ca="1" si="3"/>
        <v>33170491.916666426</v>
      </c>
      <c r="AJ15" s="48">
        <f t="shared" ca="1" si="3"/>
        <v>32687196.773798212</v>
      </c>
      <c r="AK15" s="48">
        <f t="shared" ca="1" si="3"/>
        <v>30986194.695977062</v>
      </c>
      <c r="AL15" s="48">
        <f t="shared" ca="1" si="3"/>
        <v>29886381.469726615</v>
      </c>
      <c r="AM15" s="48">
        <f t="shared" ca="1" si="3"/>
        <v>26916798.672987547</v>
      </c>
      <c r="AN15" s="48">
        <f t="shared" ca="1" si="3"/>
        <v>23832107.407617748</v>
      </c>
      <c r="AO15" s="48">
        <f t="shared" ca="1" si="3"/>
        <v>21433823.389629684</v>
      </c>
      <c r="AP15" s="48">
        <f t="shared" ca="1" si="3"/>
        <v>19395570.101802319</v>
      </c>
      <c r="AQ15" s="48">
        <f t="shared" ca="1" si="3"/>
        <v>17650434.644394003</v>
      </c>
      <c r="AR15" s="48">
        <f t="shared" ca="1" si="3"/>
        <v>16079098.396633603</v>
      </c>
      <c r="AS15" s="48">
        <f t="shared" ca="1" si="3"/>
        <v>14649459.921516703</v>
      </c>
      <c r="AT15" s="48">
        <f t="shared" ca="1" si="3"/>
        <v>13302848.899551481</v>
      </c>
      <c r="AU15" s="48">
        <f t="shared" ca="1" si="3"/>
        <v>12209966.630380344</v>
      </c>
      <c r="AV15" s="48">
        <f t="shared" ca="1" si="3"/>
        <v>11341947.527887326</v>
      </c>
      <c r="AW15" s="48">
        <f t="shared" ca="1" si="3"/>
        <v>10246534.499615597</v>
      </c>
      <c r="AX15" s="48">
        <f t="shared" ca="1" si="3"/>
        <v>9562785.4872837961</v>
      </c>
      <c r="AY15" s="48">
        <f t="shared" ca="1" si="3"/>
        <v>8961601.1517826784</v>
      </c>
      <c r="AZ15" s="48">
        <f t="shared" ca="1" si="3"/>
        <v>8409594.1230936684</v>
      </c>
      <c r="BA15" s="48">
        <f t="shared" ca="1" si="3"/>
        <v>7945696.9763738383</v>
      </c>
      <c r="BB15" s="48">
        <f t="shared" ca="1" si="3"/>
        <v>7476886.71284167</v>
      </c>
      <c r="BC15" s="48">
        <f t="shared" ca="1" si="3"/>
        <v>7086174.0300291702</v>
      </c>
      <c r="BD15" s="48">
        <f t="shared" ca="1" si="3"/>
        <v>6705604.7400650037</v>
      </c>
      <c r="BE15" s="48">
        <f t="shared" ca="1" si="3"/>
        <v>6337949.9291409384</v>
      </c>
      <c r="BF15" s="48">
        <f t="shared" ca="1" si="3"/>
        <v>5871608.284265521</v>
      </c>
      <c r="BG15" s="48">
        <f t="shared" ca="1" si="3"/>
        <v>5092704.2069542576</v>
      </c>
      <c r="BH15" s="48">
        <f t="shared" ca="1" si="3"/>
        <v>4604108.8570890557</v>
      </c>
      <c r="BI15" s="48">
        <f t="shared" ca="1" si="3"/>
        <v>4227782.6406060979</v>
      </c>
      <c r="BJ15" s="48">
        <f t="shared" ca="1" si="3"/>
        <v>3542103</v>
      </c>
      <c r="BK15" s="48">
        <f t="shared" ca="1" si="3"/>
        <v>3542103</v>
      </c>
      <c r="BL15" s="48">
        <f t="shared" ca="1" si="3"/>
        <v>3542103</v>
      </c>
      <c r="BM15" s="48">
        <f t="shared" ca="1" si="3"/>
        <v>3542103</v>
      </c>
      <c r="BN15" s="48">
        <f t="shared" ca="1" si="3"/>
        <v>3542103</v>
      </c>
      <c r="BO15" s="48">
        <f t="shared" ca="1" si="3"/>
        <v>3542103</v>
      </c>
      <c r="BP15" s="48">
        <f t="shared" ca="1" si="3"/>
        <v>3542103</v>
      </c>
      <c r="BQ15" s="48">
        <f t="shared" ca="1" si="3"/>
        <v>3542103</v>
      </c>
      <c r="BR15" s="48">
        <f t="shared" ca="1" si="3"/>
        <v>3542103</v>
      </c>
      <c r="BS15" s="48">
        <f t="shared" ca="1" si="3"/>
        <v>3542103</v>
      </c>
      <c r="BT15" s="48">
        <f t="shared" ca="1" si="3"/>
        <v>3542103</v>
      </c>
      <c r="BU15" s="48">
        <f t="shared" ca="1" si="3"/>
        <v>3542103</v>
      </c>
      <c r="BV15" s="48">
        <f t="shared" ca="1" si="3"/>
        <v>3542103</v>
      </c>
      <c r="BW15" s="48">
        <f t="shared" ca="1" si="3"/>
        <v>3542103</v>
      </c>
    </row>
    <row r="16" spans="1:75" s="38" customFormat="1" x14ac:dyDescent="0.3">
      <c r="A16" s="1" t="s">
        <v>111</v>
      </c>
      <c r="B16" s="64" t="s">
        <v>112</v>
      </c>
      <c r="C16" s="48">
        <f t="shared" ref="C16:AE16" si="4">C17+C19+C21+C23+C25+C26+C27</f>
        <v>807148</v>
      </c>
      <c r="D16" s="48">
        <f t="shared" si="4"/>
        <v>985089</v>
      </c>
      <c r="E16" s="48">
        <f t="shared" si="4"/>
        <v>794540</v>
      </c>
      <c r="F16" s="48">
        <f t="shared" si="4"/>
        <v>1035616</v>
      </c>
      <c r="G16" s="48">
        <f t="shared" si="4"/>
        <v>1035616</v>
      </c>
      <c r="H16" s="48">
        <f t="shared" si="4"/>
        <v>675301</v>
      </c>
      <c r="I16" s="48">
        <f t="shared" si="4"/>
        <v>1000921</v>
      </c>
      <c r="J16" s="48">
        <f t="shared" si="4"/>
        <v>1139211</v>
      </c>
      <c r="K16" s="48">
        <f t="shared" si="4"/>
        <v>1513090</v>
      </c>
      <c r="L16" s="48">
        <f t="shared" si="4"/>
        <v>1513090</v>
      </c>
      <c r="M16" s="48">
        <f t="shared" si="4"/>
        <v>1732269</v>
      </c>
      <c r="N16" s="48">
        <f t="shared" si="4"/>
        <v>1400073</v>
      </c>
      <c r="O16" s="48">
        <f t="shared" si="4"/>
        <v>1650433</v>
      </c>
      <c r="P16" s="48">
        <f t="shared" si="4"/>
        <v>1841415</v>
      </c>
      <c r="Q16" s="48">
        <f t="shared" si="4"/>
        <v>1841415</v>
      </c>
      <c r="R16" s="48">
        <f t="shared" si="4"/>
        <v>4097287</v>
      </c>
      <c r="S16" s="48">
        <f t="shared" si="4"/>
        <v>5517215</v>
      </c>
      <c r="T16" s="48">
        <f t="shared" si="4"/>
        <v>5463662</v>
      </c>
      <c r="U16" s="48">
        <f t="shared" si="4"/>
        <v>6106295</v>
      </c>
      <c r="V16" s="48">
        <f t="shared" si="4"/>
        <v>6106295</v>
      </c>
      <c r="W16" s="48">
        <f t="shared" si="4"/>
        <v>6805410</v>
      </c>
      <c r="X16" s="48">
        <f t="shared" si="4"/>
        <v>7975120</v>
      </c>
      <c r="Y16" s="48">
        <f t="shared" si="4"/>
        <v>11122283</v>
      </c>
      <c r="Z16" s="48">
        <f t="shared" si="4"/>
        <v>10602627</v>
      </c>
      <c r="AA16" s="48">
        <f t="shared" si="4"/>
        <v>10602627</v>
      </c>
      <c r="AB16" s="48">
        <f t="shared" si="4"/>
        <v>3884323</v>
      </c>
      <c r="AC16" s="48">
        <f t="shared" si="4"/>
        <v>3664023</v>
      </c>
      <c r="AD16" s="48">
        <f t="shared" si="4"/>
        <v>5086534</v>
      </c>
      <c r="AE16" s="48">
        <f t="shared" si="4"/>
        <v>5294874</v>
      </c>
      <c r="AF16" s="48">
        <f t="shared" ref="AF16:AF18" si="5">AE16</f>
        <v>5294874</v>
      </c>
      <c r="AG16" s="48">
        <f t="shared" ref="AG16:BW16" ca="1" si="6">AG17+AG19+AG21+AG23+AG25+AG26+AG27</f>
        <v>8142070.3273857739</v>
      </c>
      <c r="AH16" s="48">
        <f t="shared" ca="1" si="6"/>
        <v>10009914.154671274</v>
      </c>
      <c r="AI16" s="48">
        <f t="shared" ca="1" si="6"/>
        <v>10195147.745719297</v>
      </c>
      <c r="AJ16" s="48">
        <f t="shared" ca="1" si="6"/>
        <v>10474664.089775981</v>
      </c>
      <c r="AK16" s="48">
        <f t="shared" ca="1" si="6"/>
        <v>10108776.168556558</v>
      </c>
      <c r="AL16" s="48">
        <f t="shared" ca="1" si="6"/>
        <v>10222702.710484151</v>
      </c>
      <c r="AM16" s="48">
        <f t="shared" ca="1" si="6"/>
        <v>9377063.0241710842</v>
      </c>
      <c r="AN16" s="48">
        <f t="shared" ca="1" si="6"/>
        <v>8104988.2293028552</v>
      </c>
      <c r="AO16" s="48">
        <f t="shared" ca="1" si="6"/>
        <v>7275466.9301812351</v>
      </c>
      <c r="AP16" s="48">
        <f t="shared" ca="1" si="6"/>
        <v>6609724.3930872483</v>
      </c>
      <c r="AQ16" s="48">
        <f t="shared" ca="1" si="6"/>
        <v>6047722.5046637123</v>
      </c>
      <c r="AR16" s="48">
        <f t="shared" ca="1" si="6"/>
        <v>5477030.6501967702</v>
      </c>
      <c r="AS16" s="48">
        <f t="shared" ca="1" si="6"/>
        <v>4897736.8625793923</v>
      </c>
      <c r="AT16" s="48">
        <f t="shared" ca="1" si="6"/>
        <v>4410330.9369271165</v>
      </c>
      <c r="AU16" s="48">
        <f t="shared" ca="1" si="6"/>
        <v>4057299.1951964218</v>
      </c>
      <c r="AV16" s="48">
        <f t="shared" ca="1" si="6"/>
        <v>3752876.2029576865</v>
      </c>
      <c r="AW16" s="48">
        <f t="shared" ca="1" si="6"/>
        <v>3150303.3585788109</v>
      </c>
      <c r="AX16" s="48">
        <f t="shared" ca="1" si="6"/>
        <v>2900077.159717388</v>
      </c>
      <c r="AY16" s="48">
        <f t="shared" ca="1" si="6"/>
        <v>2678636.612285851</v>
      </c>
      <c r="AZ16" s="48">
        <f t="shared" ca="1" si="6"/>
        <v>2469176.0530427666</v>
      </c>
      <c r="BA16" s="48">
        <f t="shared" ca="1" si="6"/>
        <v>2305657.5260561886</v>
      </c>
      <c r="BB16" s="48">
        <f t="shared" ca="1" si="6"/>
        <v>2123989.3183905827</v>
      </c>
      <c r="BC16" s="48">
        <f t="shared" ca="1" si="6"/>
        <v>2020106.8227704777</v>
      </c>
      <c r="BD16" s="48">
        <f t="shared" ca="1" si="6"/>
        <v>1939001.911950811</v>
      </c>
      <c r="BE16" s="48">
        <f t="shared" ca="1" si="6"/>
        <v>1869520.2624367797</v>
      </c>
      <c r="BF16" s="48">
        <f t="shared" ca="1" si="6"/>
        <v>1743383.8655628685</v>
      </c>
      <c r="BG16" s="48">
        <f t="shared" ca="1" si="6"/>
        <v>1671630.281187966</v>
      </c>
      <c r="BH16" s="48">
        <f t="shared" ca="1" si="6"/>
        <v>1626334.8570890562</v>
      </c>
      <c r="BI16" s="48">
        <f t="shared" ca="1" si="6"/>
        <v>1250008.6406060979</v>
      </c>
      <c r="BJ16" s="48">
        <f t="shared" ca="1" si="6"/>
        <v>564329</v>
      </c>
      <c r="BK16" s="48">
        <f t="shared" ca="1" si="6"/>
        <v>564329</v>
      </c>
      <c r="BL16" s="48">
        <f t="shared" ca="1" si="6"/>
        <v>564329</v>
      </c>
      <c r="BM16" s="48">
        <f t="shared" ca="1" si="6"/>
        <v>564329</v>
      </c>
      <c r="BN16" s="48">
        <f t="shared" ca="1" si="6"/>
        <v>564329</v>
      </c>
      <c r="BO16" s="48">
        <f t="shared" ca="1" si="6"/>
        <v>564329</v>
      </c>
      <c r="BP16" s="48">
        <f t="shared" ca="1" si="6"/>
        <v>564329</v>
      </c>
      <c r="BQ16" s="48">
        <f t="shared" ca="1" si="6"/>
        <v>564329</v>
      </c>
      <c r="BR16" s="48">
        <f t="shared" ca="1" si="6"/>
        <v>564329</v>
      </c>
      <c r="BS16" s="48">
        <f t="shared" ca="1" si="6"/>
        <v>564329</v>
      </c>
      <c r="BT16" s="48">
        <f t="shared" ca="1" si="6"/>
        <v>564329</v>
      </c>
      <c r="BU16" s="48">
        <f t="shared" ca="1" si="6"/>
        <v>564329</v>
      </c>
      <c r="BV16" s="48">
        <f t="shared" ca="1" si="6"/>
        <v>564329</v>
      </c>
      <c r="BW16" s="48">
        <f t="shared" ca="1" si="6"/>
        <v>564329</v>
      </c>
    </row>
    <row r="17" spans="1:75" x14ac:dyDescent="0.3">
      <c r="A17" s="1" t="s">
        <v>113</v>
      </c>
      <c r="B17" s="47" t="s">
        <v>114</v>
      </c>
      <c r="C17" s="49">
        <v>86663</v>
      </c>
      <c r="D17" s="49">
        <v>69331</v>
      </c>
      <c r="E17" s="49">
        <v>28160</v>
      </c>
      <c r="F17" s="49">
        <v>186993</v>
      </c>
      <c r="G17" s="51">
        <f t="shared" ref="G17:G32" si="7">F17</f>
        <v>186993</v>
      </c>
      <c r="H17" s="49">
        <v>107363</v>
      </c>
      <c r="I17" s="49">
        <v>392879</v>
      </c>
      <c r="J17" s="49">
        <v>358921</v>
      </c>
      <c r="K17" s="49">
        <v>459396</v>
      </c>
      <c r="L17" s="51">
        <f t="shared" ref="L17:L32" si="8">K17</f>
        <v>459396</v>
      </c>
      <c r="M17" s="49">
        <v>315180</v>
      </c>
      <c r="N17" s="49">
        <v>319688</v>
      </c>
      <c r="O17" s="49">
        <v>422585</v>
      </c>
      <c r="P17" s="49">
        <v>809273</v>
      </c>
      <c r="Q17" s="51">
        <f t="shared" ref="Q17:Q32" si="9">P17</f>
        <v>809273</v>
      </c>
      <c r="R17" s="49">
        <v>3185031</v>
      </c>
      <c r="S17" s="49">
        <v>3381619</v>
      </c>
      <c r="T17" s="49">
        <v>1948979</v>
      </c>
      <c r="U17" s="49">
        <v>970681</v>
      </c>
      <c r="V17" s="51">
        <f t="shared" ref="V17:V32" si="10">U17</f>
        <v>970681</v>
      </c>
      <c r="W17" s="49">
        <v>3091614</v>
      </c>
      <c r="X17" s="49">
        <v>3193381</v>
      </c>
      <c r="Y17" s="49">
        <v>8362706</v>
      </c>
      <c r="Z17" s="49">
        <v>9612961</v>
      </c>
      <c r="AA17" s="51">
        <f t="shared" ref="AA17:AA32" si="11">Z17</f>
        <v>9612961</v>
      </c>
      <c r="AB17" s="49">
        <v>527180</v>
      </c>
      <c r="AC17" s="49">
        <v>1155253</v>
      </c>
      <c r="AD17" s="49">
        <v>2225259</v>
      </c>
      <c r="AE17" s="49">
        <v>2335403</v>
      </c>
      <c r="AF17" s="51">
        <f t="shared" si="5"/>
        <v>2335403</v>
      </c>
      <c r="AG17" s="51">
        <f t="shared" ref="AG17:BW17" ca="1" si="12">AG18*AG$6</f>
        <v>4099146.0894113602</v>
      </c>
      <c r="AH17" s="51">
        <f t="shared" ca="1" si="12"/>
        <v>5082759.1250062622</v>
      </c>
      <c r="AI17" s="51">
        <f t="shared" ca="1" si="12"/>
        <v>5182435.0804648185</v>
      </c>
      <c r="AJ17" s="51">
        <f t="shared" ca="1" si="12"/>
        <v>5332845.481205306</v>
      </c>
      <c r="AK17" s="51">
        <f t="shared" ca="1" si="12"/>
        <v>5140253.9862127407</v>
      </c>
      <c r="AL17" s="51">
        <f t="shared" ca="1" si="12"/>
        <v>5197262.6688359352</v>
      </c>
      <c r="AM17" s="51">
        <f t="shared" ca="1" si="12"/>
        <v>4742215.9182437258</v>
      </c>
      <c r="AN17" s="51">
        <f t="shared" ca="1" si="12"/>
        <v>4057700.3836916499</v>
      </c>
      <c r="AO17" s="51">
        <f t="shared" ca="1" si="12"/>
        <v>3614347.9961086861</v>
      </c>
      <c r="AP17" s="51">
        <f t="shared" ca="1" si="12"/>
        <v>3253084.7052169107</v>
      </c>
      <c r="AQ17" s="51">
        <f t="shared" ca="1" si="12"/>
        <v>2950666.1488352772</v>
      </c>
      <c r="AR17" s="51">
        <f t="shared" ca="1" si="12"/>
        <v>2643571.4391524075</v>
      </c>
      <c r="AS17" s="51">
        <f t="shared" ca="1" si="12"/>
        <v>2333798.5580654698</v>
      </c>
      <c r="AT17" s="51">
        <f t="shared" ca="1" si="12"/>
        <v>2069570.1875114143</v>
      </c>
      <c r="AU17" s="51">
        <f t="shared" ca="1" si="12"/>
        <v>1879600.4527289013</v>
      </c>
      <c r="AV17" s="51">
        <f t="shared" ca="1" si="12"/>
        <v>1715787.5479351811</v>
      </c>
      <c r="AW17" s="51">
        <f t="shared" ca="1" si="12"/>
        <v>1392701.407444529</v>
      </c>
      <c r="AX17" s="51">
        <f t="shared" ca="1" si="12"/>
        <v>1256888.279351213</v>
      </c>
      <c r="AY17" s="51">
        <f t="shared" ca="1" si="12"/>
        <v>1137729.0166190993</v>
      </c>
      <c r="AZ17" s="51">
        <f t="shared" ca="1" si="12"/>
        <v>1025016.2993667233</v>
      </c>
      <c r="BA17" s="51">
        <f t="shared" ca="1" si="12"/>
        <v>937809.25592571055</v>
      </c>
      <c r="BB17" s="51">
        <f t="shared" ca="1" si="12"/>
        <v>839268.03743751708</v>
      </c>
      <c r="BC17" s="51">
        <f t="shared" ca="1" si="12"/>
        <v>783367.87943826511</v>
      </c>
      <c r="BD17" s="51">
        <f t="shared" ca="1" si="12"/>
        <v>739724.55625594128</v>
      </c>
      <c r="BE17" s="51">
        <f t="shared" ca="1" si="12"/>
        <v>702923.33029125305</v>
      </c>
      <c r="BF17" s="51">
        <f t="shared" ca="1" si="12"/>
        <v>634460.62670441985</v>
      </c>
      <c r="BG17" s="51">
        <f t="shared" ca="1" si="12"/>
        <v>595849.34113964171</v>
      </c>
      <c r="BH17" s="51">
        <f t="shared" ca="1" si="12"/>
        <v>571475.44302853255</v>
      </c>
      <c r="BI17" s="51">
        <f t="shared" ca="1" si="12"/>
        <v>369279.37717564497</v>
      </c>
      <c r="BJ17" s="51">
        <f t="shared" ca="1" si="12"/>
        <v>0</v>
      </c>
      <c r="BK17" s="51">
        <f t="shared" ca="1" si="12"/>
        <v>0</v>
      </c>
      <c r="BL17" s="51">
        <f t="shared" ca="1" si="12"/>
        <v>0</v>
      </c>
      <c r="BM17" s="51">
        <f t="shared" ca="1" si="12"/>
        <v>0</v>
      </c>
      <c r="BN17" s="51">
        <f t="shared" ca="1" si="12"/>
        <v>0</v>
      </c>
      <c r="BO17" s="51">
        <f t="shared" ca="1" si="12"/>
        <v>0</v>
      </c>
      <c r="BP17" s="51">
        <f t="shared" ca="1" si="12"/>
        <v>0</v>
      </c>
      <c r="BQ17" s="51">
        <f t="shared" ca="1" si="12"/>
        <v>0</v>
      </c>
      <c r="BR17" s="51">
        <f t="shared" ca="1" si="12"/>
        <v>0</v>
      </c>
      <c r="BS17" s="51">
        <f t="shared" ca="1" si="12"/>
        <v>0</v>
      </c>
      <c r="BT17" s="51">
        <f t="shared" ca="1" si="12"/>
        <v>0</v>
      </c>
      <c r="BU17" s="51">
        <f t="shared" ca="1" si="12"/>
        <v>0</v>
      </c>
      <c r="BV17" s="51">
        <f t="shared" ca="1" si="12"/>
        <v>0</v>
      </c>
      <c r="BW17" s="51">
        <f t="shared" ca="1" si="12"/>
        <v>0</v>
      </c>
    </row>
    <row r="18" spans="1:75" x14ac:dyDescent="0.3">
      <c r="B18" s="47" t="s">
        <v>378</v>
      </c>
      <c r="C18"/>
      <c r="D18"/>
      <c r="E18"/>
      <c r="F18" s="74">
        <f t="shared" ref="F18:AC18" si="13">F17/F$6</f>
        <v>0.22027163925929416</v>
      </c>
      <c r="G18" s="74">
        <f t="shared" si="13"/>
        <v>0.22027163925929416</v>
      </c>
      <c r="H18" s="74">
        <f t="shared" si="13"/>
        <v>0.12323633258187595</v>
      </c>
      <c r="I18" s="74">
        <f t="shared" si="13"/>
        <v>0.3330425730672919</v>
      </c>
      <c r="J18" s="74">
        <f t="shared" si="13"/>
        <v>0.26506553507758751</v>
      </c>
      <c r="K18" s="74">
        <f t="shared" si="13"/>
        <v>0.2793791574279379</v>
      </c>
      <c r="L18" s="74">
        <f t="shared" si="13"/>
        <v>0.2793791574279379</v>
      </c>
      <c r="M18" s="74">
        <f t="shared" si="13"/>
        <v>0.18238770610337388</v>
      </c>
      <c r="N18" s="74">
        <f t="shared" si="13"/>
        <v>0.21419703248587096</v>
      </c>
      <c r="O18" s="74">
        <f t="shared" si="13"/>
        <v>0.26709625223983896</v>
      </c>
      <c r="P18" s="74">
        <f t="shared" si="13"/>
        <v>0.4249970459803013</v>
      </c>
      <c r="Q18" s="74">
        <f t="shared" si="13"/>
        <v>0.4249970459803013</v>
      </c>
      <c r="R18" s="74">
        <f t="shared" si="13"/>
        <v>1.3632467127241257</v>
      </c>
      <c r="S18" s="74">
        <f t="shared" si="13"/>
        <v>1.1098552266712964</v>
      </c>
      <c r="T18" s="74">
        <f t="shared" si="13"/>
        <v>0.55721365013753232</v>
      </c>
      <c r="U18" s="74">
        <f t="shared" si="13"/>
        <v>0.22080990390588906</v>
      </c>
      <c r="V18" s="74">
        <f t="shared" si="13"/>
        <v>0.22080990390588906</v>
      </c>
      <c r="W18" s="74">
        <f t="shared" si="13"/>
        <v>0.5865701171617087</v>
      </c>
      <c r="X18" s="74">
        <f t="shared" si="13"/>
        <v>0.52163983474173992</v>
      </c>
      <c r="Y18" s="74">
        <f t="shared" si="13"/>
        <v>1.1666589705110755</v>
      </c>
      <c r="Z18" s="74">
        <f t="shared" si="13"/>
        <v>1.5106464628210214</v>
      </c>
      <c r="AA18" s="74">
        <f t="shared" si="13"/>
        <v>1.5106464628210214</v>
      </c>
      <c r="AB18" s="74">
        <f t="shared" si="13"/>
        <v>6.8926518954531224E-2</v>
      </c>
      <c r="AC18" s="74">
        <f t="shared" si="13"/>
        <v>0.14287684264579151</v>
      </c>
      <c r="AD18" s="74">
        <f>AD17/AD$6</f>
        <v>0.22514769993621725</v>
      </c>
      <c r="AE18" s="74">
        <f>AE17/AE$6</f>
        <v>0.19616925300803248</v>
      </c>
      <c r="AF18" s="74">
        <f t="shared" si="5"/>
        <v>0.19616925300803248</v>
      </c>
      <c r="AG18" s="74">
        <f>MEDIAN(AA18,AE18,V18,G18,L18,Q18)</f>
        <v>0.25009453066691345</v>
      </c>
      <c r="AH18" s="74">
        <f>AG18</f>
        <v>0.25009453066691345</v>
      </c>
      <c r="AI18" s="74">
        <f t="shared" ref="AI18:BL18" si="14">AH18</f>
        <v>0.25009453066691345</v>
      </c>
      <c r="AJ18" s="74">
        <f t="shared" si="14"/>
        <v>0.25009453066691345</v>
      </c>
      <c r="AK18" s="74">
        <f t="shared" si="14"/>
        <v>0.25009453066691345</v>
      </c>
      <c r="AL18" s="74">
        <f t="shared" si="14"/>
        <v>0.25009453066691345</v>
      </c>
      <c r="AM18" s="74">
        <f t="shared" si="14"/>
        <v>0.25009453066691345</v>
      </c>
      <c r="AN18" s="74">
        <f t="shared" si="14"/>
        <v>0.25009453066691345</v>
      </c>
      <c r="AO18" s="74">
        <f t="shared" si="14"/>
        <v>0.25009453066691345</v>
      </c>
      <c r="AP18" s="74">
        <f t="shared" si="14"/>
        <v>0.25009453066691345</v>
      </c>
      <c r="AQ18" s="74">
        <f t="shared" si="14"/>
        <v>0.25009453066691345</v>
      </c>
      <c r="AR18" s="74">
        <f t="shared" si="14"/>
        <v>0.25009453066691345</v>
      </c>
      <c r="AS18" s="74">
        <f t="shared" si="14"/>
        <v>0.25009453066691345</v>
      </c>
      <c r="AT18" s="74">
        <f t="shared" si="14"/>
        <v>0.25009453066691345</v>
      </c>
      <c r="AU18" s="74">
        <f t="shared" si="14"/>
        <v>0.25009453066691345</v>
      </c>
      <c r="AV18" s="74">
        <f t="shared" si="14"/>
        <v>0.25009453066691345</v>
      </c>
      <c r="AW18" s="74">
        <f t="shared" si="14"/>
        <v>0.25009453066691345</v>
      </c>
      <c r="AX18" s="74">
        <f t="shared" si="14"/>
        <v>0.25009453066691345</v>
      </c>
      <c r="AY18" s="74">
        <f t="shared" si="14"/>
        <v>0.25009453066691345</v>
      </c>
      <c r="AZ18" s="74">
        <f t="shared" si="14"/>
        <v>0.25009453066691345</v>
      </c>
      <c r="BA18" s="74">
        <f t="shared" si="14"/>
        <v>0.25009453066691345</v>
      </c>
      <c r="BB18" s="74">
        <f t="shared" si="14"/>
        <v>0.25009453066691345</v>
      </c>
      <c r="BC18" s="74">
        <f t="shared" si="14"/>
        <v>0.25009453066691345</v>
      </c>
      <c r="BD18" s="74">
        <f t="shared" si="14"/>
        <v>0.25009453066691345</v>
      </c>
      <c r="BE18" s="74">
        <f t="shared" si="14"/>
        <v>0.25009453066691345</v>
      </c>
      <c r="BF18" s="74">
        <f t="shared" si="14"/>
        <v>0.25009453066691345</v>
      </c>
      <c r="BG18" s="74">
        <f t="shared" si="14"/>
        <v>0.25009453066691345</v>
      </c>
      <c r="BH18" s="74">
        <f t="shared" si="14"/>
        <v>0.25009453066691345</v>
      </c>
      <c r="BI18" s="74">
        <f t="shared" si="14"/>
        <v>0.25009453066691345</v>
      </c>
      <c r="BJ18" s="74">
        <f t="shared" si="14"/>
        <v>0.25009453066691345</v>
      </c>
      <c r="BK18" s="74">
        <f t="shared" si="14"/>
        <v>0.25009453066691345</v>
      </c>
      <c r="BL18" s="74">
        <f t="shared" si="14"/>
        <v>0.25009453066691345</v>
      </c>
      <c r="BM18" s="74">
        <f t="shared" ref="BM18:BW18" si="15">BL18</f>
        <v>0.25009453066691345</v>
      </c>
      <c r="BN18" s="74">
        <f t="shared" si="15"/>
        <v>0.25009453066691345</v>
      </c>
      <c r="BO18" s="74">
        <f t="shared" si="15"/>
        <v>0.25009453066691345</v>
      </c>
      <c r="BP18" s="74">
        <f t="shared" si="15"/>
        <v>0.25009453066691345</v>
      </c>
      <c r="BQ18" s="74">
        <f t="shared" si="15"/>
        <v>0.25009453066691345</v>
      </c>
      <c r="BR18" s="74">
        <f t="shared" si="15"/>
        <v>0.25009453066691345</v>
      </c>
      <c r="BS18" s="74">
        <f t="shared" si="15"/>
        <v>0.25009453066691345</v>
      </c>
      <c r="BT18" s="74">
        <f t="shared" si="15"/>
        <v>0.25009453066691345</v>
      </c>
      <c r="BU18" s="74">
        <f t="shared" si="15"/>
        <v>0.25009453066691345</v>
      </c>
      <c r="BV18" s="74">
        <f t="shared" si="15"/>
        <v>0.25009453066691345</v>
      </c>
      <c r="BW18" s="74">
        <f t="shared" si="15"/>
        <v>0.25009453066691345</v>
      </c>
    </row>
    <row r="19" spans="1:75" x14ac:dyDescent="0.3">
      <c r="A19" s="1" t="s">
        <v>115</v>
      </c>
      <c r="B19" s="47" t="s">
        <v>116</v>
      </c>
      <c r="C19" s="49">
        <v>475776</v>
      </c>
      <c r="D19" s="49">
        <v>652191</v>
      </c>
      <c r="E19" s="49">
        <v>501935</v>
      </c>
      <c r="F19" s="49">
        <v>607441</v>
      </c>
      <c r="G19" s="51">
        <f t="shared" si="7"/>
        <v>607441</v>
      </c>
      <c r="H19" s="49">
        <v>162391</v>
      </c>
      <c r="I19" s="49">
        <v>132872</v>
      </c>
      <c r="J19" s="49">
        <v>252003</v>
      </c>
      <c r="K19" s="49">
        <v>226301</v>
      </c>
      <c r="L19" s="51">
        <f t="shared" si="8"/>
        <v>226301</v>
      </c>
      <c r="M19" s="49">
        <v>102039</v>
      </c>
      <c r="N19" s="49">
        <v>24081</v>
      </c>
      <c r="O19" s="49">
        <v>34009</v>
      </c>
      <c r="P19" s="49">
        <v>22793</v>
      </c>
      <c r="Q19" s="51">
        <f t="shared" si="9"/>
        <v>22793</v>
      </c>
      <c r="R19" s="49">
        <v>77820</v>
      </c>
      <c r="S19" s="49">
        <v>1135096</v>
      </c>
      <c r="T19" s="49">
        <v>2577231</v>
      </c>
      <c r="U19" s="49">
        <v>3680185</v>
      </c>
      <c r="V19" s="51">
        <f t="shared" si="10"/>
        <v>3680185</v>
      </c>
      <c r="W19" s="49">
        <v>2352001</v>
      </c>
      <c r="X19" s="49">
        <v>3365992</v>
      </c>
      <c r="Y19" s="49">
        <v>928879</v>
      </c>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row>
    <row r="20" spans="1:75" x14ac:dyDescent="0.3">
      <c r="B20" s="47" t="s">
        <v>378</v>
      </c>
      <c r="C20"/>
      <c r="D20"/>
      <c r="E20"/>
      <c r="F20" s="74">
        <f t="shared" ref="F20:Y20" si="16">F19/F$6</f>
        <v>0.71554563445318753</v>
      </c>
      <c r="G20" s="74">
        <f t="shared" si="16"/>
        <v>0.71554563445318753</v>
      </c>
      <c r="H20" s="74">
        <f t="shared" si="16"/>
        <v>0.18640007529878466</v>
      </c>
      <c r="I20" s="74">
        <f t="shared" si="16"/>
        <v>0.11263527133951474</v>
      </c>
      <c r="J20" s="74">
        <f t="shared" si="16"/>
        <v>0.18610588412535706</v>
      </c>
      <c r="K20" s="74">
        <f t="shared" si="16"/>
        <v>0.13762371179788196</v>
      </c>
      <c r="L20" s="74">
        <f t="shared" si="16"/>
        <v>0.13762371179788196</v>
      </c>
      <c r="M20" s="74">
        <f t="shared" si="16"/>
        <v>5.904771604506049E-2</v>
      </c>
      <c r="N20" s="74">
        <f t="shared" si="16"/>
        <v>1.6134727419522342E-2</v>
      </c>
      <c r="O20" s="74">
        <f t="shared" si="16"/>
        <v>2.149550136049477E-2</v>
      </c>
      <c r="P20" s="74">
        <f t="shared" si="16"/>
        <v>1.1969950398727015E-2</v>
      </c>
      <c r="Q20" s="74">
        <f t="shared" si="16"/>
        <v>1.1969950398727015E-2</v>
      </c>
      <c r="R20" s="74">
        <f t="shared" si="16"/>
        <v>3.3308265817253102E-2</v>
      </c>
      <c r="S20" s="74">
        <f t="shared" si="16"/>
        <v>0.37254114918732179</v>
      </c>
      <c r="T20" s="74">
        <f t="shared" si="16"/>
        <v>0.73683107553113836</v>
      </c>
      <c r="U20" s="74">
        <f t="shared" si="16"/>
        <v>0.83716617117868208</v>
      </c>
      <c r="V20" s="74">
        <f t="shared" si="16"/>
        <v>0.83716617117868208</v>
      </c>
      <c r="W20" s="74">
        <f t="shared" si="16"/>
        <v>0.44624377497787754</v>
      </c>
      <c r="X20" s="74">
        <f t="shared" si="16"/>
        <v>0.5498358982601883</v>
      </c>
      <c r="Y20" s="74">
        <f t="shared" si="16"/>
        <v>0.12958544971799285</v>
      </c>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row>
    <row r="21" spans="1:75" x14ac:dyDescent="0.3">
      <c r="A21" s="1" t="s">
        <v>117</v>
      </c>
      <c r="B21" s="47" t="s">
        <v>118</v>
      </c>
      <c r="C21" s="49">
        <v>63713</v>
      </c>
      <c r="D21" s="49">
        <v>88073</v>
      </c>
      <c r="E21" s="49">
        <v>37097</v>
      </c>
      <c r="F21" s="49">
        <v>34932</v>
      </c>
      <c r="G21" s="51">
        <f t="shared" si="7"/>
        <v>34932</v>
      </c>
      <c r="H21" s="49">
        <v>18452</v>
      </c>
      <c r="I21" s="49">
        <v>36023</v>
      </c>
      <c r="J21" s="49">
        <v>86047</v>
      </c>
      <c r="K21" s="49">
        <v>374598</v>
      </c>
      <c r="L21" s="51">
        <f t="shared" si="8"/>
        <v>374598</v>
      </c>
      <c r="M21" s="49">
        <v>213830</v>
      </c>
      <c r="N21" s="49">
        <v>210437</v>
      </c>
      <c r="O21" s="49">
        <v>197907</v>
      </c>
      <c r="P21" s="49">
        <v>386165</v>
      </c>
      <c r="Q21" s="51">
        <f t="shared" si="9"/>
        <v>386165</v>
      </c>
      <c r="R21" s="49">
        <v>22568</v>
      </c>
      <c r="S21" s="49">
        <v>329548</v>
      </c>
      <c r="T21" s="49">
        <v>291783</v>
      </c>
      <c r="U21" s="49">
        <v>915033</v>
      </c>
      <c r="V21" s="51">
        <f t="shared" si="10"/>
        <v>915033</v>
      </c>
      <c r="W21" s="49">
        <v>845187</v>
      </c>
      <c r="X21" s="49">
        <v>888980</v>
      </c>
      <c r="Y21" s="49">
        <v>1079329</v>
      </c>
      <c r="Z21" s="49">
        <v>166304</v>
      </c>
      <c r="AA21" s="51">
        <f t="shared" si="11"/>
        <v>166304</v>
      </c>
      <c r="AB21" s="49">
        <v>2230118</v>
      </c>
      <c r="AC21" s="49">
        <v>1357896</v>
      </c>
      <c r="AD21" s="49">
        <v>1613769</v>
      </c>
      <c r="AE21" s="49">
        <v>1743491</v>
      </c>
      <c r="AF21" s="51">
        <f t="shared" ref="AF21" si="17">AE21</f>
        <v>1743491</v>
      </c>
      <c r="AG21" s="51">
        <f t="shared" ref="AG21:BW21" ca="1" si="18">AG6/(AG9)*AG22</f>
        <v>2323928.723823247</v>
      </c>
      <c r="AH21" s="51">
        <f t="shared" ca="1" si="18"/>
        <v>2889463.1296297899</v>
      </c>
      <c r="AI21" s="51">
        <f t="shared" ca="1" si="18"/>
        <v>2946127.2349168495</v>
      </c>
      <c r="AJ21" s="51">
        <f t="shared" ca="1" si="18"/>
        <v>3031633.0195829575</v>
      </c>
      <c r="AK21" s="51">
        <f t="shared" ca="1" si="18"/>
        <v>2914163.9809236769</v>
      </c>
      <c r="AL21" s="51">
        <f t="shared" ca="1" si="18"/>
        <v>2954556.4696781202</v>
      </c>
      <c r="AM21" s="51">
        <f t="shared" ca="1" si="18"/>
        <v>2695870.0405642064</v>
      </c>
      <c r="AN21" s="51">
        <f t="shared" ca="1" si="18"/>
        <v>2306734.464767151</v>
      </c>
      <c r="AO21" s="51">
        <f t="shared" ca="1" si="18"/>
        <v>2049082.1607326856</v>
      </c>
      <c r="AP21" s="51">
        <f t="shared" ca="1" si="18"/>
        <v>1849323.9758386696</v>
      </c>
      <c r="AQ21" s="51">
        <f t="shared" ca="1" si="18"/>
        <v>1677404.1097010975</v>
      </c>
      <c r="AR21" s="51">
        <f t="shared" ca="1" si="18"/>
        <v>1502825.9290103251</v>
      </c>
      <c r="AS21" s="51">
        <f t="shared" ca="1" si="18"/>
        <v>1323100.3205071061</v>
      </c>
      <c r="AT21" s="51">
        <f t="shared" ca="1" si="18"/>
        <v>1176515.8654823869</v>
      </c>
      <c r="AU21" s="51">
        <f t="shared" ca="1" si="18"/>
        <v>1068521.2643416247</v>
      </c>
      <c r="AV21" s="51">
        <f t="shared" ca="1" si="18"/>
        <v>975396.38139560737</v>
      </c>
      <c r="AW21" s="51">
        <f t="shared" ca="1" si="18"/>
        <v>789564.15162411856</v>
      </c>
      <c r="AX21" s="51">
        <f t="shared" ca="1" si="18"/>
        <v>714519.86055795685</v>
      </c>
      <c r="AY21" s="51">
        <f t="shared" ca="1" si="18"/>
        <v>646779.82256867131</v>
      </c>
      <c r="AZ21" s="51">
        <f t="shared" ca="1" si="18"/>
        <v>582704.53732864407</v>
      </c>
      <c r="BA21" s="51">
        <f t="shared" ca="1" si="18"/>
        <v>531672.16287869075</v>
      </c>
      <c r="BB21" s="51">
        <f t="shared" ca="1" si="18"/>
        <v>477109.77254887566</v>
      </c>
      <c r="BC21" s="51">
        <f t="shared" ca="1" si="18"/>
        <v>445331.47231728258</v>
      </c>
      <c r="BD21" s="51">
        <f t="shared" ca="1" si="18"/>
        <v>420520.97666160139</v>
      </c>
      <c r="BE21" s="51">
        <f t="shared" ca="1" si="18"/>
        <v>398508.2947224055</v>
      </c>
      <c r="BF21" s="51">
        <f t="shared" ca="1" si="18"/>
        <v>360680.2020274711</v>
      </c>
      <c r="BG21" s="51">
        <f t="shared" ca="1" si="18"/>
        <v>338730.33517697465</v>
      </c>
      <c r="BH21" s="51">
        <f t="shared" ca="1" si="18"/>
        <v>324874.18378650001</v>
      </c>
      <c r="BI21" s="51">
        <f t="shared" ca="1" si="18"/>
        <v>209355.54210932623</v>
      </c>
      <c r="BJ21" s="51">
        <f ca="1">BJ6/(BJ9)*BJ22</f>
        <v>0</v>
      </c>
      <c r="BK21" s="51">
        <f t="shared" ca="1" si="18"/>
        <v>0</v>
      </c>
      <c r="BL21" s="51">
        <f t="shared" ca="1" si="18"/>
        <v>0</v>
      </c>
      <c r="BM21" s="51">
        <f t="shared" ca="1" si="18"/>
        <v>0</v>
      </c>
      <c r="BN21" s="51">
        <f t="shared" ca="1" si="18"/>
        <v>0</v>
      </c>
      <c r="BO21" s="51">
        <f t="shared" ca="1" si="18"/>
        <v>0</v>
      </c>
      <c r="BP21" s="51">
        <f t="shared" ca="1" si="18"/>
        <v>0</v>
      </c>
      <c r="BQ21" s="51">
        <f t="shared" ca="1" si="18"/>
        <v>0</v>
      </c>
      <c r="BR21" s="51">
        <f t="shared" ca="1" si="18"/>
        <v>0</v>
      </c>
      <c r="BS21" s="51">
        <f t="shared" ca="1" si="18"/>
        <v>0</v>
      </c>
      <c r="BT21" s="51">
        <f t="shared" ca="1" si="18"/>
        <v>0</v>
      </c>
      <c r="BU21" s="51">
        <f t="shared" ca="1" si="18"/>
        <v>0</v>
      </c>
      <c r="BV21" s="51">
        <f t="shared" ca="1" si="18"/>
        <v>0</v>
      </c>
      <c r="BW21" s="51">
        <f t="shared" ca="1" si="18"/>
        <v>0</v>
      </c>
    </row>
    <row r="22" spans="1:75" x14ac:dyDescent="0.3">
      <c r="B22" s="47" t="s">
        <v>539</v>
      </c>
      <c r="C22"/>
      <c r="D22"/>
      <c r="E22"/>
      <c r="F22" s="97">
        <f>F21/(F6/(F9+E9+D9+C9))</f>
        <v>15.019295104367902</v>
      </c>
      <c r="G22" s="97">
        <f>G21/(G6/(G9))</f>
        <v>15.019295104367902</v>
      </c>
      <c r="H22" s="97">
        <f>H21/(H6/(H9+F9+E9+D9))</f>
        <v>7.7307287912249363</v>
      </c>
      <c r="I22" s="97">
        <f>I21/(I6/(I9+H9+F9+E9))</f>
        <v>11.145862472937255</v>
      </c>
      <c r="J22" s="97">
        <f>J21/(J6/(J9+I9+H9+F9))</f>
        <v>23.194391928418032</v>
      </c>
      <c r="K22" s="97">
        <f>K21/(K6/(K9+J9+I9+H9))</f>
        <v>83.150547390877591</v>
      </c>
      <c r="L22" s="97">
        <f>L21/(L6/(L9))</f>
        <v>83.150547390877591</v>
      </c>
      <c r="M22" s="97">
        <f>M21/(M6/(M9+K9+J9+I9))</f>
        <v>45.288363886562927</v>
      </c>
      <c r="N22" s="97">
        <f>N21/(N6/(N9+M9+K9+J9))</f>
        <v>51.604824136764279</v>
      </c>
      <c r="O22" s="97">
        <f>O21/(O6/(O9+N9+M9+K9))</f>
        <v>45.782126164163209</v>
      </c>
      <c r="P22" s="97">
        <f>P21/(P6/(P9+O9+N9+M9))</f>
        <v>74.224085369856397</v>
      </c>
      <c r="Q22" s="97">
        <f>Q21/(Q6/(Q9))</f>
        <v>74.224085369856397</v>
      </c>
      <c r="R22" s="97">
        <f>R21/(R6/(R9+P9+O9+N9))</f>
        <v>3.5257111819811784</v>
      </c>
      <c r="S22" s="97">
        <f>S21/(S6/(S9+R9+P9+O9))</f>
        <v>39.477823532828936</v>
      </c>
      <c r="T22" s="97">
        <f>T21/(T6/(T9+S9+R9+P9))</f>
        <v>30.448607565550503</v>
      </c>
      <c r="U22" s="97">
        <f>U21/(U6/(U9+T9+S9+R9))</f>
        <v>75.975163119770386</v>
      </c>
      <c r="V22" s="97">
        <f>V21/(V6/(V9))</f>
        <v>75.975163119770386</v>
      </c>
      <c r="W22" s="97">
        <f>W21/(W6/(W9+U9+T9+S9))</f>
        <v>58.53024495585376</v>
      </c>
      <c r="X22" s="97">
        <f>X21/(X6/(X9+W9+U9+T9))</f>
        <v>53.003538821512329</v>
      </c>
      <c r="Y22" s="97">
        <f>Y21/(Y6/(Y9+X9+W9+U9))</f>
        <v>54.959630757520742</v>
      </c>
      <c r="Z22" s="97">
        <f>Z21/(Z6/(Z9+Y9+X9+W9))</f>
        <v>9.5389641665913665</v>
      </c>
      <c r="AA22" s="97">
        <f>AA21/(AA6/(AA9))</f>
        <v>9.5389641665913665</v>
      </c>
      <c r="AB22" s="97">
        <f>AB21/(AB6/(AB9+AA9+Y9+X9))</f>
        <v>186.02698251341616</v>
      </c>
      <c r="AC22" s="97">
        <f>AC21/(AC6/(AC9+AB9+Z9+Y9))</f>
        <v>61.297690626462469</v>
      </c>
      <c r="AD22" s="97">
        <f>AD21/(AD6/(AD9+AC9+AB9+Z9))</f>
        <v>59.596558504472888</v>
      </c>
      <c r="AE22" s="97">
        <f>AE21/(AE6/(AE9+AD9+AC9+AB9))</f>
        <v>53.454180880183443</v>
      </c>
      <c r="AF22" s="97">
        <f>AE22</f>
        <v>53.454180880183443</v>
      </c>
      <c r="AG22" s="97">
        <f>AVERAGE(AF22,AA22,V22,Q22,L22,G22)</f>
        <v>51.893706005274517</v>
      </c>
      <c r="AH22" s="97">
        <f t="shared" ref="AH22:BL22" si="19">AG22</f>
        <v>51.893706005274517</v>
      </c>
      <c r="AI22" s="97">
        <f t="shared" si="19"/>
        <v>51.893706005274517</v>
      </c>
      <c r="AJ22" s="97">
        <f t="shared" si="19"/>
        <v>51.893706005274517</v>
      </c>
      <c r="AK22" s="97">
        <f t="shared" si="19"/>
        <v>51.893706005274517</v>
      </c>
      <c r="AL22" s="97">
        <f t="shared" si="19"/>
        <v>51.893706005274517</v>
      </c>
      <c r="AM22" s="97">
        <f t="shared" si="19"/>
        <v>51.893706005274517</v>
      </c>
      <c r="AN22" s="97">
        <f t="shared" si="19"/>
        <v>51.893706005274517</v>
      </c>
      <c r="AO22" s="97">
        <f t="shared" si="19"/>
        <v>51.893706005274517</v>
      </c>
      <c r="AP22" s="97">
        <f t="shared" si="19"/>
        <v>51.893706005274517</v>
      </c>
      <c r="AQ22" s="97">
        <f t="shared" si="19"/>
        <v>51.893706005274517</v>
      </c>
      <c r="AR22" s="97">
        <f t="shared" si="19"/>
        <v>51.893706005274517</v>
      </c>
      <c r="AS22" s="97">
        <f t="shared" si="19"/>
        <v>51.893706005274517</v>
      </c>
      <c r="AT22" s="97">
        <f t="shared" si="19"/>
        <v>51.893706005274517</v>
      </c>
      <c r="AU22" s="97">
        <f t="shared" si="19"/>
        <v>51.893706005274517</v>
      </c>
      <c r="AV22" s="97">
        <f t="shared" si="19"/>
        <v>51.893706005274517</v>
      </c>
      <c r="AW22" s="97">
        <f t="shared" si="19"/>
        <v>51.893706005274517</v>
      </c>
      <c r="AX22" s="97">
        <f t="shared" si="19"/>
        <v>51.893706005274517</v>
      </c>
      <c r="AY22" s="97">
        <f t="shared" si="19"/>
        <v>51.893706005274517</v>
      </c>
      <c r="AZ22" s="97">
        <f t="shared" si="19"/>
        <v>51.893706005274517</v>
      </c>
      <c r="BA22" s="97">
        <f t="shared" si="19"/>
        <v>51.893706005274517</v>
      </c>
      <c r="BB22" s="97">
        <f t="shared" si="19"/>
        <v>51.893706005274517</v>
      </c>
      <c r="BC22" s="97">
        <f t="shared" si="19"/>
        <v>51.893706005274517</v>
      </c>
      <c r="BD22" s="97">
        <f t="shared" si="19"/>
        <v>51.893706005274517</v>
      </c>
      <c r="BE22" s="97">
        <f t="shared" si="19"/>
        <v>51.893706005274517</v>
      </c>
      <c r="BF22" s="97">
        <f t="shared" si="19"/>
        <v>51.893706005274517</v>
      </c>
      <c r="BG22" s="97">
        <f t="shared" si="19"/>
        <v>51.893706005274517</v>
      </c>
      <c r="BH22" s="97">
        <f t="shared" si="19"/>
        <v>51.893706005274517</v>
      </c>
      <c r="BI22" s="97">
        <f t="shared" si="19"/>
        <v>51.893706005274517</v>
      </c>
      <c r="BJ22" s="97">
        <f t="shared" si="19"/>
        <v>51.893706005274517</v>
      </c>
      <c r="BK22" s="97">
        <f t="shared" si="19"/>
        <v>51.893706005274517</v>
      </c>
      <c r="BL22" s="97">
        <f t="shared" si="19"/>
        <v>51.893706005274517</v>
      </c>
      <c r="BM22" s="97">
        <f t="shared" ref="BM22:BW22" si="20">BL22</f>
        <v>51.893706005274517</v>
      </c>
      <c r="BN22" s="97">
        <f t="shared" si="20"/>
        <v>51.893706005274517</v>
      </c>
      <c r="BO22" s="97">
        <f t="shared" si="20"/>
        <v>51.893706005274517</v>
      </c>
      <c r="BP22" s="97">
        <f t="shared" si="20"/>
        <v>51.893706005274517</v>
      </c>
      <c r="BQ22" s="97">
        <f t="shared" si="20"/>
        <v>51.893706005274517</v>
      </c>
      <c r="BR22" s="97">
        <f t="shared" si="20"/>
        <v>51.893706005274517</v>
      </c>
      <c r="BS22" s="97">
        <f t="shared" si="20"/>
        <v>51.893706005274517</v>
      </c>
      <c r="BT22" s="97">
        <f t="shared" si="20"/>
        <v>51.893706005274517</v>
      </c>
      <c r="BU22" s="97">
        <f t="shared" si="20"/>
        <v>51.893706005274517</v>
      </c>
      <c r="BV22" s="97">
        <f t="shared" si="20"/>
        <v>51.893706005274517</v>
      </c>
      <c r="BW22" s="97">
        <f t="shared" si="20"/>
        <v>51.893706005274517</v>
      </c>
    </row>
    <row r="23" spans="1:75" x14ac:dyDescent="0.3">
      <c r="A23" s="1" t="s">
        <v>119</v>
      </c>
      <c r="B23" s="47" t="s">
        <v>120</v>
      </c>
      <c r="C23" s="49">
        <v>60054</v>
      </c>
      <c r="D23" s="49">
        <v>47596</v>
      </c>
      <c r="E23" s="49">
        <v>81815</v>
      </c>
      <c r="F23" s="49">
        <v>58298</v>
      </c>
      <c r="G23" s="51">
        <f t="shared" si="7"/>
        <v>58298</v>
      </c>
      <c r="H23" s="49">
        <v>176505</v>
      </c>
      <c r="I23" s="49">
        <v>93641</v>
      </c>
      <c r="J23" s="49">
        <v>128588</v>
      </c>
      <c r="K23" s="49">
        <v>125474</v>
      </c>
      <c r="L23" s="51">
        <f t="shared" si="8"/>
        <v>125474</v>
      </c>
      <c r="M23" s="49">
        <v>158642</v>
      </c>
      <c r="N23" s="49">
        <v>249998</v>
      </c>
      <c r="O23" s="49">
        <v>332471</v>
      </c>
      <c r="P23" s="49">
        <v>194666</v>
      </c>
      <c r="Q23" s="51">
        <f t="shared" si="9"/>
        <v>194666</v>
      </c>
      <c r="R23" s="49">
        <v>395781</v>
      </c>
      <c r="S23" s="49">
        <v>382438</v>
      </c>
      <c r="T23" s="49">
        <v>384679</v>
      </c>
      <c r="U23" s="49">
        <v>217536</v>
      </c>
      <c r="V23" s="51">
        <f t="shared" si="10"/>
        <v>217536</v>
      </c>
      <c r="W23" s="49">
        <v>281174</v>
      </c>
      <c r="X23" s="49">
        <v>275693</v>
      </c>
      <c r="Y23" s="49">
        <v>338514</v>
      </c>
      <c r="Z23" s="49">
        <v>453425</v>
      </c>
      <c r="AA23" s="51">
        <f t="shared" si="11"/>
        <v>453425</v>
      </c>
      <c r="AB23" s="49">
        <v>599614</v>
      </c>
      <c r="AC23" s="49">
        <v>729200</v>
      </c>
      <c r="AD23" s="49">
        <f>258684+403781</f>
        <v>662465</v>
      </c>
      <c r="AE23" s="49">
        <v>651651</v>
      </c>
      <c r="AF23" s="51">
        <f t="shared" ref="AF23:AF32" si="21">AE23</f>
        <v>651651</v>
      </c>
      <c r="AG23" s="51">
        <f t="shared" ref="AG23:BW23" ca="1" si="22">AG24*AG6</f>
        <v>1154666.5141511669</v>
      </c>
      <c r="AH23" s="51">
        <f t="shared" ca="1" si="22"/>
        <v>1473362.9000352221</v>
      </c>
      <c r="AI23" s="51">
        <f t="shared" ca="1" si="22"/>
        <v>1502256.4303376283</v>
      </c>
      <c r="AJ23" s="51">
        <f t="shared" ca="1" si="22"/>
        <v>1545856.5889877181</v>
      </c>
      <c r="AK23" s="51">
        <f t="shared" ca="1" si="22"/>
        <v>1490029.2014201409</v>
      </c>
      <c r="AL23" s="51">
        <f t="shared" ca="1" si="22"/>
        <v>1506554.5719700966</v>
      </c>
      <c r="AM23" s="51">
        <f t="shared" ca="1" si="22"/>
        <v>1374648.0653631527</v>
      </c>
      <c r="AN23" s="51">
        <f t="shared" ca="1" si="22"/>
        <v>1176224.3808440552</v>
      </c>
      <c r="AO23" s="51">
        <f t="shared" ca="1" si="22"/>
        <v>1047707.7733398642</v>
      </c>
      <c r="AP23" s="51">
        <f t="shared" ca="1" si="22"/>
        <v>942986.71203166805</v>
      </c>
      <c r="AQ23" s="51">
        <f t="shared" ca="1" si="22"/>
        <v>855323.24612733803</v>
      </c>
      <c r="AR23" s="51">
        <f t="shared" ca="1" si="22"/>
        <v>766304.28203403763</v>
      </c>
      <c r="AS23" s="51">
        <f t="shared" ca="1" si="22"/>
        <v>676508.98400681629</v>
      </c>
      <c r="AT23" s="51">
        <f t="shared" ca="1" si="22"/>
        <v>599915.88393331529</v>
      </c>
      <c r="AU23" s="51">
        <f t="shared" ca="1" si="22"/>
        <v>544848.47812589561</v>
      </c>
      <c r="AV23" s="51">
        <f t="shared" ca="1" si="22"/>
        <v>497363.27362689778</v>
      </c>
      <c r="AW23" s="51">
        <f t="shared" ca="1" si="22"/>
        <v>403708.79951016343</v>
      </c>
      <c r="AX23" s="51">
        <f t="shared" ca="1" si="22"/>
        <v>364340.01980821829</v>
      </c>
      <c r="AY23" s="51">
        <f t="shared" ca="1" si="22"/>
        <v>329798.7730980803</v>
      </c>
      <c r="AZ23" s="51">
        <f t="shared" ca="1" si="22"/>
        <v>297126.21634739893</v>
      </c>
      <c r="BA23" s="51">
        <f t="shared" ca="1" si="22"/>
        <v>271847.10725178744</v>
      </c>
      <c r="BB23" s="51">
        <f t="shared" ca="1" si="22"/>
        <v>243282.50840419004</v>
      </c>
      <c r="BC23" s="51">
        <f t="shared" ca="1" si="22"/>
        <v>227078.47101492982</v>
      </c>
      <c r="BD23" s="51">
        <f t="shared" ca="1" si="22"/>
        <v>214427.37903326843</v>
      </c>
      <c r="BE23" s="51">
        <f t="shared" ca="1" si="22"/>
        <v>203759.63742312122</v>
      </c>
      <c r="BF23" s="51">
        <f t="shared" ca="1" si="22"/>
        <v>183914.03683097748</v>
      </c>
      <c r="BG23" s="51">
        <f t="shared" ca="1" si="22"/>
        <v>172721.60487134973</v>
      </c>
      <c r="BH23" s="51">
        <f t="shared" ca="1" si="22"/>
        <v>165656.2302740236</v>
      </c>
      <c r="BI23" s="51">
        <f t="shared" ca="1" si="22"/>
        <v>107044.72132112665</v>
      </c>
      <c r="BJ23" s="51">
        <f t="shared" ca="1" si="22"/>
        <v>0</v>
      </c>
      <c r="BK23" s="51">
        <f t="shared" ca="1" si="22"/>
        <v>0</v>
      </c>
      <c r="BL23" s="51">
        <f t="shared" ca="1" si="22"/>
        <v>0</v>
      </c>
      <c r="BM23" s="51">
        <f t="shared" ca="1" si="22"/>
        <v>0</v>
      </c>
      <c r="BN23" s="51">
        <f t="shared" ca="1" si="22"/>
        <v>0</v>
      </c>
      <c r="BO23" s="51">
        <f t="shared" ca="1" si="22"/>
        <v>0</v>
      </c>
      <c r="BP23" s="51">
        <f t="shared" ca="1" si="22"/>
        <v>0</v>
      </c>
      <c r="BQ23" s="51">
        <f t="shared" ca="1" si="22"/>
        <v>0</v>
      </c>
      <c r="BR23" s="51">
        <f t="shared" ca="1" si="22"/>
        <v>0</v>
      </c>
      <c r="BS23" s="51">
        <f t="shared" ca="1" si="22"/>
        <v>0</v>
      </c>
      <c r="BT23" s="51">
        <f t="shared" ca="1" si="22"/>
        <v>0</v>
      </c>
      <c r="BU23" s="51">
        <f t="shared" ca="1" si="22"/>
        <v>0</v>
      </c>
      <c r="BV23" s="51">
        <f t="shared" ca="1" si="22"/>
        <v>0</v>
      </c>
      <c r="BW23" s="51">
        <f t="shared" ca="1" si="22"/>
        <v>0</v>
      </c>
    </row>
    <row r="24" spans="1:75" x14ac:dyDescent="0.3">
      <c r="B24" s="47" t="s">
        <v>540</v>
      </c>
      <c r="C24"/>
      <c r="D24"/>
      <c r="E24"/>
      <c r="F24" s="74">
        <f>F23/F$6</f>
        <v>6.8673137633699283E-2</v>
      </c>
      <c r="G24" s="74">
        <f t="shared" ref="G24:AE24" si="23">G23/G$6</f>
        <v>6.8673137633699283E-2</v>
      </c>
      <c r="H24" s="74">
        <f t="shared" si="23"/>
        <v>0.20260079247379464</v>
      </c>
      <c r="I24" s="74">
        <f t="shared" si="23"/>
        <v>7.937924802444081E-2</v>
      </c>
      <c r="J24" s="74">
        <f t="shared" si="23"/>
        <v>9.4963089439059914E-2</v>
      </c>
      <c r="K24" s="74">
        <f t="shared" si="23"/>
        <v>7.6306324824580718E-2</v>
      </c>
      <c r="L24" s="74">
        <f t="shared" si="23"/>
        <v>7.6306324824580718E-2</v>
      </c>
      <c r="M24" s="74">
        <f t="shared" si="23"/>
        <v>9.1802622221116306E-2</v>
      </c>
      <c r="N24" s="74">
        <f t="shared" si="23"/>
        <v>0.16750340872163727</v>
      </c>
      <c r="O24" s="74">
        <f t="shared" si="23"/>
        <v>0.21013939935973</v>
      </c>
      <c r="P24" s="74">
        <f t="shared" si="23"/>
        <v>0.10223061309694173</v>
      </c>
      <c r="Q24" s="74">
        <f t="shared" si="23"/>
        <v>0.10223061309694173</v>
      </c>
      <c r="R24" s="74">
        <f t="shared" si="23"/>
        <v>0.16940090919324402</v>
      </c>
      <c r="S24" s="74">
        <f t="shared" si="23"/>
        <v>0.12551704174175662</v>
      </c>
      <c r="T24" s="74">
        <f t="shared" si="23"/>
        <v>0.1099798354529504</v>
      </c>
      <c r="U24" s="74">
        <f t="shared" si="23"/>
        <v>4.948495258078759E-2</v>
      </c>
      <c r="V24" s="74">
        <f t="shared" si="23"/>
        <v>4.948495258078759E-2</v>
      </c>
      <c r="W24" s="74">
        <f t="shared" si="23"/>
        <v>5.334697867289586E-2</v>
      </c>
      <c r="X24" s="74">
        <f t="shared" si="23"/>
        <v>4.5034542060422636E-2</v>
      </c>
      <c r="Y24" s="74">
        <f t="shared" si="23"/>
        <v>4.7225191791219992E-2</v>
      </c>
      <c r="Z24" s="74">
        <f t="shared" si="23"/>
        <v>7.1254306805636852E-2</v>
      </c>
      <c r="AA24" s="74">
        <f t="shared" si="23"/>
        <v>7.1254306805636852E-2</v>
      </c>
      <c r="AB24" s="74">
        <f t="shared" si="23"/>
        <v>7.8396953102170569E-2</v>
      </c>
      <c r="AC24" s="74">
        <f t="shared" si="23"/>
        <v>9.0184395675502391E-2</v>
      </c>
      <c r="AD24" s="74">
        <f t="shared" si="23"/>
        <v>6.7027016198225098E-2</v>
      </c>
      <c r="AE24" s="74">
        <f t="shared" si="23"/>
        <v>5.4737400736377138E-2</v>
      </c>
      <c r="AF24" s="74">
        <f t="shared" si="21"/>
        <v>5.4737400736377138E-2</v>
      </c>
      <c r="AG24" s="74">
        <f>AVERAGE(AF24,AA24,V24,Q24,L24,G24)</f>
        <v>7.0447789279670547E-2</v>
      </c>
      <c r="AH24" s="74">
        <f t="shared" ref="AH24:BW24" si="24">AVERAGE($AD$24,$AA$24,$V$24,$Q$24,$L$24,$G$24)</f>
        <v>7.2496058523311868E-2</v>
      </c>
      <c r="AI24" s="74">
        <f t="shared" si="24"/>
        <v>7.2496058523311868E-2</v>
      </c>
      <c r="AJ24" s="74">
        <f t="shared" si="24"/>
        <v>7.2496058523311868E-2</v>
      </c>
      <c r="AK24" s="74">
        <f t="shared" si="24"/>
        <v>7.2496058523311868E-2</v>
      </c>
      <c r="AL24" s="74">
        <f t="shared" si="24"/>
        <v>7.2496058523311868E-2</v>
      </c>
      <c r="AM24" s="74">
        <f t="shared" si="24"/>
        <v>7.2496058523311868E-2</v>
      </c>
      <c r="AN24" s="74">
        <f t="shared" si="24"/>
        <v>7.2496058523311868E-2</v>
      </c>
      <c r="AO24" s="74">
        <f t="shared" si="24"/>
        <v>7.2496058523311868E-2</v>
      </c>
      <c r="AP24" s="74">
        <f t="shared" si="24"/>
        <v>7.2496058523311868E-2</v>
      </c>
      <c r="AQ24" s="74">
        <f t="shared" si="24"/>
        <v>7.2496058523311868E-2</v>
      </c>
      <c r="AR24" s="74">
        <f t="shared" si="24"/>
        <v>7.2496058523311868E-2</v>
      </c>
      <c r="AS24" s="74">
        <f t="shared" si="24"/>
        <v>7.2496058523311868E-2</v>
      </c>
      <c r="AT24" s="74">
        <f t="shared" si="24"/>
        <v>7.2496058523311868E-2</v>
      </c>
      <c r="AU24" s="74">
        <f t="shared" si="24"/>
        <v>7.2496058523311868E-2</v>
      </c>
      <c r="AV24" s="74">
        <f t="shared" si="24"/>
        <v>7.2496058523311868E-2</v>
      </c>
      <c r="AW24" s="74">
        <f t="shared" si="24"/>
        <v>7.2496058523311868E-2</v>
      </c>
      <c r="AX24" s="74">
        <f t="shared" si="24"/>
        <v>7.2496058523311868E-2</v>
      </c>
      <c r="AY24" s="74">
        <f t="shared" si="24"/>
        <v>7.2496058523311868E-2</v>
      </c>
      <c r="AZ24" s="74">
        <f t="shared" si="24"/>
        <v>7.2496058523311868E-2</v>
      </c>
      <c r="BA24" s="74">
        <f t="shared" si="24"/>
        <v>7.2496058523311868E-2</v>
      </c>
      <c r="BB24" s="74">
        <f t="shared" si="24"/>
        <v>7.2496058523311868E-2</v>
      </c>
      <c r="BC24" s="74">
        <f t="shared" si="24"/>
        <v>7.2496058523311868E-2</v>
      </c>
      <c r="BD24" s="74">
        <f t="shared" si="24"/>
        <v>7.2496058523311868E-2</v>
      </c>
      <c r="BE24" s="74">
        <f t="shared" si="24"/>
        <v>7.2496058523311868E-2</v>
      </c>
      <c r="BF24" s="74">
        <f t="shared" si="24"/>
        <v>7.2496058523311868E-2</v>
      </c>
      <c r="BG24" s="74">
        <f t="shared" si="24"/>
        <v>7.2496058523311868E-2</v>
      </c>
      <c r="BH24" s="74">
        <f t="shared" si="24"/>
        <v>7.2496058523311868E-2</v>
      </c>
      <c r="BI24" s="74">
        <f t="shared" si="24"/>
        <v>7.2496058523311868E-2</v>
      </c>
      <c r="BJ24" s="74">
        <f t="shared" si="24"/>
        <v>7.2496058523311868E-2</v>
      </c>
      <c r="BK24" s="74">
        <f t="shared" si="24"/>
        <v>7.2496058523311868E-2</v>
      </c>
      <c r="BL24" s="74">
        <f t="shared" si="24"/>
        <v>7.2496058523311868E-2</v>
      </c>
      <c r="BM24" s="74">
        <f t="shared" si="24"/>
        <v>7.2496058523311868E-2</v>
      </c>
      <c r="BN24" s="74">
        <f t="shared" si="24"/>
        <v>7.2496058523311868E-2</v>
      </c>
      <c r="BO24" s="74">
        <f t="shared" si="24"/>
        <v>7.2496058523311868E-2</v>
      </c>
      <c r="BP24" s="74">
        <f t="shared" si="24"/>
        <v>7.2496058523311868E-2</v>
      </c>
      <c r="BQ24" s="74">
        <f t="shared" si="24"/>
        <v>7.2496058523311868E-2</v>
      </c>
      <c r="BR24" s="74">
        <f t="shared" si="24"/>
        <v>7.2496058523311868E-2</v>
      </c>
      <c r="BS24" s="74">
        <f t="shared" si="24"/>
        <v>7.2496058523311868E-2</v>
      </c>
      <c r="BT24" s="74">
        <f t="shared" si="24"/>
        <v>7.2496058523311868E-2</v>
      </c>
      <c r="BU24" s="74">
        <f t="shared" si="24"/>
        <v>7.2496058523311868E-2</v>
      </c>
      <c r="BV24" s="74">
        <f t="shared" si="24"/>
        <v>7.2496058523311868E-2</v>
      </c>
      <c r="BW24" s="74">
        <f t="shared" si="24"/>
        <v>7.2496058523311868E-2</v>
      </c>
    </row>
    <row r="25" spans="1:75" x14ac:dyDescent="0.3">
      <c r="A25" s="1" t="s">
        <v>121</v>
      </c>
      <c r="B25" s="47" t="s">
        <v>122</v>
      </c>
      <c r="C25" s="49">
        <v>54721</v>
      </c>
      <c r="D25" s="49">
        <v>63079</v>
      </c>
      <c r="E25" s="49">
        <v>76443</v>
      </c>
      <c r="F25" s="49">
        <v>67011</v>
      </c>
      <c r="G25" s="51">
        <f t="shared" si="7"/>
        <v>67011</v>
      </c>
      <c r="H25" s="49">
        <v>122682</v>
      </c>
      <c r="I25" s="49">
        <v>90764</v>
      </c>
      <c r="J25" s="49">
        <v>74888</v>
      </c>
      <c r="K25" s="49">
        <v>116773</v>
      </c>
      <c r="L25" s="51">
        <f t="shared" si="8"/>
        <v>116773</v>
      </c>
      <c r="M25" s="49">
        <v>136036</v>
      </c>
      <c r="N25" s="49">
        <v>140727</v>
      </c>
      <c r="O25" s="49">
        <v>142240</v>
      </c>
      <c r="P25" s="49">
        <v>124321</v>
      </c>
      <c r="Q25" s="51">
        <f t="shared" si="9"/>
        <v>124321</v>
      </c>
      <c r="R25" s="49">
        <v>105144</v>
      </c>
      <c r="S25" s="49">
        <v>84757</v>
      </c>
      <c r="T25" s="49">
        <v>76977</v>
      </c>
      <c r="U25" s="49">
        <v>85839</v>
      </c>
      <c r="V25" s="51">
        <f t="shared" si="10"/>
        <v>85839</v>
      </c>
      <c r="W25" s="49">
        <v>56077</v>
      </c>
      <c r="X25" s="49">
        <v>44358</v>
      </c>
      <c r="Y25" s="49">
        <v>47006</v>
      </c>
      <c r="Z25" s="49">
        <v>76012</v>
      </c>
      <c r="AA25" s="51">
        <f t="shared" si="11"/>
        <v>76012</v>
      </c>
      <c r="AB25" s="49">
        <v>92436</v>
      </c>
      <c r="AC25" s="49">
        <v>199217</v>
      </c>
      <c r="AD25" s="49">
        <v>262462</v>
      </c>
      <c r="AE25" s="49">
        <v>347658</v>
      </c>
      <c r="AF25" s="51">
        <f t="shared" si="21"/>
        <v>347658</v>
      </c>
      <c r="AG25" s="51">
        <f t="shared" ref="AG25:BL25" si="25">AF25</f>
        <v>347658</v>
      </c>
      <c r="AH25" s="51">
        <f t="shared" si="25"/>
        <v>347658</v>
      </c>
      <c r="AI25" s="51">
        <f t="shared" si="25"/>
        <v>347658</v>
      </c>
      <c r="AJ25" s="51">
        <f t="shared" si="25"/>
        <v>347658</v>
      </c>
      <c r="AK25" s="51">
        <f t="shared" si="25"/>
        <v>347658</v>
      </c>
      <c r="AL25" s="51">
        <f t="shared" si="25"/>
        <v>347658</v>
      </c>
      <c r="AM25" s="51">
        <f t="shared" si="25"/>
        <v>347658</v>
      </c>
      <c r="AN25" s="51">
        <f t="shared" si="25"/>
        <v>347658</v>
      </c>
      <c r="AO25" s="51">
        <f t="shared" si="25"/>
        <v>347658</v>
      </c>
      <c r="AP25" s="51">
        <f t="shared" si="25"/>
        <v>347658</v>
      </c>
      <c r="AQ25" s="51">
        <f t="shared" si="25"/>
        <v>347658</v>
      </c>
      <c r="AR25" s="51">
        <f t="shared" si="25"/>
        <v>347658</v>
      </c>
      <c r="AS25" s="51">
        <f t="shared" si="25"/>
        <v>347658</v>
      </c>
      <c r="AT25" s="51">
        <f t="shared" si="25"/>
        <v>347658</v>
      </c>
      <c r="AU25" s="51">
        <f t="shared" si="25"/>
        <v>347658</v>
      </c>
      <c r="AV25" s="51">
        <f t="shared" si="25"/>
        <v>347658</v>
      </c>
      <c r="AW25" s="51">
        <f t="shared" si="25"/>
        <v>347658</v>
      </c>
      <c r="AX25" s="51">
        <f t="shared" si="25"/>
        <v>347658</v>
      </c>
      <c r="AY25" s="51">
        <f t="shared" si="25"/>
        <v>347658</v>
      </c>
      <c r="AZ25" s="51">
        <f t="shared" si="25"/>
        <v>347658</v>
      </c>
      <c r="BA25" s="51">
        <f t="shared" si="25"/>
        <v>347658</v>
      </c>
      <c r="BB25" s="51">
        <f t="shared" si="25"/>
        <v>347658</v>
      </c>
      <c r="BC25" s="51">
        <f t="shared" si="25"/>
        <v>347658</v>
      </c>
      <c r="BD25" s="51">
        <f t="shared" si="25"/>
        <v>347658</v>
      </c>
      <c r="BE25" s="51">
        <f t="shared" si="25"/>
        <v>347658</v>
      </c>
      <c r="BF25" s="51">
        <f t="shared" si="25"/>
        <v>347658</v>
      </c>
      <c r="BG25" s="51">
        <f t="shared" si="25"/>
        <v>347658</v>
      </c>
      <c r="BH25" s="51">
        <f t="shared" si="25"/>
        <v>347658</v>
      </c>
      <c r="BI25" s="51">
        <f t="shared" si="25"/>
        <v>347658</v>
      </c>
      <c r="BJ25" s="51">
        <f t="shared" si="25"/>
        <v>347658</v>
      </c>
      <c r="BK25" s="51">
        <f t="shared" si="25"/>
        <v>347658</v>
      </c>
      <c r="BL25" s="51">
        <f t="shared" si="25"/>
        <v>347658</v>
      </c>
      <c r="BM25" s="51">
        <f t="shared" ref="BM25:BW25" si="26">BL25</f>
        <v>347658</v>
      </c>
      <c r="BN25" s="51">
        <f t="shared" si="26"/>
        <v>347658</v>
      </c>
      <c r="BO25" s="51">
        <f t="shared" si="26"/>
        <v>347658</v>
      </c>
      <c r="BP25" s="51">
        <f t="shared" si="26"/>
        <v>347658</v>
      </c>
      <c r="BQ25" s="51">
        <f t="shared" si="26"/>
        <v>347658</v>
      </c>
      <c r="BR25" s="51">
        <f t="shared" si="26"/>
        <v>347658</v>
      </c>
      <c r="BS25" s="51">
        <f t="shared" si="26"/>
        <v>347658</v>
      </c>
      <c r="BT25" s="51">
        <f t="shared" si="26"/>
        <v>347658</v>
      </c>
      <c r="BU25" s="51">
        <f t="shared" si="26"/>
        <v>347658</v>
      </c>
      <c r="BV25" s="51">
        <f t="shared" si="26"/>
        <v>347658</v>
      </c>
      <c r="BW25" s="51">
        <f t="shared" si="26"/>
        <v>347658</v>
      </c>
    </row>
    <row r="26" spans="1:75" x14ac:dyDescent="0.3">
      <c r="A26" s="1" t="s">
        <v>123</v>
      </c>
      <c r="B26" s="47" t="s">
        <v>124</v>
      </c>
      <c r="C26" s="49">
        <v>4201</v>
      </c>
      <c r="D26" s="49">
        <v>2598</v>
      </c>
      <c r="E26" s="49">
        <v>2534</v>
      </c>
      <c r="F26" s="49">
        <v>1659</v>
      </c>
      <c r="G26" s="51">
        <f t="shared" si="7"/>
        <v>1659</v>
      </c>
      <c r="H26" s="49">
        <v>5874</v>
      </c>
      <c r="I26" s="49">
        <v>12097</v>
      </c>
      <c r="J26" s="49">
        <v>9335</v>
      </c>
      <c r="K26" s="49">
        <v>10333</v>
      </c>
      <c r="L26" s="51">
        <f t="shared" si="8"/>
        <v>10333</v>
      </c>
      <c r="M26" s="49">
        <v>8062</v>
      </c>
      <c r="N26" s="49">
        <v>11013</v>
      </c>
      <c r="O26" s="49">
        <v>28759</v>
      </c>
      <c r="P26" s="49">
        <v>25594</v>
      </c>
      <c r="Q26" s="51">
        <f t="shared" si="9"/>
        <v>25594</v>
      </c>
      <c r="R26" s="49">
        <v>23233</v>
      </c>
      <c r="S26" s="49">
        <v>15940</v>
      </c>
      <c r="T26" s="49">
        <v>9352</v>
      </c>
      <c r="U26" s="49">
        <v>9760</v>
      </c>
      <c r="V26" s="51">
        <f t="shared" si="10"/>
        <v>9760</v>
      </c>
      <c r="W26" s="49">
        <v>31995</v>
      </c>
      <c r="X26" s="49" t="s">
        <v>699</v>
      </c>
      <c r="Y26" s="49">
        <v>18803</v>
      </c>
      <c r="Z26" s="49">
        <v>10809</v>
      </c>
      <c r="AA26" s="51">
        <f t="shared" si="11"/>
        <v>10809</v>
      </c>
      <c r="AB26" s="49">
        <v>5342</v>
      </c>
      <c r="AC26" s="49">
        <v>13944</v>
      </c>
      <c r="AD26" s="49">
        <v>31060</v>
      </c>
      <c r="AE26" s="49">
        <v>22129</v>
      </c>
      <c r="AF26" s="51">
        <f t="shared" si="21"/>
        <v>22129</v>
      </c>
      <c r="AG26" s="51">
        <f t="shared" ref="AG26:BL26" si="27">AF26</f>
        <v>22129</v>
      </c>
      <c r="AH26" s="51">
        <f t="shared" si="27"/>
        <v>22129</v>
      </c>
      <c r="AI26" s="51">
        <f t="shared" si="27"/>
        <v>22129</v>
      </c>
      <c r="AJ26" s="51">
        <f t="shared" si="27"/>
        <v>22129</v>
      </c>
      <c r="AK26" s="51">
        <f t="shared" si="27"/>
        <v>22129</v>
      </c>
      <c r="AL26" s="51">
        <f t="shared" si="27"/>
        <v>22129</v>
      </c>
      <c r="AM26" s="51">
        <f t="shared" si="27"/>
        <v>22129</v>
      </c>
      <c r="AN26" s="51">
        <f t="shared" si="27"/>
        <v>22129</v>
      </c>
      <c r="AO26" s="51">
        <f t="shared" si="27"/>
        <v>22129</v>
      </c>
      <c r="AP26" s="51">
        <f t="shared" si="27"/>
        <v>22129</v>
      </c>
      <c r="AQ26" s="51">
        <f t="shared" si="27"/>
        <v>22129</v>
      </c>
      <c r="AR26" s="51">
        <f t="shared" si="27"/>
        <v>22129</v>
      </c>
      <c r="AS26" s="51">
        <f t="shared" si="27"/>
        <v>22129</v>
      </c>
      <c r="AT26" s="51">
        <f t="shared" si="27"/>
        <v>22129</v>
      </c>
      <c r="AU26" s="51">
        <f t="shared" si="27"/>
        <v>22129</v>
      </c>
      <c r="AV26" s="51">
        <f t="shared" si="27"/>
        <v>22129</v>
      </c>
      <c r="AW26" s="51">
        <f t="shared" si="27"/>
        <v>22129</v>
      </c>
      <c r="AX26" s="51">
        <f t="shared" si="27"/>
        <v>22129</v>
      </c>
      <c r="AY26" s="51">
        <f t="shared" si="27"/>
        <v>22129</v>
      </c>
      <c r="AZ26" s="51">
        <f t="shared" si="27"/>
        <v>22129</v>
      </c>
      <c r="BA26" s="51">
        <f t="shared" si="27"/>
        <v>22129</v>
      </c>
      <c r="BB26" s="51">
        <f t="shared" si="27"/>
        <v>22129</v>
      </c>
      <c r="BC26" s="51">
        <f t="shared" si="27"/>
        <v>22129</v>
      </c>
      <c r="BD26" s="51">
        <f t="shared" si="27"/>
        <v>22129</v>
      </c>
      <c r="BE26" s="51">
        <f t="shared" si="27"/>
        <v>22129</v>
      </c>
      <c r="BF26" s="51">
        <f t="shared" si="27"/>
        <v>22129</v>
      </c>
      <c r="BG26" s="51">
        <f t="shared" si="27"/>
        <v>22129</v>
      </c>
      <c r="BH26" s="51">
        <f t="shared" si="27"/>
        <v>22129</v>
      </c>
      <c r="BI26" s="51">
        <f t="shared" si="27"/>
        <v>22129</v>
      </c>
      <c r="BJ26" s="51">
        <f t="shared" si="27"/>
        <v>22129</v>
      </c>
      <c r="BK26" s="51">
        <f t="shared" si="27"/>
        <v>22129</v>
      </c>
      <c r="BL26" s="51">
        <f t="shared" si="27"/>
        <v>22129</v>
      </c>
      <c r="BM26" s="51">
        <f t="shared" ref="BM26:BW26" si="28">BL26</f>
        <v>22129</v>
      </c>
      <c r="BN26" s="51">
        <f t="shared" si="28"/>
        <v>22129</v>
      </c>
      <c r="BO26" s="51">
        <f t="shared" si="28"/>
        <v>22129</v>
      </c>
      <c r="BP26" s="51">
        <f t="shared" si="28"/>
        <v>22129</v>
      </c>
      <c r="BQ26" s="51">
        <f t="shared" si="28"/>
        <v>22129</v>
      </c>
      <c r="BR26" s="51">
        <f t="shared" si="28"/>
        <v>22129</v>
      </c>
      <c r="BS26" s="51">
        <f t="shared" si="28"/>
        <v>22129</v>
      </c>
      <c r="BT26" s="51">
        <f t="shared" si="28"/>
        <v>22129</v>
      </c>
      <c r="BU26" s="51">
        <f t="shared" si="28"/>
        <v>22129</v>
      </c>
      <c r="BV26" s="51">
        <f t="shared" si="28"/>
        <v>22129</v>
      </c>
      <c r="BW26" s="51">
        <f t="shared" si="28"/>
        <v>22129</v>
      </c>
    </row>
    <row r="27" spans="1:75" x14ac:dyDescent="0.3">
      <c r="A27" s="1" t="s">
        <v>125</v>
      </c>
      <c r="B27" s="47" t="s">
        <v>126</v>
      </c>
      <c r="C27" s="49">
        <v>62020</v>
      </c>
      <c r="D27" s="49">
        <v>62221</v>
      </c>
      <c r="E27" s="49">
        <v>66556</v>
      </c>
      <c r="F27" s="49">
        <v>79282</v>
      </c>
      <c r="G27" s="51">
        <f t="shared" si="7"/>
        <v>79282</v>
      </c>
      <c r="H27" s="49">
        <v>82034</v>
      </c>
      <c r="I27" s="49">
        <v>242645</v>
      </c>
      <c r="J27" s="49">
        <v>229429</v>
      </c>
      <c r="K27" s="49">
        <v>200215</v>
      </c>
      <c r="L27" s="51">
        <f t="shared" si="8"/>
        <v>200215</v>
      </c>
      <c r="M27" s="49">
        <v>798480</v>
      </c>
      <c r="N27" s="49">
        <v>444129</v>
      </c>
      <c r="O27" s="49">
        <v>492462</v>
      </c>
      <c r="P27" s="49">
        <v>278603</v>
      </c>
      <c r="Q27" s="51">
        <f t="shared" si="9"/>
        <v>278603</v>
      </c>
      <c r="R27" s="49">
        <v>287710</v>
      </c>
      <c r="S27" s="49">
        <v>187817</v>
      </c>
      <c r="T27" s="49">
        <v>174661</v>
      </c>
      <c r="U27" s="49">
        <v>227261</v>
      </c>
      <c r="V27" s="51">
        <f t="shared" si="10"/>
        <v>227261</v>
      </c>
      <c r="W27" s="49">
        <v>147362</v>
      </c>
      <c r="X27" s="49">
        <v>180662</v>
      </c>
      <c r="Y27" s="49">
        <v>347046</v>
      </c>
      <c r="Z27" s="49">
        <v>283116</v>
      </c>
      <c r="AA27" s="51">
        <f t="shared" si="11"/>
        <v>283116</v>
      </c>
      <c r="AB27" s="49">
        <v>429633</v>
      </c>
      <c r="AC27" s="49">
        <v>208513</v>
      </c>
      <c r="AD27" s="49">
        <f>179957+10650+27828+73084</f>
        <v>291519</v>
      </c>
      <c r="AE27" s="49">
        <v>194542</v>
      </c>
      <c r="AF27" s="51">
        <f t="shared" si="21"/>
        <v>194542</v>
      </c>
      <c r="AG27" s="51">
        <f t="shared" ref="AG27:BL29" si="29">AF27</f>
        <v>194542</v>
      </c>
      <c r="AH27" s="51">
        <f t="shared" si="29"/>
        <v>194542</v>
      </c>
      <c r="AI27" s="51">
        <f t="shared" si="29"/>
        <v>194542</v>
      </c>
      <c r="AJ27" s="51">
        <f t="shared" si="29"/>
        <v>194542</v>
      </c>
      <c r="AK27" s="51">
        <f t="shared" si="29"/>
        <v>194542</v>
      </c>
      <c r="AL27" s="51">
        <f t="shared" si="29"/>
        <v>194542</v>
      </c>
      <c r="AM27" s="51">
        <f t="shared" si="29"/>
        <v>194542</v>
      </c>
      <c r="AN27" s="51">
        <f t="shared" si="29"/>
        <v>194542</v>
      </c>
      <c r="AO27" s="51">
        <f t="shared" si="29"/>
        <v>194542</v>
      </c>
      <c r="AP27" s="51">
        <f t="shared" si="29"/>
        <v>194542</v>
      </c>
      <c r="AQ27" s="51">
        <f t="shared" si="29"/>
        <v>194542</v>
      </c>
      <c r="AR27" s="51">
        <f t="shared" si="29"/>
        <v>194542</v>
      </c>
      <c r="AS27" s="51">
        <f t="shared" si="29"/>
        <v>194542</v>
      </c>
      <c r="AT27" s="51">
        <f t="shared" si="29"/>
        <v>194542</v>
      </c>
      <c r="AU27" s="51">
        <f t="shared" si="29"/>
        <v>194542</v>
      </c>
      <c r="AV27" s="51">
        <f t="shared" si="29"/>
        <v>194542</v>
      </c>
      <c r="AW27" s="51">
        <f t="shared" si="29"/>
        <v>194542</v>
      </c>
      <c r="AX27" s="51">
        <f t="shared" si="29"/>
        <v>194542</v>
      </c>
      <c r="AY27" s="51">
        <f t="shared" si="29"/>
        <v>194542</v>
      </c>
      <c r="AZ27" s="51">
        <f t="shared" si="29"/>
        <v>194542</v>
      </c>
      <c r="BA27" s="51">
        <f t="shared" si="29"/>
        <v>194542</v>
      </c>
      <c r="BB27" s="51">
        <f t="shared" si="29"/>
        <v>194542</v>
      </c>
      <c r="BC27" s="51">
        <f t="shared" si="29"/>
        <v>194542</v>
      </c>
      <c r="BD27" s="51">
        <f t="shared" si="29"/>
        <v>194542</v>
      </c>
      <c r="BE27" s="51">
        <f t="shared" si="29"/>
        <v>194542</v>
      </c>
      <c r="BF27" s="51">
        <f t="shared" si="29"/>
        <v>194542</v>
      </c>
      <c r="BG27" s="51">
        <f t="shared" si="29"/>
        <v>194542</v>
      </c>
      <c r="BH27" s="51">
        <f t="shared" si="29"/>
        <v>194542</v>
      </c>
      <c r="BI27" s="51">
        <f t="shared" si="29"/>
        <v>194542</v>
      </c>
      <c r="BJ27" s="51">
        <f t="shared" si="29"/>
        <v>194542</v>
      </c>
      <c r="BK27" s="51">
        <f t="shared" si="29"/>
        <v>194542</v>
      </c>
      <c r="BL27" s="51">
        <f t="shared" si="29"/>
        <v>194542</v>
      </c>
      <c r="BM27" s="51">
        <f t="shared" ref="BM27:BW27" si="30">BL27</f>
        <v>194542</v>
      </c>
      <c r="BN27" s="51">
        <f t="shared" si="30"/>
        <v>194542</v>
      </c>
      <c r="BO27" s="51">
        <f t="shared" si="30"/>
        <v>194542</v>
      </c>
      <c r="BP27" s="51">
        <f t="shared" si="30"/>
        <v>194542</v>
      </c>
      <c r="BQ27" s="51">
        <f t="shared" si="30"/>
        <v>194542</v>
      </c>
      <c r="BR27" s="51">
        <f t="shared" si="30"/>
        <v>194542</v>
      </c>
      <c r="BS27" s="51">
        <f t="shared" si="30"/>
        <v>194542</v>
      </c>
      <c r="BT27" s="51">
        <f t="shared" si="30"/>
        <v>194542</v>
      </c>
      <c r="BU27" s="51">
        <f t="shared" si="30"/>
        <v>194542</v>
      </c>
      <c r="BV27" s="51">
        <f t="shared" si="30"/>
        <v>194542</v>
      </c>
      <c r="BW27" s="51">
        <f t="shared" si="30"/>
        <v>194542</v>
      </c>
    </row>
    <row r="28" spans="1:75" s="38" customFormat="1" x14ac:dyDescent="0.3">
      <c r="A28" s="1" t="s">
        <v>127</v>
      </c>
      <c r="B28" s="38" t="s">
        <v>128</v>
      </c>
      <c r="C28" s="48">
        <f t="shared" ref="C28:AE28" si="31">C29+C31+C32+C30</f>
        <v>421278</v>
      </c>
      <c r="D28" s="48">
        <f t="shared" si="31"/>
        <v>474515</v>
      </c>
      <c r="E28" s="48">
        <f t="shared" si="31"/>
        <v>485459</v>
      </c>
      <c r="F28" s="48">
        <f t="shared" si="31"/>
        <v>480564</v>
      </c>
      <c r="G28" s="48">
        <f t="shared" si="31"/>
        <v>480564</v>
      </c>
      <c r="H28" s="48">
        <f t="shared" si="31"/>
        <v>3657302</v>
      </c>
      <c r="I28" s="48">
        <f t="shared" si="31"/>
        <v>3386223</v>
      </c>
      <c r="J28" s="48">
        <f t="shared" si="31"/>
        <v>3457010</v>
      </c>
      <c r="K28" s="48">
        <f t="shared" si="31"/>
        <v>3976661</v>
      </c>
      <c r="L28" s="48">
        <f t="shared" si="31"/>
        <v>3976661</v>
      </c>
      <c r="M28" s="48">
        <f t="shared" si="31"/>
        <v>5252119</v>
      </c>
      <c r="N28" s="48">
        <f t="shared" si="31"/>
        <v>5260513</v>
      </c>
      <c r="O28" s="48">
        <f t="shared" si="31"/>
        <v>5404998</v>
      </c>
      <c r="P28" s="48">
        <f t="shared" si="31"/>
        <v>4951418</v>
      </c>
      <c r="Q28" s="48">
        <f t="shared" si="31"/>
        <v>4951418</v>
      </c>
      <c r="R28" s="48">
        <f t="shared" si="31"/>
        <v>5244461</v>
      </c>
      <c r="S28" s="48">
        <f t="shared" si="31"/>
        <v>4987285</v>
      </c>
      <c r="T28" s="48">
        <f t="shared" si="31"/>
        <v>5981504</v>
      </c>
      <c r="U28" s="48">
        <f t="shared" si="31"/>
        <v>6115121</v>
      </c>
      <c r="V28" s="48">
        <f t="shared" si="31"/>
        <v>6115121</v>
      </c>
      <c r="W28" s="48">
        <f t="shared" si="31"/>
        <v>6057511</v>
      </c>
      <c r="X28" s="48">
        <f t="shared" si="31"/>
        <v>8317151</v>
      </c>
      <c r="Y28" s="48">
        <f t="shared" si="31"/>
        <v>8797869</v>
      </c>
      <c r="Z28" s="48">
        <f t="shared" si="31"/>
        <v>9699893</v>
      </c>
      <c r="AA28" s="48">
        <f t="shared" si="31"/>
        <v>9699893</v>
      </c>
      <c r="AB28" s="48">
        <f t="shared" si="31"/>
        <v>21738792</v>
      </c>
      <c r="AC28" s="48">
        <f t="shared" si="31"/>
        <v>22327929</v>
      </c>
      <c r="AD28" s="48">
        <f t="shared" si="31"/>
        <v>23435149</v>
      </c>
      <c r="AE28" s="48">
        <f t="shared" si="31"/>
        <v>23016058</v>
      </c>
      <c r="AF28" s="48">
        <f t="shared" si="21"/>
        <v>23016058</v>
      </c>
      <c r="AG28" s="48">
        <f t="shared" ref="AG28:BW28" ca="1" si="32">AG29+AG31+AG32+AG30</f>
        <v>23439013.727974918</v>
      </c>
      <c r="AH28" s="48">
        <f t="shared" ca="1" si="32"/>
        <v>23562149.632249575</v>
      </c>
      <c r="AI28" s="48">
        <f t="shared" ca="1" si="32"/>
        <v>22975344.170947127</v>
      </c>
      <c r="AJ28" s="48">
        <f t="shared" ca="1" si="32"/>
        <v>22212532.684022233</v>
      </c>
      <c r="AK28" s="48">
        <f t="shared" ca="1" si="32"/>
        <v>20877418.527420506</v>
      </c>
      <c r="AL28" s="48">
        <f t="shared" ca="1" si="32"/>
        <v>19663678.759242464</v>
      </c>
      <c r="AM28" s="48">
        <f t="shared" ca="1" si="32"/>
        <v>17539735.648816463</v>
      </c>
      <c r="AN28" s="48">
        <f t="shared" ca="1" si="32"/>
        <v>15727119.178314894</v>
      </c>
      <c r="AO28" s="48">
        <f t="shared" ca="1" si="32"/>
        <v>14158356.459448449</v>
      </c>
      <c r="AP28" s="48">
        <f t="shared" ca="1" si="32"/>
        <v>12785845.70871507</v>
      </c>
      <c r="AQ28" s="48">
        <f t="shared" ca="1" si="32"/>
        <v>11602712.13973029</v>
      </c>
      <c r="AR28" s="48">
        <f t="shared" ca="1" si="32"/>
        <v>10602067.746436832</v>
      </c>
      <c r="AS28" s="48">
        <f t="shared" ca="1" si="32"/>
        <v>9751723.0589373112</v>
      </c>
      <c r="AT28" s="48">
        <f t="shared" ca="1" si="32"/>
        <v>8892517.9626243636</v>
      </c>
      <c r="AU28" s="48">
        <f t="shared" ca="1" si="32"/>
        <v>8152667.4351839209</v>
      </c>
      <c r="AV28" s="48">
        <f t="shared" ca="1" si="32"/>
        <v>7589071.3249296397</v>
      </c>
      <c r="AW28" s="48">
        <f t="shared" ca="1" si="32"/>
        <v>7096231.1410367852</v>
      </c>
      <c r="AX28" s="48">
        <f t="shared" ca="1" si="32"/>
        <v>6662708.3275664076</v>
      </c>
      <c r="AY28" s="48">
        <f t="shared" ca="1" si="32"/>
        <v>6282964.5394968279</v>
      </c>
      <c r="AZ28" s="48">
        <f t="shared" ca="1" si="32"/>
        <v>5940418.0700509017</v>
      </c>
      <c r="BA28" s="48">
        <f t="shared" ca="1" si="32"/>
        <v>5640039.4503176492</v>
      </c>
      <c r="BB28" s="48">
        <f t="shared" ca="1" si="32"/>
        <v>5352897.3944510873</v>
      </c>
      <c r="BC28" s="48">
        <f t="shared" ca="1" si="32"/>
        <v>5066067.2072586929</v>
      </c>
      <c r="BD28" s="48">
        <f t="shared" ca="1" si="32"/>
        <v>4766602.8281141929</v>
      </c>
      <c r="BE28" s="48">
        <f t="shared" ca="1" si="32"/>
        <v>4468429.6667041583</v>
      </c>
      <c r="BF28" s="48">
        <f t="shared" ca="1" si="32"/>
        <v>4128224.4187026527</v>
      </c>
      <c r="BG28" s="48">
        <f t="shared" ca="1" si="32"/>
        <v>3421073.925766292</v>
      </c>
      <c r="BH28" s="48">
        <f t="shared" ca="1" si="32"/>
        <v>2977774</v>
      </c>
      <c r="BI28" s="48">
        <f t="shared" ca="1" si="32"/>
        <v>2977774</v>
      </c>
      <c r="BJ28" s="48">
        <f t="shared" ca="1" si="32"/>
        <v>2977774</v>
      </c>
      <c r="BK28" s="48">
        <f t="shared" ca="1" si="32"/>
        <v>2977774</v>
      </c>
      <c r="BL28" s="48">
        <f t="shared" ca="1" si="32"/>
        <v>2977774</v>
      </c>
      <c r="BM28" s="48">
        <f t="shared" ca="1" si="32"/>
        <v>2977774</v>
      </c>
      <c r="BN28" s="48">
        <f t="shared" ca="1" si="32"/>
        <v>2977774</v>
      </c>
      <c r="BO28" s="48">
        <f t="shared" ca="1" si="32"/>
        <v>2977774</v>
      </c>
      <c r="BP28" s="48">
        <f t="shared" ca="1" si="32"/>
        <v>2977774</v>
      </c>
      <c r="BQ28" s="48">
        <f t="shared" ca="1" si="32"/>
        <v>2977774</v>
      </c>
      <c r="BR28" s="48">
        <f t="shared" ca="1" si="32"/>
        <v>2977774</v>
      </c>
      <c r="BS28" s="48">
        <f t="shared" ca="1" si="32"/>
        <v>2977774</v>
      </c>
      <c r="BT28" s="48">
        <f t="shared" ca="1" si="32"/>
        <v>2977774</v>
      </c>
      <c r="BU28" s="48">
        <f t="shared" ca="1" si="32"/>
        <v>2977774</v>
      </c>
      <c r="BV28" s="48">
        <f t="shared" ca="1" si="32"/>
        <v>2977774</v>
      </c>
      <c r="BW28" s="48">
        <f t="shared" ca="1" si="32"/>
        <v>2977774</v>
      </c>
    </row>
    <row r="29" spans="1:75" x14ac:dyDescent="0.3">
      <c r="A29" s="35" t="s">
        <v>129</v>
      </c>
      <c r="B29" s="65" t="s">
        <v>130</v>
      </c>
      <c r="C29" s="49">
        <v>101931</v>
      </c>
      <c r="D29" s="49">
        <v>104297</v>
      </c>
      <c r="E29" s="49">
        <v>78617</v>
      </c>
      <c r="F29" s="49">
        <v>69268</v>
      </c>
      <c r="G29" s="51">
        <f t="shared" si="7"/>
        <v>69268</v>
      </c>
      <c r="H29" s="49">
        <v>71989</v>
      </c>
      <c r="I29" s="49">
        <v>107425</v>
      </c>
      <c r="J29" s="49">
        <v>73002</v>
      </c>
      <c r="K29" s="49">
        <v>232542</v>
      </c>
      <c r="L29" s="51">
        <f t="shared" si="8"/>
        <v>232542</v>
      </c>
      <c r="M29" s="49">
        <v>236555</v>
      </c>
      <c r="N29" s="49">
        <v>264472</v>
      </c>
      <c r="O29" s="49">
        <v>230786</v>
      </c>
      <c r="P29" s="49">
        <v>265703</v>
      </c>
      <c r="Q29" s="51">
        <f t="shared" si="9"/>
        <v>265703</v>
      </c>
      <c r="R29" s="49">
        <v>319040</v>
      </c>
      <c r="S29" s="49">
        <v>215592</v>
      </c>
      <c r="T29" s="49">
        <v>238970</v>
      </c>
      <c r="U29" s="49">
        <v>397883</v>
      </c>
      <c r="V29" s="51">
        <f t="shared" si="10"/>
        <v>397883</v>
      </c>
      <c r="W29" s="49">
        <v>700783</v>
      </c>
      <c r="X29" s="49">
        <v>721759</v>
      </c>
      <c r="Y29" s="49">
        <v>521786</v>
      </c>
      <c r="Z29" s="49">
        <v>729759</v>
      </c>
      <c r="AA29" s="51">
        <f t="shared" si="11"/>
        <v>729759</v>
      </c>
      <c r="AB29" s="49">
        <v>682821</v>
      </c>
      <c r="AC29" s="49">
        <v>891997</v>
      </c>
      <c r="AD29" s="49">
        <f>232+31654+4782+425637+95817</f>
        <v>558122</v>
      </c>
      <c r="AE29" s="49">
        <v>631701</v>
      </c>
      <c r="AF29" s="51">
        <f t="shared" si="21"/>
        <v>631701</v>
      </c>
      <c r="AG29" s="51">
        <f t="shared" si="29"/>
        <v>631701</v>
      </c>
      <c r="AH29" s="51">
        <f t="shared" si="29"/>
        <v>631701</v>
      </c>
      <c r="AI29" s="51">
        <f t="shared" si="29"/>
        <v>631701</v>
      </c>
      <c r="AJ29" s="51">
        <f t="shared" si="29"/>
        <v>631701</v>
      </c>
      <c r="AK29" s="51">
        <f t="shared" si="29"/>
        <v>631701</v>
      </c>
      <c r="AL29" s="51">
        <f t="shared" si="29"/>
        <v>631701</v>
      </c>
      <c r="AM29" s="51">
        <f t="shared" si="29"/>
        <v>631701</v>
      </c>
      <c r="AN29" s="51">
        <f t="shared" si="29"/>
        <v>631701</v>
      </c>
      <c r="AO29" s="51">
        <f t="shared" si="29"/>
        <v>631701</v>
      </c>
      <c r="AP29" s="51">
        <f t="shared" si="29"/>
        <v>631701</v>
      </c>
      <c r="AQ29" s="51">
        <f t="shared" si="29"/>
        <v>631701</v>
      </c>
      <c r="AR29" s="51">
        <f t="shared" si="29"/>
        <v>631701</v>
      </c>
      <c r="AS29" s="51">
        <f t="shared" si="29"/>
        <v>631701</v>
      </c>
      <c r="AT29" s="51">
        <f t="shared" si="29"/>
        <v>631701</v>
      </c>
      <c r="AU29" s="51">
        <f t="shared" si="29"/>
        <v>631701</v>
      </c>
      <c r="AV29" s="51">
        <f t="shared" si="29"/>
        <v>631701</v>
      </c>
      <c r="AW29" s="51">
        <f t="shared" si="29"/>
        <v>631701</v>
      </c>
      <c r="AX29" s="51">
        <f t="shared" si="29"/>
        <v>631701</v>
      </c>
      <c r="AY29" s="51">
        <f t="shared" si="29"/>
        <v>631701</v>
      </c>
      <c r="AZ29" s="51">
        <f t="shared" si="29"/>
        <v>631701</v>
      </c>
      <c r="BA29" s="51">
        <f t="shared" si="29"/>
        <v>631701</v>
      </c>
      <c r="BB29" s="51">
        <f t="shared" si="29"/>
        <v>631701</v>
      </c>
      <c r="BC29" s="51">
        <f t="shared" si="29"/>
        <v>631701</v>
      </c>
      <c r="BD29" s="51">
        <f t="shared" si="29"/>
        <v>631701</v>
      </c>
      <c r="BE29" s="51">
        <f t="shared" si="29"/>
        <v>631701</v>
      </c>
      <c r="BF29" s="51">
        <f t="shared" si="29"/>
        <v>631701</v>
      </c>
      <c r="BG29" s="51">
        <f t="shared" si="29"/>
        <v>631701</v>
      </c>
      <c r="BH29" s="51">
        <f t="shared" si="29"/>
        <v>631701</v>
      </c>
      <c r="BI29" s="51">
        <f t="shared" si="29"/>
        <v>631701</v>
      </c>
      <c r="BJ29" s="51">
        <f t="shared" si="29"/>
        <v>631701</v>
      </c>
      <c r="BK29" s="51">
        <f t="shared" si="29"/>
        <v>631701</v>
      </c>
      <c r="BL29" s="51">
        <f t="shared" si="29"/>
        <v>631701</v>
      </c>
      <c r="BM29" s="51">
        <f t="shared" ref="BM29:BW29" si="33">BL29</f>
        <v>631701</v>
      </c>
      <c r="BN29" s="51">
        <f t="shared" si="33"/>
        <v>631701</v>
      </c>
      <c r="BO29" s="51">
        <f t="shared" si="33"/>
        <v>631701</v>
      </c>
      <c r="BP29" s="51">
        <f t="shared" si="33"/>
        <v>631701</v>
      </c>
      <c r="BQ29" s="51">
        <f t="shared" si="33"/>
        <v>631701</v>
      </c>
      <c r="BR29" s="51">
        <f t="shared" si="33"/>
        <v>631701</v>
      </c>
      <c r="BS29" s="51">
        <f t="shared" si="33"/>
        <v>631701</v>
      </c>
      <c r="BT29" s="51">
        <f t="shared" si="33"/>
        <v>631701</v>
      </c>
      <c r="BU29" s="51">
        <f t="shared" si="33"/>
        <v>631701</v>
      </c>
      <c r="BV29" s="51">
        <f t="shared" si="33"/>
        <v>631701</v>
      </c>
      <c r="BW29" s="51">
        <f t="shared" si="33"/>
        <v>631701</v>
      </c>
    </row>
    <row r="30" spans="1:75" x14ac:dyDescent="0.3">
      <c r="B30" s="47" t="s">
        <v>532</v>
      </c>
      <c r="C30"/>
      <c r="D30"/>
      <c r="E30"/>
      <c r="F30"/>
      <c r="G30"/>
      <c r="H30"/>
      <c r="I30"/>
      <c r="J30"/>
      <c r="K30"/>
      <c r="L30"/>
      <c r="M30"/>
      <c r="N30"/>
      <c r="O30"/>
      <c r="P30"/>
      <c r="Q30"/>
      <c r="R30"/>
      <c r="S30"/>
      <c r="T30"/>
      <c r="U30" s="49">
        <v>425867</v>
      </c>
      <c r="V30" s="51">
        <f t="shared" si="10"/>
        <v>425867</v>
      </c>
      <c r="W30" s="49">
        <v>413532</v>
      </c>
      <c r="X30" s="49">
        <v>928229</v>
      </c>
      <c r="Y30" s="49">
        <v>1079063</v>
      </c>
      <c r="Z30" s="49">
        <v>1470973</v>
      </c>
      <c r="AA30" s="51">
        <f t="shared" si="11"/>
        <v>1470973</v>
      </c>
      <c r="AB30" s="49">
        <v>1529702</v>
      </c>
      <c r="AC30" s="49">
        <v>1714785</v>
      </c>
      <c r="AD30" s="49">
        <v>2013218</v>
      </c>
      <c r="AE30" s="49">
        <v>2044361</v>
      </c>
      <c r="AF30" s="98">
        <f t="shared" si="21"/>
        <v>2044361</v>
      </c>
      <c r="AG30" s="98">
        <f t="shared" ref="AG30:BW30" si="34">AF30</f>
        <v>2044361</v>
      </c>
      <c r="AH30" s="98">
        <f t="shared" si="34"/>
        <v>2044361</v>
      </c>
      <c r="AI30" s="98">
        <f t="shared" si="34"/>
        <v>2044361</v>
      </c>
      <c r="AJ30" s="98">
        <f t="shared" si="34"/>
        <v>2044361</v>
      </c>
      <c r="AK30" s="98">
        <f t="shared" si="34"/>
        <v>2044361</v>
      </c>
      <c r="AL30" s="98">
        <f t="shared" si="34"/>
        <v>2044361</v>
      </c>
      <c r="AM30" s="98">
        <f t="shared" si="34"/>
        <v>2044361</v>
      </c>
      <c r="AN30" s="98">
        <f t="shared" si="34"/>
        <v>2044361</v>
      </c>
      <c r="AO30" s="98">
        <f t="shared" si="34"/>
        <v>2044361</v>
      </c>
      <c r="AP30" s="98">
        <f t="shared" si="34"/>
        <v>2044361</v>
      </c>
      <c r="AQ30" s="98">
        <f t="shared" si="34"/>
        <v>2044361</v>
      </c>
      <c r="AR30" s="98">
        <f t="shared" si="34"/>
        <v>2044361</v>
      </c>
      <c r="AS30" s="98">
        <f t="shared" si="34"/>
        <v>2044361</v>
      </c>
      <c r="AT30" s="98">
        <f t="shared" si="34"/>
        <v>2044361</v>
      </c>
      <c r="AU30" s="98">
        <f t="shared" si="34"/>
        <v>2044361</v>
      </c>
      <c r="AV30" s="98">
        <f t="shared" si="34"/>
        <v>2044361</v>
      </c>
      <c r="AW30" s="98">
        <f t="shared" si="34"/>
        <v>2044361</v>
      </c>
      <c r="AX30" s="98">
        <f t="shared" si="34"/>
        <v>2044361</v>
      </c>
      <c r="AY30" s="98">
        <f t="shared" si="34"/>
        <v>2044361</v>
      </c>
      <c r="AZ30" s="98">
        <f t="shared" si="34"/>
        <v>2044361</v>
      </c>
      <c r="BA30" s="98">
        <f t="shared" si="34"/>
        <v>2044361</v>
      </c>
      <c r="BB30" s="98">
        <f t="shared" si="34"/>
        <v>2044361</v>
      </c>
      <c r="BC30" s="98">
        <f t="shared" si="34"/>
        <v>2044361</v>
      </c>
      <c r="BD30" s="98">
        <f t="shared" si="34"/>
        <v>2044361</v>
      </c>
      <c r="BE30" s="98">
        <f t="shared" si="34"/>
        <v>2044361</v>
      </c>
      <c r="BF30" s="98">
        <f t="shared" si="34"/>
        <v>2044361</v>
      </c>
      <c r="BG30" s="98">
        <f t="shared" si="34"/>
        <v>2044361</v>
      </c>
      <c r="BH30" s="98">
        <f t="shared" si="34"/>
        <v>2044361</v>
      </c>
      <c r="BI30" s="98">
        <f t="shared" si="34"/>
        <v>2044361</v>
      </c>
      <c r="BJ30" s="98">
        <f t="shared" si="34"/>
        <v>2044361</v>
      </c>
      <c r="BK30" s="98">
        <f t="shared" si="34"/>
        <v>2044361</v>
      </c>
      <c r="BL30" s="98">
        <f t="shared" si="34"/>
        <v>2044361</v>
      </c>
      <c r="BM30" s="98">
        <f t="shared" si="34"/>
        <v>2044361</v>
      </c>
      <c r="BN30" s="98">
        <f t="shared" si="34"/>
        <v>2044361</v>
      </c>
      <c r="BO30" s="98">
        <f t="shared" si="34"/>
        <v>2044361</v>
      </c>
      <c r="BP30" s="98">
        <f t="shared" si="34"/>
        <v>2044361</v>
      </c>
      <c r="BQ30" s="98">
        <f t="shared" si="34"/>
        <v>2044361</v>
      </c>
      <c r="BR30" s="98">
        <f t="shared" si="34"/>
        <v>2044361</v>
      </c>
      <c r="BS30" s="98">
        <f t="shared" si="34"/>
        <v>2044361</v>
      </c>
      <c r="BT30" s="98">
        <f t="shared" si="34"/>
        <v>2044361</v>
      </c>
      <c r="BU30" s="98">
        <f t="shared" si="34"/>
        <v>2044361</v>
      </c>
      <c r="BV30" s="98">
        <f t="shared" si="34"/>
        <v>2044361</v>
      </c>
      <c r="BW30" s="98">
        <f t="shared" si="34"/>
        <v>2044361</v>
      </c>
    </row>
    <row r="31" spans="1:75" x14ac:dyDescent="0.3">
      <c r="A31" s="1" t="s">
        <v>132</v>
      </c>
      <c r="B31" s="47" t="s">
        <v>133</v>
      </c>
      <c r="C31" s="49">
        <v>58108</v>
      </c>
      <c r="D31" s="49">
        <v>60786</v>
      </c>
      <c r="E31" s="49">
        <v>60338</v>
      </c>
      <c r="F31" s="49">
        <v>270347</v>
      </c>
      <c r="G31" s="51">
        <f t="shared" si="7"/>
        <v>270347</v>
      </c>
      <c r="H31" s="49">
        <v>2581943</v>
      </c>
      <c r="I31" s="49">
        <v>2522010</v>
      </c>
      <c r="J31" s="49">
        <v>2775232</v>
      </c>
      <c r="K31" s="49">
        <v>3054590</v>
      </c>
      <c r="L31" s="51">
        <f t="shared" si="8"/>
        <v>3054590</v>
      </c>
      <c r="M31" s="49">
        <v>4205678</v>
      </c>
      <c r="N31" s="49">
        <v>4184993</v>
      </c>
      <c r="O31" s="49">
        <v>4083757</v>
      </c>
      <c r="P31" s="49">
        <v>3728849</v>
      </c>
      <c r="Q31" s="51">
        <f t="shared" si="9"/>
        <v>3728849</v>
      </c>
      <c r="R31" s="49">
        <v>3797797</v>
      </c>
      <c r="S31" s="49">
        <v>3755678</v>
      </c>
      <c r="T31" s="49">
        <v>3954371</v>
      </c>
      <c r="U31" s="49">
        <v>3549045</v>
      </c>
      <c r="V31" s="51">
        <f t="shared" si="10"/>
        <v>3549045</v>
      </c>
      <c r="W31" s="49">
        <v>3471473</v>
      </c>
      <c r="X31" s="49">
        <v>3575116</v>
      </c>
      <c r="Y31" s="49">
        <v>4063798</v>
      </c>
      <c r="Z31" s="49">
        <v>4665206</v>
      </c>
      <c r="AA31" s="51">
        <f t="shared" si="11"/>
        <v>4665206</v>
      </c>
      <c r="AB31" s="49">
        <v>7089189</v>
      </c>
      <c r="AC31" s="49">
        <v>7633823</v>
      </c>
      <c r="AD31" s="49">
        <f>8639792</f>
        <v>8639792</v>
      </c>
      <c r="AE31" s="49">
        <v>9425118</v>
      </c>
      <c r="AF31" s="51">
        <f t="shared" si="21"/>
        <v>9425118</v>
      </c>
      <c r="AG31" s="51">
        <f ca="1">'CAPEX, D&amp;A, Imob&amp;Intang'!AG16</f>
        <v>10712373.093454566</v>
      </c>
      <c r="AH31" s="51">
        <f ca="1">'CAPEX, D&amp;A, Imob&amp;Intang'!AH16</f>
        <v>11759458.400594095</v>
      </c>
      <c r="AI31" s="51">
        <f ca="1">'CAPEX, D&amp;A, Imob&amp;Intang'!AI16</f>
        <v>12152169.045969533</v>
      </c>
      <c r="AJ31" s="51">
        <f ca="1">'CAPEX, D&amp;A, Imob&amp;Intang'!AJ16</f>
        <v>12359828.336814087</v>
      </c>
      <c r="AK31" s="51">
        <f ca="1">'CAPEX, D&amp;A, Imob&amp;Intang'!AK16</f>
        <v>12011613.909347329</v>
      </c>
      <c r="AL31" s="51">
        <f ca="1">'CAPEX, D&amp;A, Imob&amp;Intang'!AL16</f>
        <v>11689149.838452619</v>
      </c>
      <c r="AM31" s="51">
        <f ca="1">'CAPEX, D&amp;A, Imob&amp;Intang'!AM16</f>
        <v>10314197.803534396</v>
      </c>
      <c r="AN31" s="51">
        <f ca="1">'CAPEX, D&amp;A, Imob&amp;Intang'!AN16</f>
        <v>9143430.6870687343</v>
      </c>
      <c r="AO31" s="51">
        <f ca="1">'CAPEX, D&amp;A, Imob&amp;Intang'!AO16</f>
        <v>8131828.5622944301</v>
      </c>
      <c r="AP31" s="51">
        <f ca="1">'CAPEX, D&amp;A, Imob&amp;Intang'!AP16</f>
        <v>7247492.4772802442</v>
      </c>
      <c r="AQ31" s="51">
        <f ca="1">'CAPEX, D&amp;A, Imob&amp;Intang'!AQ16</f>
        <v>6486746.4430551575</v>
      </c>
      <c r="AR31" s="51">
        <f ca="1">'CAPEX, D&amp;A, Imob&amp;Intang'!AR16</f>
        <v>5846165.2513176044</v>
      </c>
      <c r="AS31" s="51">
        <f ca="1">'CAPEX, D&amp;A, Imob&amp;Intang'!AS16</f>
        <v>5304259.0376492692</v>
      </c>
      <c r="AT31" s="51">
        <f ca="1">'CAPEX, D&amp;A, Imob&amp;Intang'!AT16</f>
        <v>4716045.3644397371</v>
      </c>
      <c r="AU31" s="51">
        <f ca="1">'CAPEX, D&amp;A, Imob&amp;Intang'!AU16</f>
        <v>4210144.6529039787</v>
      </c>
      <c r="AV31" s="51">
        <f ca="1">'CAPEX, D&amp;A, Imob&amp;Intang'!AV16</f>
        <v>3830457.2189468206</v>
      </c>
      <c r="AW31" s="51">
        <f ca="1">'CAPEX, D&amp;A, Imob&amp;Intang'!AW16</f>
        <v>3498745.7076198594</v>
      </c>
      <c r="AX31" s="51">
        <f ca="1">'CAPEX, D&amp;A, Imob&amp;Intang'!AX16</f>
        <v>3206804.5654757586</v>
      </c>
      <c r="AY31" s="51">
        <f ca="1">'CAPEX, D&amp;A, Imob&amp;Intang'!AY16</f>
        <v>2950868.3843430793</v>
      </c>
      <c r="AZ31" s="51">
        <f ca="1">'CAPEX, D&amp;A, Imob&amp;Intang'!AZ16</f>
        <v>2718273.7968699951</v>
      </c>
      <c r="BA31" s="51">
        <f ca="1">'CAPEX, D&amp;A, Imob&amp;Intang'!BA16</f>
        <v>2513395.3889857838</v>
      </c>
      <c r="BB31" s="51">
        <f ca="1">'CAPEX, D&amp;A, Imob&amp;Intang'!BB16</f>
        <v>2312799.4689431032</v>
      </c>
      <c r="BC31" s="51">
        <f ca="1">'CAPEX, D&amp;A, Imob&amp;Intang'!BC16</f>
        <v>2105319.3797706757</v>
      </c>
      <c r="BD31" s="51">
        <f ca="1">'CAPEX, D&amp;A, Imob&amp;Intang'!BD16</f>
        <v>1879081.7621297701</v>
      </c>
      <c r="BE31" s="51">
        <f ca="1">'CAPEX, D&amp;A, Imob&amp;Intang'!BE16</f>
        <v>1645076.9957952136</v>
      </c>
      <c r="BF31" s="51">
        <f ca="1">'CAPEX, D&amp;A, Imob&amp;Intang'!BF16</f>
        <v>1363348.8665936277</v>
      </c>
      <c r="BG31" s="51">
        <f ca="1">'CAPEX, D&amp;A, Imob&amp;Intang'!BG16</f>
        <v>710623.065370925</v>
      </c>
      <c r="BH31" s="51">
        <f ca="1">'CAPEX, D&amp;A, Imob&amp;Intang'!BH16</f>
        <v>301441</v>
      </c>
      <c r="BI31" s="51">
        <f ca="1">'CAPEX, D&amp;A, Imob&amp;Intang'!BI16</f>
        <v>301441</v>
      </c>
      <c r="BJ31" s="51">
        <f ca="1">'CAPEX, D&amp;A, Imob&amp;Intang'!BJ16</f>
        <v>301441</v>
      </c>
      <c r="BK31" s="51">
        <f ca="1">'CAPEX, D&amp;A, Imob&amp;Intang'!BK16</f>
        <v>301441</v>
      </c>
      <c r="BL31" s="51">
        <f ca="1">'CAPEX, D&amp;A, Imob&amp;Intang'!BL16</f>
        <v>301441</v>
      </c>
      <c r="BM31" s="51">
        <f ca="1">'CAPEX, D&amp;A, Imob&amp;Intang'!BM16</f>
        <v>301441</v>
      </c>
      <c r="BN31" s="51">
        <f ca="1">'CAPEX, D&amp;A, Imob&amp;Intang'!BN16</f>
        <v>301441</v>
      </c>
      <c r="BO31" s="51">
        <f ca="1">'CAPEX, D&amp;A, Imob&amp;Intang'!BO16</f>
        <v>301441</v>
      </c>
      <c r="BP31" s="51">
        <f ca="1">'CAPEX, D&amp;A, Imob&amp;Intang'!BP16</f>
        <v>301441</v>
      </c>
      <c r="BQ31" s="51">
        <f ca="1">'CAPEX, D&amp;A, Imob&amp;Intang'!BQ16</f>
        <v>301441</v>
      </c>
      <c r="BR31" s="51">
        <f ca="1">'CAPEX, D&amp;A, Imob&amp;Intang'!BR16</f>
        <v>301441</v>
      </c>
      <c r="BS31" s="51">
        <f ca="1">'CAPEX, D&amp;A, Imob&amp;Intang'!BS16</f>
        <v>301441</v>
      </c>
      <c r="BT31" s="51">
        <f ca="1">'CAPEX, D&amp;A, Imob&amp;Intang'!BT16</f>
        <v>301441</v>
      </c>
      <c r="BU31" s="51">
        <f ca="1">'CAPEX, D&amp;A, Imob&amp;Intang'!BU16</f>
        <v>301441</v>
      </c>
      <c r="BV31" s="51">
        <f ca="1">'CAPEX, D&amp;A, Imob&amp;Intang'!BV16</f>
        <v>301441</v>
      </c>
      <c r="BW31" s="51">
        <f ca="1">'CAPEX, D&amp;A, Imob&amp;Intang'!BW16</f>
        <v>301441</v>
      </c>
    </row>
    <row r="32" spans="1:75" x14ac:dyDescent="0.3">
      <c r="A32" s="1" t="s">
        <v>134</v>
      </c>
      <c r="B32" s="47" t="s">
        <v>135</v>
      </c>
      <c r="C32" s="49">
        <v>261239</v>
      </c>
      <c r="D32" s="49">
        <v>309432</v>
      </c>
      <c r="E32" s="49">
        <v>346504</v>
      </c>
      <c r="F32" s="49">
        <v>140949</v>
      </c>
      <c r="G32" s="51">
        <f t="shared" si="7"/>
        <v>140949</v>
      </c>
      <c r="H32" s="49">
        <v>1003370</v>
      </c>
      <c r="I32" s="49">
        <v>756788</v>
      </c>
      <c r="J32" s="49">
        <v>608776</v>
      </c>
      <c r="K32" s="49">
        <v>689529</v>
      </c>
      <c r="L32" s="51">
        <f t="shared" si="8"/>
        <v>689529</v>
      </c>
      <c r="M32" s="49">
        <v>809886</v>
      </c>
      <c r="N32" s="49">
        <v>811048</v>
      </c>
      <c r="O32" s="49">
        <v>1090455</v>
      </c>
      <c r="P32" s="49">
        <v>956866</v>
      </c>
      <c r="Q32" s="51">
        <f t="shared" si="9"/>
        <v>956866</v>
      </c>
      <c r="R32" s="49">
        <v>1127624</v>
      </c>
      <c r="S32" s="49">
        <v>1016015</v>
      </c>
      <c r="T32" s="49">
        <v>1788163</v>
      </c>
      <c r="U32" s="49">
        <v>1742326</v>
      </c>
      <c r="V32" s="51">
        <f t="shared" si="10"/>
        <v>1742326</v>
      </c>
      <c r="W32" s="49">
        <v>1471723</v>
      </c>
      <c r="X32" s="49">
        <v>3092047</v>
      </c>
      <c r="Y32" s="49">
        <v>3133222</v>
      </c>
      <c r="Z32" s="49">
        <v>2833955</v>
      </c>
      <c r="AA32" s="51">
        <f t="shared" si="11"/>
        <v>2833955</v>
      </c>
      <c r="AB32" s="49">
        <v>12437080</v>
      </c>
      <c r="AC32" s="49">
        <v>12087324</v>
      </c>
      <c r="AD32" s="49">
        <v>12224017</v>
      </c>
      <c r="AE32" s="49">
        <v>10914878</v>
      </c>
      <c r="AF32" s="51">
        <f t="shared" si="21"/>
        <v>10914878</v>
      </c>
      <c r="AG32" s="51">
        <f ca="1">'CAPEX, D&amp;A, Imob&amp;Intang'!AG56</f>
        <v>10050578.634520352</v>
      </c>
      <c r="AH32" s="51">
        <f ca="1">'CAPEX, D&amp;A, Imob&amp;Intang'!AH56</f>
        <v>9126629.2316554803</v>
      </c>
      <c r="AI32" s="51">
        <f ca="1">'CAPEX, D&amp;A, Imob&amp;Intang'!AI56</f>
        <v>8147113.1249775933</v>
      </c>
      <c r="AJ32" s="51">
        <f ca="1">'CAPEX, D&amp;A, Imob&amp;Intang'!AJ56</f>
        <v>7176642.3472081479</v>
      </c>
      <c r="AK32" s="51">
        <f ca="1">'CAPEX, D&amp;A, Imob&amp;Intang'!AK56</f>
        <v>6189742.6180731775</v>
      </c>
      <c r="AL32" s="51">
        <f ca="1">'CAPEX, D&amp;A, Imob&amp;Intang'!AL56</f>
        <v>5298466.9207898444</v>
      </c>
      <c r="AM32" s="51">
        <f ca="1">'CAPEX, D&amp;A, Imob&amp;Intang'!AM56</f>
        <v>4549475.8452820657</v>
      </c>
      <c r="AN32" s="51">
        <f ca="1">'CAPEX, D&amp;A, Imob&amp;Intang'!AN56</f>
        <v>3907626.4912461597</v>
      </c>
      <c r="AO32" s="51">
        <f ca="1">'CAPEX, D&amp;A, Imob&amp;Intang'!AO56</f>
        <v>3350465.8971540187</v>
      </c>
      <c r="AP32" s="51">
        <f ca="1">'CAPEX, D&amp;A, Imob&amp;Intang'!AP56</f>
        <v>2862291.2314348267</v>
      </c>
      <c r="AQ32" s="51">
        <f ca="1">'CAPEX, D&amp;A, Imob&amp;Intang'!AQ56</f>
        <v>2439903.6966751316</v>
      </c>
      <c r="AR32" s="51">
        <f ca="1">'CAPEX, D&amp;A, Imob&amp;Intang'!AR56</f>
        <v>2079840.4951192287</v>
      </c>
      <c r="AS32" s="51">
        <f ca="1">'CAPEX, D&amp;A, Imob&amp;Intang'!AS56</f>
        <v>1771402.0212880429</v>
      </c>
      <c r="AT32" s="51">
        <f ca="1">'CAPEX, D&amp;A, Imob&amp;Intang'!AT56</f>
        <v>1500410.5981846256</v>
      </c>
      <c r="AU32" s="51">
        <f ca="1">'CAPEX, D&amp;A, Imob&amp;Intang'!AU56</f>
        <v>1266460.7822799424</v>
      </c>
      <c r="AV32" s="51">
        <f ca="1">'CAPEX, D&amp;A, Imob&amp;Intang'!AV56</f>
        <v>1082552.1059828191</v>
      </c>
      <c r="AW32" s="51">
        <f ca="1">'CAPEX, D&amp;A, Imob&amp;Intang'!AW56</f>
        <v>921423.43341692584</v>
      </c>
      <c r="AX32" s="51">
        <f ca="1">'CAPEX, D&amp;A, Imob&amp;Intang'!AX56</f>
        <v>779841.76209064899</v>
      </c>
      <c r="AY32" s="51">
        <f ca="1">'CAPEX, D&amp;A, Imob&amp;Intang'!AY56</f>
        <v>656034.15515374904</v>
      </c>
      <c r="AZ32" s="51">
        <f ca="1">'CAPEX, D&amp;A, Imob&amp;Intang'!AZ56</f>
        <v>546082.27318090643</v>
      </c>
      <c r="BA32" s="51">
        <f ca="1">'CAPEX, D&amp;A, Imob&amp;Intang'!BA56</f>
        <v>450582.06133186561</v>
      </c>
      <c r="BB32" s="51">
        <f ca="1">'CAPEX, D&amp;A, Imob&amp;Intang'!BB56</f>
        <v>364035.92550798447</v>
      </c>
      <c r="BC32" s="51">
        <f ca="1">'CAPEX, D&amp;A, Imob&amp;Intang'!BC56</f>
        <v>284685.82748801704</v>
      </c>
      <c r="BD32" s="51">
        <f ca="1">'CAPEX, D&amp;A, Imob&amp;Intang'!BD56</f>
        <v>211459.06598442333</v>
      </c>
      <c r="BE32" s="51">
        <f ca="1">'CAPEX, D&amp;A, Imob&amp;Intang'!BE56</f>
        <v>147290.67090894456</v>
      </c>
      <c r="BF32" s="51">
        <f ca="1">'CAPEX, D&amp;A, Imob&amp;Intang'!BF56</f>
        <v>88813.55210902488</v>
      </c>
      <c r="BG32" s="51">
        <f ca="1">'CAPEX, D&amp;A, Imob&amp;Intang'!BG56</f>
        <v>34388.860395367148</v>
      </c>
      <c r="BH32" s="51">
        <f ca="1">'CAPEX, D&amp;A, Imob&amp;Intang'!BH56</f>
        <v>271</v>
      </c>
      <c r="BI32" s="51">
        <f ca="1">'CAPEX, D&amp;A, Imob&amp;Intang'!BI56</f>
        <v>271</v>
      </c>
      <c r="BJ32" s="51">
        <f ca="1">'CAPEX, D&amp;A, Imob&amp;Intang'!BJ56</f>
        <v>271</v>
      </c>
      <c r="BK32" s="51">
        <f ca="1">'CAPEX, D&amp;A, Imob&amp;Intang'!BK56</f>
        <v>271</v>
      </c>
      <c r="BL32" s="51">
        <f ca="1">'CAPEX, D&amp;A, Imob&amp;Intang'!BL56</f>
        <v>271</v>
      </c>
      <c r="BM32" s="51">
        <f ca="1">'CAPEX, D&amp;A, Imob&amp;Intang'!BM56</f>
        <v>271</v>
      </c>
      <c r="BN32" s="51">
        <f ca="1">'CAPEX, D&amp;A, Imob&amp;Intang'!BN56</f>
        <v>271</v>
      </c>
      <c r="BO32" s="51">
        <f ca="1">'CAPEX, D&amp;A, Imob&amp;Intang'!BO56</f>
        <v>271</v>
      </c>
      <c r="BP32" s="51">
        <f ca="1">'CAPEX, D&amp;A, Imob&amp;Intang'!BP56</f>
        <v>271</v>
      </c>
      <c r="BQ32" s="51">
        <f ca="1">'CAPEX, D&amp;A, Imob&amp;Intang'!BQ56</f>
        <v>271</v>
      </c>
      <c r="BR32" s="51">
        <f ca="1">'CAPEX, D&amp;A, Imob&amp;Intang'!BR56</f>
        <v>271</v>
      </c>
      <c r="BS32" s="51">
        <f ca="1">'CAPEX, D&amp;A, Imob&amp;Intang'!BS56</f>
        <v>271</v>
      </c>
      <c r="BT32" s="51">
        <f ca="1">'CAPEX, D&amp;A, Imob&amp;Intang'!BT56</f>
        <v>271</v>
      </c>
      <c r="BU32" s="51">
        <f ca="1">'CAPEX, D&amp;A, Imob&amp;Intang'!BU56</f>
        <v>271</v>
      </c>
      <c r="BV32" s="51">
        <f ca="1">'CAPEX, D&amp;A, Imob&amp;Intang'!BV56</f>
        <v>271</v>
      </c>
      <c r="BW32" s="51">
        <f ca="1">'CAPEX, D&amp;A, Imob&amp;Intang'!BW56</f>
        <v>271</v>
      </c>
    </row>
    <row r="35" spans="1:75" s="208" customFormat="1" x14ac:dyDescent="0.3">
      <c r="A35" s="207" t="s">
        <v>173</v>
      </c>
    </row>
    <row r="37" spans="1:75" x14ac:dyDescent="0.3">
      <c r="A37" s="1" t="s">
        <v>108</v>
      </c>
      <c r="B37" s="1" t="s">
        <v>109</v>
      </c>
    </row>
    <row r="38" spans="1:75" x14ac:dyDescent="0.3">
      <c r="A38" s="35">
        <v>2</v>
      </c>
      <c r="B38" s="38" t="s">
        <v>1172</v>
      </c>
      <c r="C38" s="48">
        <f t="shared" ref="C38:AC38" si="35">C39+C48+C54</f>
        <v>1228426</v>
      </c>
      <c r="D38" s="48">
        <f t="shared" si="35"/>
        <v>1459604</v>
      </c>
      <c r="E38" s="48">
        <f t="shared" si="35"/>
        <v>1279999</v>
      </c>
      <c r="F38" s="48">
        <f t="shared" si="35"/>
        <v>1516180</v>
      </c>
      <c r="G38" s="48">
        <f t="shared" si="35"/>
        <v>1516180</v>
      </c>
      <c r="H38" s="48">
        <f t="shared" si="35"/>
        <v>4332603</v>
      </c>
      <c r="I38" s="48">
        <f t="shared" si="35"/>
        <v>4387144</v>
      </c>
      <c r="J38" s="48">
        <f t="shared" si="35"/>
        <v>4596221</v>
      </c>
      <c r="K38" s="48">
        <f t="shared" si="35"/>
        <v>5489751</v>
      </c>
      <c r="L38" s="48">
        <f t="shared" si="35"/>
        <v>5489751</v>
      </c>
      <c r="M38" s="48">
        <f t="shared" si="35"/>
        <v>6984388</v>
      </c>
      <c r="N38" s="48">
        <f t="shared" si="35"/>
        <v>6660586</v>
      </c>
      <c r="O38" s="48">
        <f t="shared" si="35"/>
        <v>7055431</v>
      </c>
      <c r="P38" s="48">
        <f t="shared" si="35"/>
        <v>6792833</v>
      </c>
      <c r="Q38" s="48">
        <f t="shared" si="35"/>
        <v>6792833</v>
      </c>
      <c r="R38" s="48">
        <f t="shared" si="35"/>
        <v>9341748</v>
      </c>
      <c r="S38" s="48">
        <f t="shared" si="35"/>
        <v>10504500</v>
      </c>
      <c r="T38" s="48">
        <f t="shared" si="35"/>
        <v>11445166</v>
      </c>
      <c r="U38" s="48">
        <f t="shared" si="35"/>
        <v>12221416</v>
      </c>
      <c r="V38" s="48">
        <f t="shared" si="35"/>
        <v>12221416</v>
      </c>
      <c r="W38" s="48">
        <f t="shared" si="35"/>
        <v>12862921</v>
      </c>
      <c r="X38" s="48">
        <f t="shared" si="35"/>
        <v>16292271</v>
      </c>
      <c r="Y38" s="48">
        <f t="shared" si="35"/>
        <v>19920152</v>
      </c>
      <c r="Z38" s="48">
        <f t="shared" si="35"/>
        <v>20302520</v>
      </c>
      <c r="AA38" s="48">
        <f t="shared" si="35"/>
        <v>20302520</v>
      </c>
      <c r="AB38" s="48">
        <f t="shared" si="35"/>
        <v>25623115</v>
      </c>
      <c r="AC38" s="48">
        <f t="shared" si="35"/>
        <v>25991952</v>
      </c>
      <c r="AD38" s="48">
        <f t="shared" ref="AD38" si="36">AD39+AD48+AD54</f>
        <v>28521683</v>
      </c>
      <c r="AE38" s="48">
        <f>AE39+AE48+AE54</f>
        <v>28310932</v>
      </c>
      <c r="AF38" s="48">
        <f t="shared" ref="AF38:AF61" si="37">AE38</f>
        <v>28310932</v>
      </c>
      <c r="AG38" s="48">
        <f t="shared" ref="AG38:BW38" ca="1" si="38">AG39+AG48+AG54</f>
        <v>31581084.05536069</v>
      </c>
      <c r="AH38" s="48">
        <f t="shared" ca="1" si="38"/>
        <v>33572063.786920846</v>
      </c>
      <c r="AI38" s="48">
        <f t="shared" ca="1" si="38"/>
        <v>33170491.916666426</v>
      </c>
      <c r="AJ38" s="48">
        <f t="shared" ca="1" si="38"/>
        <v>32687196.773798212</v>
      </c>
      <c r="AK38" s="48">
        <f t="shared" ca="1" si="38"/>
        <v>30986194.695977062</v>
      </c>
      <c r="AL38" s="48">
        <f t="shared" ca="1" si="38"/>
        <v>29886381.469726615</v>
      </c>
      <c r="AM38" s="48">
        <f t="shared" ca="1" si="38"/>
        <v>26916798.672987547</v>
      </c>
      <c r="AN38" s="48">
        <f t="shared" ca="1" si="38"/>
        <v>23832107.407617748</v>
      </c>
      <c r="AO38" s="48">
        <f t="shared" ca="1" si="38"/>
        <v>21433823.389629684</v>
      </c>
      <c r="AP38" s="48">
        <f t="shared" ca="1" si="38"/>
        <v>19395570.101802319</v>
      </c>
      <c r="AQ38" s="48">
        <f t="shared" ca="1" si="38"/>
        <v>17650434.644394003</v>
      </c>
      <c r="AR38" s="48">
        <f t="shared" ca="1" si="38"/>
        <v>16079098.396633603</v>
      </c>
      <c r="AS38" s="48">
        <f t="shared" ca="1" si="38"/>
        <v>14649459.921516705</v>
      </c>
      <c r="AT38" s="48">
        <f t="shared" ca="1" si="38"/>
        <v>13302848.899551481</v>
      </c>
      <c r="AU38" s="48">
        <f t="shared" ca="1" si="38"/>
        <v>12209966.630380344</v>
      </c>
      <c r="AV38" s="48">
        <f t="shared" ca="1" si="38"/>
        <v>11341947.527887326</v>
      </c>
      <c r="AW38" s="48">
        <f t="shared" ca="1" si="38"/>
        <v>10246534.499615597</v>
      </c>
      <c r="AX38" s="48">
        <f t="shared" ca="1" si="38"/>
        <v>9562785.4872837961</v>
      </c>
      <c r="AY38" s="48">
        <f t="shared" ca="1" si="38"/>
        <v>8961601.1517826784</v>
      </c>
      <c r="AZ38" s="48">
        <f t="shared" ca="1" si="38"/>
        <v>8409594.1230936684</v>
      </c>
      <c r="BA38" s="48">
        <f t="shared" ca="1" si="38"/>
        <v>7945696.9763738383</v>
      </c>
      <c r="BB38" s="48">
        <f t="shared" ca="1" si="38"/>
        <v>7476886.71284167</v>
      </c>
      <c r="BC38" s="48">
        <f t="shared" ca="1" si="38"/>
        <v>7086174.0300291702</v>
      </c>
      <c r="BD38" s="48">
        <f t="shared" ca="1" si="38"/>
        <v>6705604.7400650047</v>
      </c>
      <c r="BE38" s="48">
        <f t="shared" ca="1" si="38"/>
        <v>6337949.9291409384</v>
      </c>
      <c r="BF38" s="48">
        <f t="shared" ca="1" si="38"/>
        <v>5871608.284265521</v>
      </c>
      <c r="BG38" s="48">
        <f t="shared" ca="1" si="38"/>
        <v>5092704.2069542576</v>
      </c>
      <c r="BH38" s="48">
        <f t="shared" ca="1" si="38"/>
        <v>4604108.8570890557</v>
      </c>
      <c r="BI38" s="48">
        <f t="shared" ca="1" si="38"/>
        <v>4227782.6406060979</v>
      </c>
      <c r="BJ38" s="48">
        <f t="shared" ca="1" si="38"/>
        <v>3542103</v>
      </c>
      <c r="BK38" s="48">
        <f t="shared" ca="1" si="38"/>
        <v>3542103</v>
      </c>
      <c r="BL38" s="48">
        <f t="shared" ca="1" si="38"/>
        <v>3542103</v>
      </c>
      <c r="BM38" s="48">
        <f t="shared" ca="1" si="38"/>
        <v>3542103</v>
      </c>
      <c r="BN38" s="48">
        <f t="shared" ca="1" si="38"/>
        <v>3542103</v>
      </c>
      <c r="BO38" s="48">
        <f t="shared" ca="1" si="38"/>
        <v>3542103</v>
      </c>
      <c r="BP38" s="48">
        <f t="shared" ca="1" si="38"/>
        <v>3542103</v>
      </c>
      <c r="BQ38" s="48">
        <f t="shared" ca="1" si="38"/>
        <v>3542103</v>
      </c>
      <c r="BR38" s="48">
        <f t="shared" ca="1" si="38"/>
        <v>3542103</v>
      </c>
      <c r="BS38" s="48">
        <f t="shared" ca="1" si="38"/>
        <v>3542103</v>
      </c>
      <c r="BT38" s="48">
        <f t="shared" ca="1" si="38"/>
        <v>3542103</v>
      </c>
      <c r="BU38" s="48">
        <f t="shared" ca="1" si="38"/>
        <v>3542103</v>
      </c>
      <c r="BV38" s="48">
        <f t="shared" ca="1" si="38"/>
        <v>3542103</v>
      </c>
      <c r="BW38" s="48">
        <f t="shared" ca="1" si="38"/>
        <v>3542103</v>
      </c>
    </row>
    <row r="39" spans="1:75" s="38" customFormat="1" x14ac:dyDescent="0.3">
      <c r="A39" s="1" t="s">
        <v>139</v>
      </c>
      <c r="B39" s="64" t="s">
        <v>140</v>
      </c>
      <c r="C39" s="48">
        <f t="shared" ref="C39:AC39" si="39">C40+C41+C43+C44+C46+C47+C45</f>
        <v>187516</v>
      </c>
      <c r="D39" s="48">
        <f t="shared" si="39"/>
        <v>348923</v>
      </c>
      <c r="E39" s="48">
        <f t="shared" si="39"/>
        <v>167482</v>
      </c>
      <c r="F39" s="48">
        <f t="shared" si="39"/>
        <v>370986</v>
      </c>
      <c r="G39" s="48">
        <f t="shared" si="39"/>
        <v>370986</v>
      </c>
      <c r="H39" s="48">
        <f t="shared" si="39"/>
        <v>922201</v>
      </c>
      <c r="I39" s="48">
        <f t="shared" si="39"/>
        <v>879977</v>
      </c>
      <c r="J39" s="48">
        <f t="shared" si="39"/>
        <v>1137572</v>
      </c>
      <c r="K39" s="48">
        <f t="shared" si="39"/>
        <v>1669783</v>
      </c>
      <c r="L39" s="48">
        <f t="shared" si="39"/>
        <v>1669783</v>
      </c>
      <c r="M39" s="48">
        <f t="shared" si="39"/>
        <v>2322377</v>
      </c>
      <c r="N39" s="48">
        <f t="shared" si="39"/>
        <v>1907633</v>
      </c>
      <c r="O39" s="48">
        <f t="shared" si="39"/>
        <v>2050218</v>
      </c>
      <c r="P39" s="48">
        <f t="shared" si="39"/>
        <v>2149449</v>
      </c>
      <c r="Q39" s="48">
        <f t="shared" si="39"/>
        <v>2149449</v>
      </c>
      <c r="R39" s="48">
        <f t="shared" si="39"/>
        <v>2354059</v>
      </c>
      <c r="S39" s="48">
        <f t="shared" si="39"/>
        <v>905094</v>
      </c>
      <c r="T39" s="48">
        <f t="shared" si="39"/>
        <v>1225154</v>
      </c>
      <c r="U39" s="48">
        <f t="shared" si="39"/>
        <v>1085997</v>
      </c>
      <c r="V39" s="48">
        <f t="shared" si="39"/>
        <v>1085997</v>
      </c>
      <c r="W39" s="48">
        <f t="shared" si="39"/>
        <v>904949</v>
      </c>
      <c r="X39" s="48">
        <f t="shared" si="39"/>
        <v>972762</v>
      </c>
      <c r="Y39" s="48">
        <f t="shared" si="39"/>
        <v>1422362</v>
      </c>
      <c r="Z39" s="48">
        <f t="shared" si="39"/>
        <v>1387739</v>
      </c>
      <c r="AA39" s="48">
        <f t="shared" si="39"/>
        <v>1387739</v>
      </c>
      <c r="AB39" s="48">
        <f t="shared" si="39"/>
        <v>3177777</v>
      </c>
      <c r="AC39" s="48">
        <f t="shared" si="39"/>
        <v>4067412</v>
      </c>
      <c r="AD39" s="48">
        <f>AD40+AD41+AD43+AD44+AD46+AD47+AD45</f>
        <v>3857691</v>
      </c>
      <c r="AE39" s="48">
        <f t="shared" ref="AE39" si="40">AE40+AE41+AE43+AE44+AE46+AE47+AE45</f>
        <v>3463811</v>
      </c>
      <c r="AF39" s="48">
        <f t="shared" si="37"/>
        <v>3463811</v>
      </c>
      <c r="AG39" s="48">
        <f t="shared" ref="AG39:BW39" ca="1" si="41">AG40+AG41+AG43+AG44+AG46+AG47+AG45</f>
        <v>3393754.389859234</v>
      </c>
      <c r="AH39" s="48">
        <f t="shared" ca="1" si="41"/>
        <v>3373098.6017206488</v>
      </c>
      <c r="AI39" s="48">
        <f t="shared" ca="1" si="41"/>
        <v>2749867.5144570186</v>
      </c>
      <c r="AJ39" s="48">
        <f t="shared" ca="1" si="41"/>
        <v>2685136.1776392334</v>
      </c>
      <c r="AK39" s="48">
        <f t="shared" ca="1" si="41"/>
        <v>2488403.9060566025</v>
      </c>
      <c r="AL39" s="48">
        <f t="shared" ca="1" si="41"/>
        <v>2558852.5663363412</v>
      </c>
      <c r="AM39" s="48">
        <f t="shared" ca="1" si="41"/>
        <v>2456216.4577874104</v>
      </c>
      <c r="AN39" s="48">
        <f t="shared" ca="1" si="41"/>
        <v>2272332.764187315</v>
      </c>
      <c r="AO39" s="48">
        <f t="shared" ca="1" si="41"/>
        <v>2130548.1137365028</v>
      </c>
      <c r="AP39" s="48">
        <f t="shared" ca="1" si="41"/>
        <v>2022732.2881360506</v>
      </c>
      <c r="AQ39" s="48">
        <f t="shared" ca="1" si="41"/>
        <v>1931607.0931174327</v>
      </c>
      <c r="AR39" s="48">
        <f t="shared" ca="1" si="41"/>
        <v>1839866.2041988834</v>
      </c>
      <c r="AS39" s="48">
        <f t="shared" ca="1" si="41"/>
        <v>1746405.7233011171</v>
      </c>
      <c r="AT39" s="48">
        <f t="shared" ca="1" si="41"/>
        <v>1670569.472492883</v>
      </c>
      <c r="AU39" s="48">
        <f t="shared" ca="1" si="41"/>
        <v>1615239.7161875828</v>
      </c>
      <c r="AV39" s="48">
        <f t="shared" ca="1" si="41"/>
        <v>1556855.2112726527</v>
      </c>
      <c r="AW39" s="48">
        <f t="shared" ca="1" si="41"/>
        <v>1466682.7121677063</v>
      </c>
      <c r="AX39" s="48">
        <f t="shared" ca="1" si="41"/>
        <v>1430714.5358859943</v>
      </c>
      <c r="AY39" s="48">
        <f t="shared" ca="1" si="41"/>
        <v>1398221.0206213908</v>
      </c>
      <c r="AZ39" s="48">
        <f t="shared" ca="1" si="41"/>
        <v>1367464.621067523</v>
      </c>
      <c r="BA39" s="48">
        <f t="shared" ca="1" si="41"/>
        <v>1342980.4177785255</v>
      </c>
      <c r="BB39" s="48">
        <f t="shared" ca="1" si="41"/>
        <v>1316787.7760517846</v>
      </c>
      <c r="BC39" s="48">
        <f t="shared" ca="1" si="41"/>
        <v>1301590.4777218972</v>
      </c>
      <c r="BD39" s="48">
        <f t="shared" ca="1" si="41"/>
        <v>1289734.1918053417</v>
      </c>
      <c r="BE39" s="48">
        <f t="shared" ca="1" si="41"/>
        <v>1279254.0858700217</v>
      </c>
      <c r="BF39" s="48">
        <f t="shared" ca="1" si="41"/>
        <v>1261144.2336222001</v>
      </c>
      <c r="BG39" s="48">
        <f t="shared" ca="1" si="41"/>
        <v>1250552.2546961107</v>
      </c>
      <c r="BH39" s="48">
        <f t="shared" ca="1" si="41"/>
        <v>1243847.0490336407</v>
      </c>
      <c r="BI39" s="48">
        <f t="shared" ca="1" si="41"/>
        <v>1188533.8761148572</v>
      </c>
      <c r="BJ39" s="48">
        <f t="shared" ca="1" si="41"/>
        <v>1088506</v>
      </c>
      <c r="BK39" s="48">
        <f t="shared" ca="1" si="41"/>
        <v>1088506</v>
      </c>
      <c r="BL39" s="48">
        <f t="shared" ca="1" si="41"/>
        <v>1088506</v>
      </c>
      <c r="BM39" s="48">
        <f t="shared" ca="1" si="41"/>
        <v>1088506</v>
      </c>
      <c r="BN39" s="48">
        <f t="shared" ca="1" si="41"/>
        <v>1088506</v>
      </c>
      <c r="BO39" s="48">
        <f t="shared" ca="1" si="41"/>
        <v>1088506</v>
      </c>
      <c r="BP39" s="48">
        <f t="shared" ca="1" si="41"/>
        <v>1088506</v>
      </c>
      <c r="BQ39" s="48">
        <f t="shared" ca="1" si="41"/>
        <v>1088506</v>
      </c>
      <c r="BR39" s="48">
        <f t="shared" ca="1" si="41"/>
        <v>1088506</v>
      </c>
      <c r="BS39" s="48">
        <f t="shared" ca="1" si="41"/>
        <v>1088506</v>
      </c>
      <c r="BT39" s="48">
        <f t="shared" ca="1" si="41"/>
        <v>1088506</v>
      </c>
      <c r="BU39" s="48">
        <f t="shared" ca="1" si="41"/>
        <v>1088506</v>
      </c>
      <c r="BV39" s="48">
        <f t="shared" ca="1" si="41"/>
        <v>1088506</v>
      </c>
      <c r="BW39" s="48">
        <f t="shared" ca="1" si="41"/>
        <v>1088506</v>
      </c>
    </row>
    <row r="40" spans="1:75" x14ac:dyDescent="0.3">
      <c r="A40" s="1" t="s">
        <v>141</v>
      </c>
      <c r="B40" s="42" t="s">
        <v>142</v>
      </c>
      <c r="C40" s="49">
        <v>7074</v>
      </c>
      <c r="D40" s="49">
        <v>7996</v>
      </c>
      <c r="E40" s="49">
        <v>5192</v>
      </c>
      <c r="F40" s="49">
        <v>14923</v>
      </c>
      <c r="G40" s="51">
        <f t="shared" ref="G40:G61" si="42">F40</f>
        <v>14923</v>
      </c>
      <c r="H40" s="49">
        <v>21691</v>
      </c>
      <c r="I40" s="49">
        <v>32618</v>
      </c>
      <c r="J40" s="49">
        <v>36108</v>
      </c>
      <c r="K40" s="49">
        <v>39359</v>
      </c>
      <c r="L40" s="51">
        <f t="shared" ref="L40:L61" si="43">K40</f>
        <v>39359</v>
      </c>
      <c r="M40" s="49">
        <v>40457</v>
      </c>
      <c r="N40" s="49">
        <v>50663</v>
      </c>
      <c r="O40" s="49">
        <v>58054</v>
      </c>
      <c r="P40" s="49">
        <v>54857</v>
      </c>
      <c r="Q40" s="51">
        <f t="shared" ref="Q40:Q61" si="44">P40</f>
        <v>54857</v>
      </c>
      <c r="R40" s="49">
        <v>41101</v>
      </c>
      <c r="S40" s="49">
        <v>74923</v>
      </c>
      <c r="T40" s="49">
        <v>105896</v>
      </c>
      <c r="U40" s="49">
        <v>131475</v>
      </c>
      <c r="V40" s="51">
        <f t="shared" ref="V40:V61" si="45">U40</f>
        <v>131475</v>
      </c>
      <c r="W40" s="49">
        <v>111779</v>
      </c>
      <c r="X40" s="49">
        <v>127701</v>
      </c>
      <c r="Y40" s="49">
        <v>128626</v>
      </c>
      <c r="Z40" s="49">
        <v>138003</v>
      </c>
      <c r="AA40" s="51">
        <f t="shared" ref="AA40:AA61" si="46">Z40</f>
        <v>138003</v>
      </c>
      <c r="AB40" s="49">
        <v>163959</v>
      </c>
      <c r="AC40" s="49">
        <v>180905</v>
      </c>
      <c r="AD40" s="49">
        <v>198965</v>
      </c>
      <c r="AE40" s="49">
        <v>266893</v>
      </c>
      <c r="AF40" s="51">
        <f t="shared" si="37"/>
        <v>266893</v>
      </c>
      <c r="AG40" s="51">
        <f t="shared" ref="AG40:BL40" si="47">AF40</f>
        <v>266893</v>
      </c>
      <c r="AH40" s="51">
        <f t="shared" si="47"/>
        <v>266893</v>
      </c>
      <c r="AI40" s="51">
        <f t="shared" si="47"/>
        <v>266893</v>
      </c>
      <c r="AJ40" s="51">
        <f t="shared" si="47"/>
        <v>266893</v>
      </c>
      <c r="AK40" s="51">
        <f t="shared" si="47"/>
        <v>266893</v>
      </c>
      <c r="AL40" s="51">
        <f t="shared" si="47"/>
        <v>266893</v>
      </c>
      <c r="AM40" s="51">
        <f t="shared" si="47"/>
        <v>266893</v>
      </c>
      <c r="AN40" s="51">
        <f t="shared" si="47"/>
        <v>266893</v>
      </c>
      <c r="AO40" s="51">
        <f t="shared" si="47"/>
        <v>266893</v>
      </c>
      <c r="AP40" s="51">
        <f t="shared" si="47"/>
        <v>266893</v>
      </c>
      <c r="AQ40" s="51">
        <f t="shared" si="47"/>
        <v>266893</v>
      </c>
      <c r="AR40" s="51">
        <f t="shared" si="47"/>
        <v>266893</v>
      </c>
      <c r="AS40" s="51">
        <f t="shared" si="47"/>
        <v>266893</v>
      </c>
      <c r="AT40" s="51">
        <f t="shared" si="47"/>
        <v>266893</v>
      </c>
      <c r="AU40" s="51">
        <f t="shared" si="47"/>
        <v>266893</v>
      </c>
      <c r="AV40" s="51">
        <f t="shared" si="47"/>
        <v>266893</v>
      </c>
      <c r="AW40" s="51">
        <f t="shared" si="47"/>
        <v>266893</v>
      </c>
      <c r="AX40" s="51">
        <f t="shared" si="47"/>
        <v>266893</v>
      </c>
      <c r="AY40" s="51">
        <f t="shared" si="47"/>
        <v>266893</v>
      </c>
      <c r="AZ40" s="51">
        <f t="shared" si="47"/>
        <v>266893</v>
      </c>
      <c r="BA40" s="51">
        <f t="shared" si="47"/>
        <v>266893</v>
      </c>
      <c r="BB40" s="51">
        <f t="shared" si="47"/>
        <v>266893</v>
      </c>
      <c r="BC40" s="51">
        <f t="shared" si="47"/>
        <v>266893</v>
      </c>
      <c r="BD40" s="51">
        <f t="shared" si="47"/>
        <v>266893</v>
      </c>
      <c r="BE40" s="51">
        <f t="shared" si="47"/>
        <v>266893</v>
      </c>
      <c r="BF40" s="51">
        <f t="shared" si="47"/>
        <v>266893</v>
      </c>
      <c r="BG40" s="51">
        <f t="shared" si="47"/>
        <v>266893</v>
      </c>
      <c r="BH40" s="51">
        <f t="shared" si="47"/>
        <v>266893</v>
      </c>
      <c r="BI40" s="51">
        <f t="shared" si="47"/>
        <v>266893</v>
      </c>
      <c r="BJ40" s="51">
        <f>BI40</f>
        <v>266893</v>
      </c>
      <c r="BK40" s="51">
        <f t="shared" si="47"/>
        <v>266893</v>
      </c>
      <c r="BL40" s="51">
        <f t="shared" si="47"/>
        <v>266893</v>
      </c>
      <c r="BM40" s="51">
        <f t="shared" ref="BM40:BW40" si="48">BL40</f>
        <v>266893</v>
      </c>
      <c r="BN40" s="51">
        <f t="shared" si="48"/>
        <v>266893</v>
      </c>
      <c r="BO40" s="51">
        <f t="shared" si="48"/>
        <v>266893</v>
      </c>
      <c r="BP40" s="51">
        <f t="shared" si="48"/>
        <v>266893</v>
      </c>
      <c r="BQ40" s="51">
        <f t="shared" si="48"/>
        <v>266893</v>
      </c>
      <c r="BR40" s="51">
        <f t="shared" si="48"/>
        <v>266893</v>
      </c>
      <c r="BS40" s="51">
        <f t="shared" si="48"/>
        <v>266893</v>
      </c>
      <c r="BT40" s="51">
        <f t="shared" si="48"/>
        <v>266893</v>
      </c>
      <c r="BU40" s="51">
        <f t="shared" si="48"/>
        <v>266893</v>
      </c>
      <c r="BV40" s="51">
        <f t="shared" si="48"/>
        <v>266893</v>
      </c>
      <c r="BW40" s="51">
        <f t="shared" si="48"/>
        <v>266893</v>
      </c>
    </row>
    <row r="41" spans="1:75" x14ac:dyDescent="0.3">
      <c r="A41" s="1" t="s">
        <v>143</v>
      </c>
      <c r="B41" s="42" t="s">
        <v>144</v>
      </c>
      <c r="C41" s="49">
        <v>72888</v>
      </c>
      <c r="D41" s="49">
        <v>91620</v>
      </c>
      <c r="E41" s="49">
        <v>92833</v>
      </c>
      <c r="F41" s="49">
        <v>73258</v>
      </c>
      <c r="G41" s="51">
        <f t="shared" si="42"/>
        <v>73258</v>
      </c>
      <c r="H41" s="49">
        <v>127426</v>
      </c>
      <c r="I41" s="49">
        <v>126570</v>
      </c>
      <c r="J41" s="49">
        <v>129731</v>
      </c>
      <c r="K41" s="49">
        <v>87232</v>
      </c>
      <c r="L41" s="51">
        <f t="shared" si="43"/>
        <v>87232</v>
      </c>
      <c r="M41" s="49">
        <v>110976</v>
      </c>
      <c r="N41" s="49">
        <v>139859</v>
      </c>
      <c r="O41" s="49">
        <v>281408</v>
      </c>
      <c r="P41" s="49">
        <v>236889</v>
      </c>
      <c r="Q41" s="51">
        <f t="shared" si="44"/>
        <v>236889</v>
      </c>
      <c r="R41" s="49">
        <v>119524</v>
      </c>
      <c r="S41" s="49">
        <v>152400</v>
      </c>
      <c r="T41" s="49">
        <v>204816</v>
      </c>
      <c r="U41" s="49">
        <v>292204</v>
      </c>
      <c r="V41" s="51">
        <f t="shared" si="45"/>
        <v>292204</v>
      </c>
      <c r="W41" s="49">
        <v>262789</v>
      </c>
      <c r="X41" s="49">
        <v>316734</v>
      </c>
      <c r="Y41" s="49">
        <v>334084</v>
      </c>
      <c r="Z41" s="49">
        <v>565926</v>
      </c>
      <c r="AA41" s="51">
        <f t="shared" si="46"/>
        <v>565926</v>
      </c>
      <c r="AB41" s="49">
        <v>605633</v>
      </c>
      <c r="AC41" s="49">
        <v>757359</v>
      </c>
      <c r="AD41" s="49">
        <v>638038</v>
      </c>
      <c r="AE41" s="49">
        <v>834778</v>
      </c>
      <c r="AF41" s="51">
        <f t="shared" si="37"/>
        <v>834778</v>
      </c>
      <c r="AG41" s="51">
        <f t="shared" ref="AG41:BW41" ca="1" si="49">AG8/AG9*AG42</f>
        <v>835622.63900439651</v>
      </c>
      <c r="AH41" s="51">
        <f t="shared" ca="1" si="49"/>
        <v>1139372.0885059272</v>
      </c>
      <c r="AI41" s="51">
        <f t="shared" ca="1" si="49"/>
        <v>1259323.9092905615</v>
      </c>
      <c r="AJ41" s="51">
        <f t="shared" ca="1" si="49"/>
        <v>1372673.3531060559</v>
      </c>
      <c r="AK41" s="51">
        <f t="shared" ca="1" si="49"/>
        <v>1399897.9060566027</v>
      </c>
      <c r="AL41" s="51">
        <f t="shared" ca="1" si="49"/>
        <v>1470346.566336341</v>
      </c>
      <c r="AM41" s="51">
        <f t="shared" ca="1" si="49"/>
        <v>1367710.4577874101</v>
      </c>
      <c r="AN41" s="51">
        <f t="shared" ca="1" si="49"/>
        <v>1183826.764187315</v>
      </c>
      <c r="AO41" s="51">
        <f t="shared" ca="1" si="49"/>
        <v>1042042.1137365031</v>
      </c>
      <c r="AP41" s="51">
        <f t="shared" ca="1" si="49"/>
        <v>934226.28813605045</v>
      </c>
      <c r="AQ41" s="51">
        <f t="shared" ca="1" si="49"/>
        <v>843101.09311743255</v>
      </c>
      <c r="AR41" s="51">
        <f t="shared" ca="1" si="49"/>
        <v>751360.2041988835</v>
      </c>
      <c r="AS41" s="51">
        <f t="shared" ca="1" si="49"/>
        <v>657899.72330111708</v>
      </c>
      <c r="AT41" s="51">
        <f t="shared" ca="1" si="49"/>
        <v>582063.47249288298</v>
      </c>
      <c r="AU41" s="51">
        <f t="shared" ca="1" si="49"/>
        <v>526733.71618758293</v>
      </c>
      <c r="AV41" s="51">
        <f t="shared" ca="1" si="49"/>
        <v>468349.21127265273</v>
      </c>
      <c r="AW41" s="51">
        <f t="shared" ca="1" si="49"/>
        <v>378176.71216770646</v>
      </c>
      <c r="AX41" s="51">
        <f t="shared" ca="1" si="49"/>
        <v>342208.53588599421</v>
      </c>
      <c r="AY41" s="51">
        <f t="shared" ca="1" si="49"/>
        <v>309715.02062139078</v>
      </c>
      <c r="AZ41" s="51">
        <f t="shared" ca="1" si="49"/>
        <v>278958.62106752291</v>
      </c>
      <c r="BA41" s="51">
        <f t="shared" ca="1" si="49"/>
        <v>254474.41777852544</v>
      </c>
      <c r="BB41" s="51">
        <f t="shared" ca="1" si="49"/>
        <v>228281.77605178457</v>
      </c>
      <c r="BC41" s="51">
        <f t="shared" ca="1" si="49"/>
        <v>213084.47772189722</v>
      </c>
      <c r="BD41" s="51">
        <f t="shared" ca="1" si="49"/>
        <v>201228.1918053416</v>
      </c>
      <c r="BE41" s="51">
        <f t="shared" ca="1" si="49"/>
        <v>190748.08587002178</v>
      </c>
      <c r="BF41" s="51">
        <f t="shared" ca="1" si="49"/>
        <v>172638.23362220009</v>
      </c>
      <c r="BG41" s="51">
        <f t="shared" ca="1" si="49"/>
        <v>162046.25469611087</v>
      </c>
      <c r="BH41" s="51">
        <f t="shared" ca="1" si="49"/>
        <v>155341.04903364071</v>
      </c>
      <c r="BI41" s="51">
        <f t="shared" ca="1" si="49"/>
        <v>100027.87611485709</v>
      </c>
      <c r="BJ41" s="51">
        <f t="shared" ca="1" si="49"/>
        <v>0</v>
      </c>
      <c r="BK41" s="51">
        <f t="shared" ca="1" si="49"/>
        <v>0</v>
      </c>
      <c r="BL41" s="51">
        <f t="shared" ca="1" si="49"/>
        <v>0</v>
      </c>
      <c r="BM41" s="51">
        <f t="shared" ca="1" si="49"/>
        <v>0</v>
      </c>
      <c r="BN41" s="51">
        <f t="shared" ca="1" si="49"/>
        <v>0</v>
      </c>
      <c r="BO41" s="51">
        <f t="shared" ca="1" si="49"/>
        <v>0</v>
      </c>
      <c r="BP41" s="51">
        <f t="shared" ca="1" si="49"/>
        <v>0</v>
      </c>
      <c r="BQ41" s="51">
        <f t="shared" ca="1" si="49"/>
        <v>0</v>
      </c>
      <c r="BR41" s="51">
        <f t="shared" ca="1" si="49"/>
        <v>0</v>
      </c>
      <c r="BS41" s="51">
        <f t="shared" ca="1" si="49"/>
        <v>0</v>
      </c>
      <c r="BT41" s="51">
        <f t="shared" ca="1" si="49"/>
        <v>0</v>
      </c>
      <c r="BU41" s="51">
        <f t="shared" ca="1" si="49"/>
        <v>0</v>
      </c>
      <c r="BV41" s="51">
        <f t="shared" ca="1" si="49"/>
        <v>0</v>
      </c>
      <c r="BW41" s="51">
        <f t="shared" ca="1" si="49"/>
        <v>0</v>
      </c>
    </row>
    <row r="42" spans="1:75" x14ac:dyDescent="0.3">
      <c r="B42" s="47" t="s">
        <v>588</v>
      </c>
      <c r="C42"/>
      <c r="D42"/>
      <c r="E42"/>
      <c r="F42"/>
      <c r="G42"/>
      <c r="H42"/>
      <c r="I42"/>
      <c r="J42"/>
      <c r="K42"/>
      <c r="L42"/>
      <c r="M42"/>
      <c r="N42"/>
      <c r="O42"/>
      <c r="P42"/>
      <c r="Q42"/>
      <c r="R42"/>
      <c r="S42"/>
      <c r="T42"/>
      <c r="U42"/>
      <c r="V42" s="97">
        <f>V41/(V8/(V9))</f>
        <v>134.67016344094711</v>
      </c>
      <c r="W42" s="97">
        <f>W41/(W8/(W9+U9+T9+S9))</f>
        <v>110.10880820093674</v>
      </c>
      <c r="X42" s="97">
        <f>X41/(X8/(X9+W9+U9+T9))</f>
        <v>114.64296020396324</v>
      </c>
      <c r="Y42" s="97">
        <f>Y41/(Y8/(Y9+X9+W9+U9))</f>
        <v>115.55201992252353</v>
      </c>
      <c r="Z42" s="97">
        <f>Z41/(Z8/(Z9+Y9+X9+W9))</f>
        <v>238.47334704088829</v>
      </c>
      <c r="AA42" s="97">
        <f>AA41/(AA8/(AA9))</f>
        <v>238.47334704088829</v>
      </c>
      <c r="AB42" s="97">
        <f>AB41/(AB8/(AB9+Z9+Y9+X9))</f>
        <v>192.60148657620465</v>
      </c>
      <c r="AC42" s="97">
        <f>AC41/(AC8/(AC9+AB9+Z9+Y9))</f>
        <v>296.94323151140941</v>
      </c>
      <c r="AD42" s="97">
        <f>AD41/(AD8/(AD9+AC9+AB9+Z9))</f>
        <v>199.39558148515044</v>
      </c>
      <c r="AE42" s="97">
        <f>AVERAGE(AA42,V42)</f>
        <v>186.5717552409177</v>
      </c>
      <c r="AF42" s="97">
        <f t="shared" si="37"/>
        <v>186.5717552409177</v>
      </c>
      <c r="AG42" s="97">
        <f t="shared" ref="AG42:BL42" si="50">AF42</f>
        <v>186.5717552409177</v>
      </c>
      <c r="AH42" s="97">
        <f t="shared" si="50"/>
        <v>186.5717552409177</v>
      </c>
      <c r="AI42" s="97">
        <f t="shared" si="50"/>
        <v>186.5717552409177</v>
      </c>
      <c r="AJ42" s="97">
        <f t="shared" si="50"/>
        <v>186.5717552409177</v>
      </c>
      <c r="AK42" s="97">
        <f t="shared" si="50"/>
        <v>186.5717552409177</v>
      </c>
      <c r="AL42" s="97">
        <f t="shared" si="50"/>
        <v>186.5717552409177</v>
      </c>
      <c r="AM42" s="97">
        <f t="shared" si="50"/>
        <v>186.5717552409177</v>
      </c>
      <c r="AN42" s="97">
        <f t="shared" si="50"/>
        <v>186.5717552409177</v>
      </c>
      <c r="AO42" s="97">
        <f t="shared" si="50"/>
        <v>186.5717552409177</v>
      </c>
      <c r="AP42" s="97">
        <f t="shared" si="50"/>
        <v>186.5717552409177</v>
      </c>
      <c r="AQ42" s="97">
        <f t="shared" si="50"/>
        <v>186.5717552409177</v>
      </c>
      <c r="AR42" s="97">
        <f t="shared" si="50"/>
        <v>186.5717552409177</v>
      </c>
      <c r="AS42" s="97">
        <f t="shared" si="50"/>
        <v>186.5717552409177</v>
      </c>
      <c r="AT42" s="97">
        <f t="shared" si="50"/>
        <v>186.5717552409177</v>
      </c>
      <c r="AU42" s="97">
        <f t="shared" si="50"/>
        <v>186.5717552409177</v>
      </c>
      <c r="AV42" s="97">
        <f t="shared" si="50"/>
        <v>186.5717552409177</v>
      </c>
      <c r="AW42" s="97">
        <f t="shared" si="50"/>
        <v>186.5717552409177</v>
      </c>
      <c r="AX42" s="97">
        <f t="shared" si="50"/>
        <v>186.5717552409177</v>
      </c>
      <c r="AY42" s="97">
        <f t="shared" si="50"/>
        <v>186.5717552409177</v>
      </c>
      <c r="AZ42" s="97">
        <f t="shared" si="50"/>
        <v>186.5717552409177</v>
      </c>
      <c r="BA42" s="97">
        <f t="shared" si="50"/>
        <v>186.5717552409177</v>
      </c>
      <c r="BB42" s="97">
        <f t="shared" si="50"/>
        <v>186.5717552409177</v>
      </c>
      <c r="BC42" s="97">
        <f t="shared" si="50"/>
        <v>186.5717552409177</v>
      </c>
      <c r="BD42" s="97">
        <f t="shared" si="50"/>
        <v>186.5717552409177</v>
      </c>
      <c r="BE42" s="97">
        <f t="shared" si="50"/>
        <v>186.5717552409177</v>
      </c>
      <c r="BF42" s="97">
        <f t="shared" si="50"/>
        <v>186.5717552409177</v>
      </c>
      <c r="BG42" s="97">
        <f t="shared" si="50"/>
        <v>186.5717552409177</v>
      </c>
      <c r="BH42" s="97">
        <f t="shared" si="50"/>
        <v>186.5717552409177</v>
      </c>
      <c r="BI42" s="97">
        <f t="shared" si="50"/>
        <v>186.5717552409177</v>
      </c>
      <c r="BJ42" s="97">
        <f t="shared" si="50"/>
        <v>186.5717552409177</v>
      </c>
      <c r="BK42" s="97">
        <f t="shared" si="50"/>
        <v>186.5717552409177</v>
      </c>
      <c r="BL42" s="97">
        <f t="shared" si="50"/>
        <v>186.5717552409177</v>
      </c>
      <c r="BM42" s="97">
        <f t="shared" ref="BM42:BW42" si="51">BL42</f>
        <v>186.5717552409177</v>
      </c>
      <c r="BN42" s="97">
        <f t="shared" si="51"/>
        <v>186.5717552409177</v>
      </c>
      <c r="BO42" s="97">
        <f t="shared" si="51"/>
        <v>186.5717552409177</v>
      </c>
      <c r="BP42" s="97">
        <f t="shared" si="51"/>
        <v>186.5717552409177</v>
      </c>
      <c r="BQ42" s="97">
        <f t="shared" si="51"/>
        <v>186.5717552409177</v>
      </c>
      <c r="BR42" s="97">
        <f t="shared" si="51"/>
        <v>186.5717552409177</v>
      </c>
      <c r="BS42" s="97">
        <f t="shared" si="51"/>
        <v>186.5717552409177</v>
      </c>
      <c r="BT42" s="97">
        <f t="shared" si="51"/>
        <v>186.5717552409177</v>
      </c>
      <c r="BU42" s="97">
        <f t="shared" si="51"/>
        <v>186.5717552409177</v>
      </c>
      <c r="BV42" s="97">
        <f t="shared" si="51"/>
        <v>186.5717552409177</v>
      </c>
      <c r="BW42" s="97">
        <f t="shared" si="51"/>
        <v>186.5717552409177</v>
      </c>
    </row>
    <row r="43" spans="1:75" x14ac:dyDescent="0.3">
      <c r="A43" s="1" t="s">
        <v>145</v>
      </c>
      <c r="B43" s="42" t="s">
        <v>146</v>
      </c>
      <c r="C43" s="49">
        <v>24418</v>
      </c>
      <c r="D43" s="49">
        <v>32505</v>
      </c>
      <c r="E43" s="49">
        <v>50460</v>
      </c>
      <c r="F43" s="49">
        <v>37010</v>
      </c>
      <c r="G43" s="51">
        <f t="shared" si="42"/>
        <v>37010</v>
      </c>
      <c r="H43" s="49">
        <v>43161</v>
      </c>
      <c r="I43" s="49">
        <v>85097</v>
      </c>
      <c r="J43" s="49">
        <v>56861</v>
      </c>
      <c r="K43" s="49">
        <v>83441</v>
      </c>
      <c r="L43" s="51">
        <f t="shared" si="43"/>
        <v>83441</v>
      </c>
      <c r="M43" s="49">
        <v>56691</v>
      </c>
      <c r="N43" s="49">
        <v>48114</v>
      </c>
      <c r="O43" s="49">
        <v>73112</v>
      </c>
      <c r="P43" s="49">
        <v>87741</v>
      </c>
      <c r="Q43" s="51">
        <f t="shared" si="44"/>
        <v>87741</v>
      </c>
      <c r="R43" s="49">
        <v>120602</v>
      </c>
      <c r="S43" s="49">
        <v>96411</v>
      </c>
      <c r="T43" s="49">
        <v>126361</v>
      </c>
      <c r="U43" s="49">
        <v>183678</v>
      </c>
      <c r="V43" s="51">
        <f t="shared" si="45"/>
        <v>183678</v>
      </c>
      <c r="W43" s="49">
        <v>182392</v>
      </c>
      <c r="X43" s="49">
        <v>298646</v>
      </c>
      <c r="Y43" s="49">
        <v>337433</v>
      </c>
      <c r="Z43" s="49">
        <v>158712</v>
      </c>
      <c r="AA43" s="51">
        <f t="shared" si="46"/>
        <v>158712</v>
      </c>
      <c r="AB43" s="49">
        <v>320602</v>
      </c>
      <c r="AC43" s="49">
        <v>433332</v>
      </c>
      <c r="AD43" s="49">
        <v>504261</v>
      </c>
      <c r="AE43" s="49">
        <v>593007</v>
      </c>
      <c r="AF43" s="51">
        <f t="shared" si="37"/>
        <v>593007</v>
      </c>
      <c r="AG43" s="51">
        <f t="shared" ref="AG43:BL43" si="52">AF43</f>
        <v>593007</v>
      </c>
      <c r="AH43" s="51">
        <f t="shared" si="52"/>
        <v>593007</v>
      </c>
      <c r="AI43" s="51">
        <f t="shared" si="52"/>
        <v>593007</v>
      </c>
      <c r="AJ43" s="51">
        <f t="shared" si="52"/>
        <v>593007</v>
      </c>
      <c r="AK43" s="51">
        <f t="shared" si="52"/>
        <v>593007</v>
      </c>
      <c r="AL43" s="51">
        <f t="shared" si="52"/>
        <v>593007</v>
      </c>
      <c r="AM43" s="51">
        <f t="shared" si="52"/>
        <v>593007</v>
      </c>
      <c r="AN43" s="51">
        <f t="shared" si="52"/>
        <v>593007</v>
      </c>
      <c r="AO43" s="51">
        <f t="shared" si="52"/>
        <v>593007</v>
      </c>
      <c r="AP43" s="51">
        <f t="shared" si="52"/>
        <v>593007</v>
      </c>
      <c r="AQ43" s="51">
        <f t="shared" si="52"/>
        <v>593007</v>
      </c>
      <c r="AR43" s="51">
        <f t="shared" si="52"/>
        <v>593007</v>
      </c>
      <c r="AS43" s="51">
        <f t="shared" si="52"/>
        <v>593007</v>
      </c>
      <c r="AT43" s="51">
        <f t="shared" si="52"/>
        <v>593007</v>
      </c>
      <c r="AU43" s="51">
        <f t="shared" si="52"/>
        <v>593007</v>
      </c>
      <c r="AV43" s="51">
        <f t="shared" si="52"/>
        <v>593007</v>
      </c>
      <c r="AW43" s="51">
        <f t="shared" si="52"/>
        <v>593007</v>
      </c>
      <c r="AX43" s="51">
        <f t="shared" si="52"/>
        <v>593007</v>
      </c>
      <c r="AY43" s="51">
        <f t="shared" si="52"/>
        <v>593007</v>
      </c>
      <c r="AZ43" s="51">
        <f t="shared" si="52"/>
        <v>593007</v>
      </c>
      <c r="BA43" s="51">
        <f t="shared" si="52"/>
        <v>593007</v>
      </c>
      <c r="BB43" s="51">
        <f t="shared" si="52"/>
        <v>593007</v>
      </c>
      <c r="BC43" s="51">
        <f t="shared" si="52"/>
        <v>593007</v>
      </c>
      <c r="BD43" s="51">
        <f t="shared" si="52"/>
        <v>593007</v>
      </c>
      <c r="BE43" s="51">
        <f t="shared" si="52"/>
        <v>593007</v>
      </c>
      <c r="BF43" s="51">
        <f t="shared" si="52"/>
        <v>593007</v>
      </c>
      <c r="BG43" s="51">
        <f t="shared" si="52"/>
        <v>593007</v>
      </c>
      <c r="BH43" s="51">
        <f t="shared" si="52"/>
        <v>593007</v>
      </c>
      <c r="BI43" s="51">
        <f t="shared" si="52"/>
        <v>593007</v>
      </c>
      <c r="BJ43" s="51">
        <f t="shared" si="52"/>
        <v>593007</v>
      </c>
      <c r="BK43" s="51">
        <f t="shared" si="52"/>
        <v>593007</v>
      </c>
      <c r="BL43" s="51">
        <f t="shared" si="52"/>
        <v>593007</v>
      </c>
      <c r="BM43" s="51">
        <f t="shared" ref="BM43:BW43" si="53">BL43</f>
        <v>593007</v>
      </c>
      <c r="BN43" s="51">
        <f t="shared" si="53"/>
        <v>593007</v>
      </c>
      <c r="BO43" s="51">
        <f t="shared" si="53"/>
        <v>593007</v>
      </c>
      <c r="BP43" s="51">
        <f t="shared" si="53"/>
        <v>593007</v>
      </c>
      <c r="BQ43" s="51">
        <f t="shared" si="53"/>
        <v>593007</v>
      </c>
      <c r="BR43" s="51">
        <f t="shared" si="53"/>
        <v>593007</v>
      </c>
      <c r="BS43" s="51">
        <f t="shared" si="53"/>
        <v>593007</v>
      </c>
      <c r="BT43" s="51">
        <f t="shared" si="53"/>
        <v>593007</v>
      </c>
      <c r="BU43" s="51">
        <f t="shared" si="53"/>
        <v>593007</v>
      </c>
      <c r="BV43" s="51">
        <f t="shared" si="53"/>
        <v>593007</v>
      </c>
      <c r="BW43" s="51">
        <f t="shared" si="53"/>
        <v>593007</v>
      </c>
    </row>
    <row r="44" spans="1:75" x14ac:dyDescent="0.3">
      <c r="A44" s="1" t="s">
        <v>147</v>
      </c>
      <c r="B44" s="42" t="s">
        <v>148</v>
      </c>
      <c r="C44" s="49">
        <v>76242</v>
      </c>
      <c r="D44" s="49">
        <v>199484</v>
      </c>
      <c r="E44" s="49">
        <v>771</v>
      </c>
      <c r="F44" s="49">
        <v>222743</v>
      </c>
      <c r="G44" s="51">
        <f t="shared" si="42"/>
        <v>222743</v>
      </c>
      <c r="H44" s="49">
        <v>507290</v>
      </c>
      <c r="I44" s="49">
        <v>607362</v>
      </c>
      <c r="J44" s="49">
        <v>888864</v>
      </c>
      <c r="K44" s="49">
        <v>1447355</v>
      </c>
      <c r="L44" s="51">
        <f t="shared" si="43"/>
        <v>1447355</v>
      </c>
      <c r="M44" s="49">
        <v>2114234</v>
      </c>
      <c r="N44" s="49">
        <v>1668978</v>
      </c>
      <c r="O44" s="49">
        <v>1637624</v>
      </c>
      <c r="P44" s="49">
        <v>1772611</v>
      </c>
      <c r="Q44" s="51">
        <f t="shared" si="44"/>
        <v>1772611</v>
      </c>
      <c r="R44" s="49">
        <v>2072370</v>
      </c>
      <c r="S44" s="49">
        <v>583414</v>
      </c>
      <c r="T44" s="49">
        <v>342176</v>
      </c>
      <c r="U44" s="49">
        <v>553</v>
      </c>
      <c r="V44" s="51">
        <f t="shared" si="45"/>
        <v>553</v>
      </c>
      <c r="W44" s="49">
        <v>169716</v>
      </c>
      <c r="X44" s="49">
        <v>25111</v>
      </c>
      <c r="Y44" s="49">
        <v>458307</v>
      </c>
      <c r="Z44" s="49">
        <v>433772</v>
      </c>
      <c r="AA44" s="51">
        <f t="shared" si="46"/>
        <v>433772</v>
      </c>
      <c r="AB44" s="49">
        <v>1662027</v>
      </c>
      <c r="AC44" s="49">
        <v>2245167</v>
      </c>
      <c r="AD44" s="49">
        <f>1978629+8040</f>
        <v>1986669</v>
      </c>
      <c r="AE44" s="49">
        <v>1252062</v>
      </c>
      <c r="AF44" s="51">
        <f t="shared" si="37"/>
        <v>1252062</v>
      </c>
      <c r="AG44" s="51">
        <f>'Resultado Financeiro e Dívida'!AG$35*1000*$AD44/($AD$44+$AD$49)</f>
        <v>1469625.7508548375</v>
      </c>
      <c r="AH44" s="51">
        <f>'Resultado Financeiro e Dívida'!AH$35*1000*$AD44/($AD$44+$AD$49)</f>
        <v>1145220.5132147218</v>
      </c>
      <c r="AI44" s="51">
        <f>'Resultado Financeiro e Dívida'!AI$35*1000*$AD44/($AD$44+$AD$49)</f>
        <v>402037.60516645713</v>
      </c>
      <c r="AJ44" s="51">
        <f>'Resultado Financeiro e Dívida'!AJ$35*1000*$AD44/($AD$44+$AD$49)</f>
        <v>223956.82453317771</v>
      </c>
      <c r="AK44" s="51">
        <f>'Resultado Financeiro e Dívida'!AK$35*1000*$AD44/($AD$44+$AD$49)</f>
        <v>0</v>
      </c>
      <c r="AL44" s="51">
        <f>'Resultado Financeiro e Dívida'!AL$35*1000*$AD44/($AD$44+$AD$49)</f>
        <v>0</v>
      </c>
      <c r="AM44" s="51">
        <f>'Resultado Financeiro e Dívida'!AM$35*1000*$AD44/($AD$44+$AD$49)</f>
        <v>0</v>
      </c>
      <c r="AN44" s="51">
        <f>'Resultado Financeiro e Dívida'!AN$35*1000*$AD44/($AD$44+$AD$49)</f>
        <v>0</v>
      </c>
      <c r="AO44" s="51">
        <f>'Resultado Financeiro e Dívida'!AO$35*1000*$AD44/($AD$44+$AD$49)</f>
        <v>0</v>
      </c>
      <c r="AP44" s="51">
        <f>'Resultado Financeiro e Dívida'!AP$35*1000*$AD44/($AD$44+$AD$49)</f>
        <v>0</v>
      </c>
      <c r="AQ44" s="51">
        <f>'Resultado Financeiro e Dívida'!AQ$35*1000*$AD44/($AD$44+$AD$49)</f>
        <v>0</v>
      </c>
      <c r="AR44" s="51">
        <f>'Resultado Financeiro e Dívida'!AR$35*1000*$AD44/($AD$44+$AD$49)</f>
        <v>0</v>
      </c>
      <c r="AS44" s="51">
        <f>'Resultado Financeiro e Dívida'!AS$35*1000*$AD44/($AD$44+$AD$49)</f>
        <v>0</v>
      </c>
      <c r="AT44" s="51">
        <f>'Resultado Financeiro e Dívida'!AT$35*1000*$AD44/($AD$44+$AD$49)</f>
        <v>0</v>
      </c>
      <c r="AU44" s="51">
        <f>'Resultado Financeiro e Dívida'!AU$35*1000*$AD44/($AD$44+$AD$49)</f>
        <v>0</v>
      </c>
      <c r="AV44" s="51">
        <f>'Resultado Financeiro e Dívida'!AV$35*1000*$AD44/($AD$44+$AD$49)</f>
        <v>0</v>
      </c>
      <c r="AW44" s="51">
        <f>'Resultado Financeiro e Dívida'!AW$35*1000*$AD44/($AD$44+$AD$49)</f>
        <v>0</v>
      </c>
      <c r="AX44" s="51">
        <f>'Resultado Financeiro e Dívida'!AX$35*1000*$AD44/($AD$44+$AD$49)</f>
        <v>0</v>
      </c>
      <c r="AY44" s="51">
        <f>'Resultado Financeiro e Dívida'!AY$35*1000*$AD44/($AD$44+$AD$49)</f>
        <v>0</v>
      </c>
      <c r="AZ44" s="51">
        <f>'Resultado Financeiro e Dívida'!AZ$35*1000*$AD44/($AD$44+$AD$49)</f>
        <v>0</v>
      </c>
      <c r="BA44" s="51">
        <f>'Resultado Financeiro e Dívida'!BA$35*1000*$AD44/($AD$44+$AD$49)</f>
        <v>0</v>
      </c>
      <c r="BB44" s="51">
        <f>'Resultado Financeiro e Dívida'!BB$35*1000*$AD44/($AD$44+$AD$49)</f>
        <v>0</v>
      </c>
      <c r="BC44" s="51">
        <f>'Resultado Financeiro e Dívida'!BC$35*1000*$AD44/($AD$44+$AD$49)</f>
        <v>0</v>
      </c>
      <c r="BD44" s="51">
        <f>'Resultado Financeiro e Dívida'!BD$35*1000*$AD44/($AD$44+$AD$49)</f>
        <v>0</v>
      </c>
      <c r="BE44" s="51">
        <f>'Resultado Financeiro e Dívida'!BE$35*1000*$AD44/($AD$44+$AD$49)</f>
        <v>0</v>
      </c>
      <c r="BF44" s="51">
        <f>'Resultado Financeiro e Dívida'!BF$35*1000*$AD44/($AD$44+$AD$49)</f>
        <v>0</v>
      </c>
      <c r="BG44" s="51">
        <f>'Resultado Financeiro e Dívida'!BG$35*1000*$AD44/($AD$44+$AD$49)</f>
        <v>0</v>
      </c>
      <c r="BH44" s="51">
        <f>'Resultado Financeiro e Dívida'!BH$35*1000*$AD44/($AD$44+$AD$49)</f>
        <v>0</v>
      </c>
      <c r="BI44" s="51">
        <f>'Resultado Financeiro e Dívida'!BI$35*1000*$AD44/($AD$44+$AD$49)</f>
        <v>0</v>
      </c>
      <c r="BJ44" s="51">
        <f>'Resultado Financeiro e Dívida'!BJ$35*1000*$AD44/($AD$44+$AD$49)</f>
        <v>0</v>
      </c>
      <c r="BK44" s="51">
        <f>'Resultado Financeiro e Dívida'!BK$35*1000*$AD44/($AD$44+$AD$49)</f>
        <v>0</v>
      </c>
      <c r="BL44" s="51">
        <f>'Resultado Financeiro e Dívida'!BL$35*1000*$AD44/($AD$44+$AD$49)</f>
        <v>0</v>
      </c>
      <c r="BM44" s="51">
        <f>'Resultado Financeiro e Dívida'!BM$35*1000*$AD44/($AD$44+$AD$49)</f>
        <v>0</v>
      </c>
      <c r="BN44" s="51">
        <f>'Resultado Financeiro e Dívida'!BN$35*1000*$AD44/($AD$44+$AD$49)</f>
        <v>0</v>
      </c>
      <c r="BO44" s="51">
        <f>'Resultado Financeiro e Dívida'!BO$35*1000*$AD44/($AD$44+$AD$49)</f>
        <v>0</v>
      </c>
      <c r="BP44" s="51">
        <f>'Resultado Financeiro e Dívida'!BP$35*1000*$AD44/($AD$44+$AD$49)</f>
        <v>0</v>
      </c>
      <c r="BQ44" s="51">
        <f>'Resultado Financeiro e Dívida'!BQ$35*1000*$AD44/($AD$44+$AD$49)</f>
        <v>0</v>
      </c>
      <c r="BR44" s="51">
        <f>'Resultado Financeiro e Dívida'!BR$35*1000*$AD44/($AD$44+$AD$49)</f>
        <v>0</v>
      </c>
      <c r="BS44" s="51">
        <f>'Resultado Financeiro e Dívida'!BS$35*1000*$AD44/($AD$44+$AD$49)</f>
        <v>0</v>
      </c>
      <c r="BT44" s="51">
        <f>'Resultado Financeiro e Dívida'!BT$35*1000*$AD44/($AD$44+$AD$49)</f>
        <v>0</v>
      </c>
      <c r="BU44" s="51">
        <f>'Resultado Financeiro e Dívida'!BU$35*1000*$AD44/($AD$44+$AD$49)</f>
        <v>0</v>
      </c>
      <c r="BV44" s="51">
        <f>'Resultado Financeiro e Dívida'!BV$35*1000*$AD44/($AD$44+$AD$49)</f>
        <v>0</v>
      </c>
      <c r="BW44" s="51">
        <f>'Resultado Financeiro e Dívida'!BW$35*1000*$AD44/($AD$44+$AD$49)</f>
        <v>0</v>
      </c>
    </row>
    <row r="45" spans="1:75" x14ac:dyDescent="0.3">
      <c r="B45" s="42" t="s">
        <v>533</v>
      </c>
      <c r="C45"/>
      <c r="D45"/>
      <c r="E45"/>
      <c r="F45"/>
      <c r="G45"/>
      <c r="H45"/>
      <c r="I45"/>
      <c r="J45"/>
      <c r="K45"/>
      <c r="L45"/>
      <c r="M45"/>
      <c r="N45"/>
      <c r="O45"/>
      <c r="P45"/>
      <c r="Q45"/>
      <c r="R45"/>
      <c r="S45"/>
      <c r="T45"/>
      <c r="U45" s="49">
        <v>105905</v>
      </c>
      <c r="V45" s="51">
        <f t="shared" si="45"/>
        <v>105905</v>
      </c>
      <c r="W45" s="49">
        <v>0</v>
      </c>
      <c r="X45" s="49">
        <v>150743</v>
      </c>
      <c r="Y45" s="49">
        <v>163912</v>
      </c>
      <c r="Z45" s="49">
        <v>64547</v>
      </c>
      <c r="AA45" s="51">
        <f t="shared" si="46"/>
        <v>64547</v>
      </c>
      <c r="AB45" s="49">
        <v>137847</v>
      </c>
      <c r="AC45" s="49">
        <v>177407</v>
      </c>
      <c r="AD45" s="49">
        <v>207118</v>
      </c>
      <c r="AE45" s="49">
        <v>224502</v>
      </c>
      <c r="AF45" s="51">
        <f t="shared" si="37"/>
        <v>224502</v>
      </c>
      <c r="AG45" s="51">
        <f t="shared" ref="AG45:BL45" si="54">AF45</f>
        <v>224502</v>
      </c>
      <c r="AH45" s="51">
        <f t="shared" si="54"/>
        <v>224502</v>
      </c>
      <c r="AI45" s="51">
        <f t="shared" si="54"/>
        <v>224502</v>
      </c>
      <c r="AJ45" s="51">
        <f t="shared" si="54"/>
        <v>224502</v>
      </c>
      <c r="AK45" s="51">
        <f t="shared" si="54"/>
        <v>224502</v>
      </c>
      <c r="AL45" s="51">
        <f t="shared" si="54"/>
        <v>224502</v>
      </c>
      <c r="AM45" s="51">
        <f t="shared" si="54"/>
        <v>224502</v>
      </c>
      <c r="AN45" s="51">
        <f t="shared" si="54"/>
        <v>224502</v>
      </c>
      <c r="AO45" s="51">
        <f t="shared" si="54"/>
        <v>224502</v>
      </c>
      <c r="AP45" s="51">
        <f t="shared" si="54"/>
        <v>224502</v>
      </c>
      <c r="AQ45" s="51">
        <f t="shared" si="54"/>
        <v>224502</v>
      </c>
      <c r="AR45" s="51">
        <f t="shared" si="54"/>
        <v>224502</v>
      </c>
      <c r="AS45" s="51">
        <f t="shared" si="54"/>
        <v>224502</v>
      </c>
      <c r="AT45" s="51">
        <f t="shared" si="54"/>
        <v>224502</v>
      </c>
      <c r="AU45" s="51">
        <f t="shared" si="54"/>
        <v>224502</v>
      </c>
      <c r="AV45" s="51">
        <f t="shared" si="54"/>
        <v>224502</v>
      </c>
      <c r="AW45" s="51">
        <f t="shared" si="54"/>
        <v>224502</v>
      </c>
      <c r="AX45" s="51">
        <f t="shared" si="54"/>
        <v>224502</v>
      </c>
      <c r="AY45" s="51">
        <f t="shared" si="54"/>
        <v>224502</v>
      </c>
      <c r="AZ45" s="51">
        <f t="shared" si="54"/>
        <v>224502</v>
      </c>
      <c r="BA45" s="51">
        <f t="shared" si="54"/>
        <v>224502</v>
      </c>
      <c r="BB45" s="51">
        <f t="shared" si="54"/>
        <v>224502</v>
      </c>
      <c r="BC45" s="51">
        <f t="shared" si="54"/>
        <v>224502</v>
      </c>
      <c r="BD45" s="51">
        <f t="shared" si="54"/>
        <v>224502</v>
      </c>
      <c r="BE45" s="51">
        <f t="shared" si="54"/>
        <v>224502</v>
      </c>
      <c r="BF45" s="51">
        <f t="shared" si="54"/>
        <v>224502</v>
      </c>
      <c r="BG45" s="51">
        <f t="shared" si="54"/>
        <v>224502</v>
      </c>
      <c r="BH45" s="51">
        <f t="shared" si="54"/>
        <v>224502</v>
      </c>
      <c r="BI45" s="51">
        <f t="shared" si="54"/>
        <v>224502</v>
      </c>
      <c r="BJ45" s="51">
        <f t="shared" si="54"/>
        <v>224502</v>
      </c>
      <c r="BK45" s="51">
        <f t="shared" si="54"/>
        <v>224502</v>
      </c>
      <c r="BL45" s="51">
        <f t="shared" si="54"/>
        <v>224502</v>
      </c>
      <c r="BM45" s="51">
        <f t="shared" ref="BM45:BW45" si="55">BL45</f>
        <v>224502</v>
      </c>
      <c r="BN45" s="51">
        <f t="shared" si="55"/>
        <v>224502</v>
      </c>
      <c r="BO45" s="51">
        <f t="shared" si="55"/>
        <v>224502</v>
      </c>
      <c r="BP45" s="51">
        <f t="shared" si="55"/>
        <v>224502</v>
      </c>
      <c r="BQ45" s="51">
        <f t="shared" si="55"/>
        <v>224502</v>
      </c>
      <c r="BR45" s="51">
        <f t="shared" si="55"/>
        <v>224502</v>
      </c>
      <c r="BS45" s="51">
        <f t="shared" si="55"/>
        <v>224502</v>
      </c>
      <c r="BT45" s="51">
        <f t="shared" si="55"/>
        <v>224502</v>
      </c>
      <c r="BU45" s="51">
        <f t="shared" si="55"/>
        <v>224502</v>
      </c>
      <c r="BV45" s="51">
        <f t="shared" si="55"/>
        <v>224502</v>
      </c>
      <c r="BW45" s="51">
        <f t="shared" si="55"/>
        <v>224502</v>
      </c>
    </row>
    <row r="46" spans="1:75" x14ac:dyDescent="0.3">
      <c r="A46" s="1" t="s">
        <v>149</v>
      </c>
      <c r="B46" s="42" t="s">
        <v>150</v>
      </c>
      <c r="C46" s="49">
        <v>6894</v>
      </c>
      <c r="D46" s="49">
        <v>17318</v>
      </c>
      <c r="E46" s="49">
        <v>18226</v>
      </c>
      <c r="F46" s="49">
        <v>23052</v>
      </c>
      <c r="G46" s="51">
        <f t="shared" si="42"/>
        <v>23052</v>
      </c>
      <c r="H46" s="49">
        <v>222633</v>
      </c>
      <c r="I46" s="49">
        <v>28330</v>
      </c>
      <c r="J46" s="49">
        <v>26008</v>
      </c>
      <c r="K46" s="49">
        <v>12396</v>
      </c>
      <c r="L46" s="51">
        <f t="shared" si="43"/>
        <v>12396</v>
      </c>
      <c r="M46" s="49">
        <v>19</v>
      </c>
      <c r="N46" s="49">
        <v>19</v>
      </c>
      <c r="O46" s="49">
        <v>20</v>
      </c>
      <c r="P46" s="49">
        <v>0</v>
      </c>
      <c r="Q46" s="51">
        <f t="shared" si="44"/>
        <v>0</v>
      </c>
      <c r="R46" s="49">
        <v>0</v>
      </c>
      <c r="S46" s="49">
        <v>0</v>
      </c>
      <c r="T46" s="49">
        <v>448750</v>
      </c>
      <c r="U46" s="49">
        <v>376684</v>
      </c>
      <c r="V46" s="51">
        <f t="shared" si="45"/>
        <v>376684</v>
      </c>
      <c r="W46" s="49">
        <v>178273</v>
      </c>
      <c r="X46" s="49">
        <v>53827</v>
      </c>
      <c r="Y46" s="49">
        <v>0</v>
      </c>
      <c r="Z46" s="49">
        <v>43433</v>
      </c>
      <c r="AA46" s="51">
        <f t="shared" si="46"/>
        <v>43433</v>
      </c>
      <c r="AB46" s="49">
        <v>304223</v>
      </c>
      <c r="AC46" s="49">
        <v>289861</v>
      </c>
      <c r="AD46" s="49">
        <f>41780+275423+24800</f>
        <v>342003</v>
      </c>
      <c r="AE46" s="49">
        <v>292569</v>
      </c>
      <c r="AF46" s="51">
        <f t="shared" si="37"/>
        <v>292569</v>
      </c>
      <c r="AG46" s="51">
        <f>AF46-288465</f>
        <v>4104</v>
      </c>
      <c r="AH46" s="51">
        <f t="shared" ref="AH46:BL46" si="56">AG46</f>
        <v>4104</v>
      </c>
      <c r="AI46" s="51">
        <f t="shared" si="56"/>
        <v>4104</v>
      </c>
      <c r="AJ46" s="51">
        <f t="shared" si="56"/>
        <v>4104</v>
      </c>
      <c r="AK46" s="51">
        <f t="shared" si="56"/>
        <v>4104</v>
      </c>
      <c r="AL46" s="51">
        <f t="shared" si="56"/>
        <v>4104</v>
      </c>
      <c r="AM46" s="51">
        <f t="shared" si="56"/>
        <v>4104</v>
      </c>
      <c r="AN46" s="51">
        <f t="shared" si="56"/>
        <v>4104</v>
      </c>
      <c r="AO46" s="51">
        <f t="shared" si="56"/>
        <v>4104</v>
      </c>
      <c r="AP46" s="51">
        <f t="shared" si="56"/>
        <v>4104</v>
      </c>
      <c r="AQ46" s="51">
        <f t="shared" si="56"/>
        <v>4104</v>
      </c>
      <c r="AR46" s="51">
        <f t="shared" si="56"/>
        <v>4104</v>
      </c>
      <c r="AS46" s="51">
        <f t="shared" si="56"/>
        <v>4104</v>
      </c>
      <c r="AT46" s="51">
        <f t="shared" si="56"/>
        <v>4104</v>
      </c>
      <c r="AU46" s="51">
        <f t="shared" si="56"/>
        <v>4104</v>
      </c>
      <c r="AV46" s="51">
        <f t="shared" si="56"/>
        <v>4104</v>
      </c>
      <c r="AW46" s="51">
        <f t="shared" si="56"/>
        <v>4104</v>
      </c>
      <c r="AX46" s="51">
        <f t="shared" si="56"/>
        <v>4104</v>
      </c>
      <c r="AY46" s="51">
        <f t="shared" si="56"/>
        <v>4104</v>
      </c>
      <c r="AZ46" s="51">
        <f t="shared" si="56"/>
        <v>4104</v>
      </c>
      <c r="BA46" s="51">
        <f t="shared" si="56"/>
        <v>4104</v>
      </c>
      <c r="BB46" s="51">
        <f t="shared" si="56"/>
        <v>4104</v>
      </c>
      <c r="BC46" s="51">
        <f t="shared" si="56"/>
        <v>4104</v>
      </c>
      <c r="BD46" s="51">
        <f t="shared" si="56"/>
        <v>4104</v>
      </c>
      <c r="BE46" s="51">
        <f t="shared" si="56"/>
        <v>4104</v>
      </c>
      <c r="BF46" s="51">
        <f t="shared" si="56"/>
        <v>4104</v>
      </c>
      <c r="BG46" s="51">
        <f t="shared" si="56"/>
        <v>4104</v>
      </c>
      <c r="BH46" s="51">
        <f t="shared" si="56"/>
        <v>4104</v>
      </c>
      <c r="BI46" s="51">
        <f t="shared" si="56"/>
        <v>4104</v>
      </c>
      <c r="BJ46" s="51">
        <f t="shared" si="56"/>
        <v>4104</v>
      </c>
      <c r="BK46" s="51">
        <f t="shared" si="56"/>
        <v>4104</v>
      </c>
      <c r="BL46" s="51">
        <f t="shared" si="56"/>
        <v>4104</v>
      </c>
      <c r="BM46" s="51">
        <f t="shared" ref="BM46:BW46" si="57">BL46</f>
        <v>4104</v>
      </c>
      <c r="BN46" s="51">
        <f t="shared" si="57"/>
        <v>4104</v>
      </c>
      <c r="BO46" s="51">
        <f t="shared" si="57"/>
        <v>4104</v>
      </c>
      <c r="BP46" s="51">
        <f t="shared" si="57"/>
        <v>4104</v>
      </c>
      <c r="BQ46" s="51">
        <f t="shared" si="57"/>
        <v>4104</v>
      </c>
      <c r="BR46" s="51">
        <f t="shared" si="57"/>
        <v>4104</v>
      </c>
      <c r="BS46" s="51">
        <f t="shared" si="57"/>
        <v>4104</v>
      </c>
      <c r="BT46" s="51">
        <f t="shared" si="57"/>
        <v>4104</v>
      </c>
      <c r="BU46" s="51">
        <f t="shared" si="57"/>
        <v>4104</v>
      </c>
      <c r="BV46" s="51">
        <f t="shared" si="57"/>
        <v>4104</v>
      </c>
      <c r="BW46" s="51">
        <f t="shared" si="57"/>
        <v>4104</v>
      </c>
    </row>
    <row r="47" spans="1:75" x14ac:dyDescent="0.3">
      <c r="A47" s="1" t="s">
        <v>152</v>
      </c>
      <c r="B47" s="42" t="s">
        <v>153</v>
      </c>
      <c r="C47" s="49">
        <v>0</v>
      </c>
      <c r="D47" s="49">
        <v>0</v>
      </c>
      <c r="E47" s="49">
        <v>0</v>
      </c>
      <c r="F47" s="49">
        <v>0</v>
      </c>
      <c r="G47" s="51">
        <f t="shared" si="42"/>
        <v>0</v>
      </c>
      <c r="H47" s="49">
        <v>0</v>
      </c>
      <c r="I47" s="49">
        <v>0</v>
      </c>
      <c r="J47" s="49">
        <v>0</v>
      </c>
      <c r="K47" s="49">
        <v>0</v>
      </c>
      <c r="L47" s="51">
        <f t="shared" si="43"/>
        <v>0</v>
      </c>
      <c r="M47" s="49">
        <v>0</v>
      </c>
      <c r="N47" s="49">
        <v>0</v>
      </c>
      <c r="O47" s="49">
        <v>0</v>
      </c>
      <c r="P47" s="49">
        <v>-2649</v>
      </c>
      <c r="Q47" s="51">
        <f t="shared" si="44"/>
        <v>-2649</v>
      </c>
      <c r="R47" s="49">
        <v>462</v>
      </c>
      <c r="S47" s="49">
        <v>-2054</v>
      </c>
      <c r="T47" s="49">
        <v>-2845</v>
      </c>
      <c r="U47" s="49">
        <v>-4502</v>
      </c>
      <c r="V47" s="51">
        <f t="shared" si="45"/>
        <v>-4502</v>
      </c>
      <c r="W47" s="49">
        <v>0</v>
      </c>
      <c r="X47" s="49">
        <v>0</v>
      </c>
      <c r="Y47" s="49">
        <v>0</v>
      </c>
      <c r="Z47" s="49">
        <v>-16654</v>
      </c>
      <c r="AA47" s="51">
        <f t="shared" si="46"/>
        <v>-16654</v>
      </c>
      <c r="AB47" s="49">
        <v>-16514</v>
      </c>
      <c r="AC47" s="49">
        <v>-16619</v>
      </c>
      <c r="AD47" s="49">
        <v>-19363</v>
      </c>
      <c r="AE47" s="49">
        <v>0</v>
      </c>
      <c r="AF47" s="51">
        <f t="shared" si="37"/>
        <v>0</v>
      </c>
      <c r="AG47" s="51">
        <f t="shared" ref="AG47:BL47" si="58">AF47</f>
        <v>0</v>
      </c>
      <c r="AH47" s="51">
        <f t="shared" si="58"/>
        <v>0</v>
      </c>
      <c r="AI47" s="51">
        <f t="shared" si="58"/>
        <v>0</v>
      </c>
      <c r="AJ47" s="51">
        <f t="shared" si="58"/>
        <v>0</v>
      </c>
      <c r="AK47" s="51">
        <f t="shared" si="58"/>
        <v>0</v>
      </c>
      <c r="AL47" s="51">
        <f t="shared" si="58"/>
        <v>0</v>
      </c>
      <c r="AM47" s="51">
        <f t="shared" si="58"/>
        <v>0</v>
      </c>
      <c r="AN47" s="51">
        <f t="shared" si="58"/>
        <v>0</v>
      </c>
      <c r="AO47" s="51">
        <f t="shared" si="58"/>
        <v>0</v>
      </c>
      <c r="AP47" s="51">
        <f t="shared" si="58"/>
        <v>0</v>
      </c>
      <c r="AQ47" s="51">
        <f t="shared" si="58"/>
        <v>0</v>
      </c>
      <c r="AR47" s="51">
        <f t="shared" si="58"/>
        <v>0</v>
      </c>
      <c r="AS47" s="51">
        <f t="shared" si="58"/>
        <v>0</v>
      </c>
      <c r="AT47" s="51">
        <f t="shared" si="58"/>
        <v>0</v>
      </c>
      <c r="AU47" s="51">
        <f t="shared" si="58"/>
        <v>0</v>
      </c>
      <c r="AV47" s="51">
        <f t="shared" si="58"/>
        <v>0</v>
      </c>
      <c r="AW47" s="51">
        <f t="shared" si="58"/>
        <v>0</v>
      </c>
      <c r="AX47" s="51">
        <f t="shared" si="58"/>
        <v>0</v>
      </c>
      <c r="AY47" s="51">
        <f t="shared" si="58"/>
        <v>0</v>
      </c>
      <c r="AZ47" s="51">
        <f t="shared" si="58"/>
        <v>0</v>
      </c>
      <c r="BA47" s="51">
        <f t="shared" si="58"/>
        <v>0</v>
      </c>
      <c r="BB47" s="51">
        <f t="shared" si="58"/>
        <v>0</v>
      </c>
      <c r="BC47" s="51">
        <f t="shared" si="58"/>
        <v>0</v>
      </c>
      <c r="BD47" s="51">
        <f t="shared" si="58"/>
        <v>0</v>
      </c>
      <c r="BE47" s="51">
        <f t="shared" si="58"/>
        <v>0</v>
      </c>
      <c r="BF47" s="51">
        <f t="shared" si="58"/>
        <v>0</v>
      </c>
      <c r="BG47" s="51">
        <f t="shared" si="58"/>
        <v>0</v>
      </c>
      <c r="BH47" s="51">
        <f t="shared" si="58"/>
        <v>0</v>
      </c>
      <c r="BI47" s="51">
        <f t="shared" si="58"/>
        <v>0</v>
      </c>
      <c r="BJ47" s="51">
        <f t="shared" si="58"/>
        <v>0</v>
      </c>
      <c r="BK47" s="51">
        <f t="shared" si="58"/>
        <v>0</v>
      </c>
      <c r="BL47" s="51">
        <f t="shared" si="58"/>
        <v>0</v>
      </c>
      <c r="BM47" s="51">
        <f t="shared" ref="BM47:BW47" si="59">BL47</f>
        <v>0</v>
      </c>
      <c r="BN47" s="51">
        <f t="shared" si="59"/>
        <v>0</v>
      </c>
      <c r="BO47" s="51">
        <f t="shared" si="59"/>
        <v>0</v>
      </c>
      <c r="BP47" s="51">
        <f t="shared" si="59"/>
        <v>0</v>
      </c>
      <c r="BQ47" s="51">
        <f t="shared" si="59"/>
        <v>0</v>
      </c>
      <c r="BR47" s="51">
        <f t="shared" si="59"/>
        <v>0</v>
      </c>
      <c r="BS47" s="51">
        <f t="shared" si="59"/>
        <v>0</v>
      </c>
      <c r="BT47" s="51">
        <f t="shared" si="59"/>
        <v>0</v>
      </c>
      <c r="BU47" s="51">
        <f t="shared" si="59"/>
        <v>0</v>
      </c>
      <c r="BV47" s="51">
        <f t="shared" si="59"/>
        <v>0</v>
      </c>
      <c r="BW47" s="51">
        <f t="shared" si="59"/>
        <v>0</v>
      </c>
    </row>
    <row r="48" spans="1:75" s="38" customFormat="1" x14ac:dyDescent="0.3">
      <c r="A48" s="1" t="s">
        <v>154</v>
      </c>
      <c r="B48" s="64" t="s">
        <v>155</v>
      </c>
      <c r="C48" s="48">
        <f t="shared" ref="C48:AC48" si="60">C49+C51+C52+C53+C50</f>
        <v>159794</v>
      </c>
      <c r="D48" s="48">
        <f t="shared" si="60"/>
        <v>169677</v>
      </c>
      <c r="E48" s="48">
        <f t="shared" si="60"/>
        <v>152872</v>
      </c>
      <c r="F48" s="48">
        <f t="shared" si="60"/>
        <v>163020</v>
      </c>
      <c r="G48" s="48">
        <f t="shared" si="60"/>
        <v>163020</v>
      </c>
      <c r="H48" s="48">
        <f t="shared" si="60"/>
        <v>2377807</v>
      </c>
      <c r="I48" s="48">
        <f t="shared" si="60"/>
        <v>2307402</v>
      </c>
      <c r="J48" s="48">
        <f t="shared" si="60"/>
        <v>2143417</v>
      </c>
      <c r="K48" s="48">
        <f t="shared" si="60"/>
        <v>1654867</v>
      </c>
      <c r="L48" s="48">
        <f t="shared" si="60"/>
        <v>1654867</v>
      </c>
      <c r="M48" s="48">
        <f t="shared" si="60"/>
        <v>2099354</v>
      </c>
      <c r="N48" s="48">
        <f t="shared" si="60"/>
        <v>2171787</v>
      </c>
      <c r="O48" s="48">
        <f t="shared" si="60"/>
        <v>2462368</v>
      </c>
      <c r="P48" s="48">
        <f t="shared" si="60"/>
        <v>1492121</v>
      </c>
      <c r="Q48" s="48">
        <f t="shared" si="60"/>
        <v>1492121</v>
      </c>
      <c r="R48" s="48">
        <f t="shared" si="60"/>
        <v>1652464</v>
      </c>
      <c r="S48" s="48">
        <f t="shared" si="60"/>
        <v>4177649</v>
      </c>
      <c r="T48" s="48">
        <f t="shared" si="60"/>
        <v>4533092</v>
      </c>
      <c r="U48" s="48">
        <f t="shared" si="60"/>
        <v>4515170</v>
      </c>
      <c r="V48" s="48">
        <f t="shared" si="60"/>
        <v>4515170</v>
      </c>
      <c r="W48" s="48">
        <f t="shared" si="60"/>
        <v>5235026</v>
      </c>
      <c r="X48" s="48">
        <f t="shared" si="60"/>
        <v>7147882</v>
      </c>
      <c r="Y48" s="48">
        <f t="shared" si="60"/>
        <v>9259869</v>
      </c>
      <c r="Z48" s="48">
        <f t="shared" si="60"/>
        <v>9022764</v>
      </c>
      <c r="AA48" s="48">
        <f t="shared" si="60"/>
        <v>9022764</v>
      </c>
      <c r="AB48" s="48">
        <f t="shared" si="60"/>
        <v>11816373</v>
      </c>
      <c r="AC48" s="48">
        <f t="shared" si="60"/>
        <v>11170652</v>
      </c>
      <c r="AD48" s="48">
        <f>AD49+AD51+AD52+AD53+AD50</f>
        <v>11762888</v>
      </c>
      <c r="AE48" s="48">
        <f>AE49+AE51+AE52+AE53+AE50</f>
        <v>10968841</v>
      </c>
      <c r="AF48" s="48">
        <f t="shared" si="37"/>
        <v>10968841</v>
      </c>
      <c r="AG48" s="48">
        <f>AG49+AG51+AG52+AG53+AG50</f>
        <v>8800437.0491451621</v>
      </c>
      <c r="AH48" s="48">
        <f t="shared" ref="AH48:BL48" si="61">AH49+AH51+AH52+AH53+AH50</f>
        <v>7749842.2867852785</v>
      </c>
      <c r="AI48" s="48">
        <f t="shared" si="61"/>
        <v>5343025.1948335432</v>
      </c>
      <c r="AJ48" s="48">
        <f t="shared" si="61"/>
        <v>4766305.9754668223</v>
      </c>
      <c r="AK48" s="48">
        <f t="shared" si="61"/>
        <v>4041016</v>
      </c>
      <c r="AL48" s="48">
        <f t="shared" si="61"/>
        <v>4041016</v>
      </c>
      <c r="AM48" s="48">
        <f t="shared" si="61"/>
        <v>4041016</v>
      </c>
      <c r="AN48" s="48">
        <f t="shared" si="61"/>
        <v>4041016</v>
      </c>
      <c r="AO48" s="48">
        <f t="shared" si="61"/>
        <v>4041016</v>
      </c>
      <c r="AP48" s="48">
        <f t="shared" si="61"/>
        <v>4041016</v>
      </c>
      <c r="AQ48" s="48">
        <f t="shared" si="61"/>
        <v>4041016</v>
      </c>
      <c r="AR48" s="48">
        <f t="shared" si="61"/>
        <v>4041016</v>
      </c>
      <c r="AS48" s="48">
        <f t="shared" si="61"/>
        <v>4041016</v>
      </c>
      <c r="AT48" s="48">
        <f t="shared" si="61"/>
        <v>4041016</v>
      </c>
      <c r="AU48" s="48">
        <f t="shared" si="61"/>
        <v>4041016</v>
      </c>
      <c r="AV48" s="48">
        <f t="shared" si="61"/>
        <v>4041016</v>
      </c>
      <c r="AW48" s="48">
        <f t="shared" si="61"/>
        <v>4041016</v>
      </c>
      <c r="AX48" s="48">
        <f t="shared" si="61"/>
        <v>4041016</v>
      </c>
      <c r="AY48" s="48">
        <f t="shared" si="61"/>
        <v>4041016</v>
      </c>
      <c r="AZ48" s="48">
        <f t="shared" si="61"/>
        <v>4041016</v>
      </c>
      <c r="BA48" s="48">
        <f t="shared" si="61"/>
        <v>4041016</v>
      </c>
      <c r="BB48" s="48">
        <f t="shared" si="61"/>
        <v>4041016</v>
      </c>
      <c r="BC48" s="48">
        <f t="shared" si="61"/>
        <v>4041016</v>
      </c>
      <c r="BD48" s="48">
        <f t="shared" si="61"/>
        <v>4041016</v>
      </c>
      <c r="BE48" s="48">
        <f t="shared" si="61"/>
        <v>4041016</v>
      </c>
      <c r="BF48" s="48">
        <f t="shared" si="61"/>
        <v>4041016</v>
      </c>
      <c r="BG48" s="48">
        <f t="shared" si="61"/>
        <v>4041016</v>
      </c>
      <c r="BH48" s="48">
        <f t="shared" si="61"/>
        <v>4041016</v>
      </c>
      <c r="BI48" s="48">
        <f t="shared" si="61"/>
        <v>4041016</v>
      </c>
      <c r="BJ48" s="48">
        <f t="shared" si="61"/>
        <v>4041016</v>
      </c>
      <c r="BK48" s="48">
        <f t="shared" si="61"/>
        <v>4041016</v>
      </c>
      <c r="BL48" s="48">
        <f t="shared" si="61"/>
        <v>4041016</v>
      </c>
      <c r="BM48" s="48">
        <f t="shared" ref="BM48:BW48" si="62">BM49+BM51+BM52+BM53+BM50</f>
        <v>4041016</v>
      </c>
      <c r="BN48" s="48">
        <f t="shared" si="62"/>
        <v>4041016</v>
      </c>
      <c r="BO48" s="48">
        <f t="shared" si="62"/>
        <v>4041016</v>
      </c>
      <c r="BP48" s="48">
        <f t="shared" si="62"/>
        <v>4041016</v>
      </c>
      <c r="BQ48" s="48">
        <f t="shared" si="62"/>
        <v>4041016</v>
      </c>
      <c r="BR48" s="48">
        <f t="shared" si="62"/>
        <v>4041016</v>
      </c>
      <c r="BS48" s="48">
        <f t="shared" si="62"/>
        <v>4041016</v>
      </c>
      <c r="BT48" s="48">
        <f t="shared" si="62"/>
        <v>4041016</v>
      </c>
      <c r="BU48" s="48">
        <f t="shared" si="62"/>
        <v>4041016</v>
      </c>
      <c r="BV48" s="48">
        <f t="shared" si="62"/>
        <v>4041016</v>
      </c>
      <c r="BW48" s="48">
        <f t="shared" si="62"/>
        <v>4041016</v>
      </c>
    </row>
    <row r="49" spans="1:75" x14ac:dyDescent="0.3">
      <c r="A49" s="1" t="s">
        <v>156</v>
      </c>
      <c r="B49" s="42" t="s">
        <v>148</v>
      </c>
      <c r="C49" s="49">
        <v>31245</v>
      </c>
      <c r="D49" s="49">
        <v>31241</v>
      </c>
      <c r="E49" s="49">
        <v>31241</v>
      </c>
      <c r="F49" s="49">
        <v>95084</v>
      </c>
      <c r="G49" s="51">
        <f t="shared" si="42"/>
        <v>95084</v>
      </c>
      <c r="H49" s="49">
        <v>775163</v>
      </c>
      <c r="I49" s="49">
        <v>724663</v>
      </c>
      <c r="J49" s="49">
        <v>459663</v>
      </c>
      <c r="K49" s="49">
        <v>810703</v>
      </c>
      <c r="L49" s="51">
        <f t="shared" si="43"/>
        <v>810703</v>
      </c>
      <c r="M49" s="49">
        <v>1145173</v>
      </c>
      <c r="N49" s="49">
        <v>1159570</v>
      </c>
      <c r="O49" s="49">
        <v>1173288</v>
      </c>
      <c r="P49" s="49">
        <v>763208</v>
      </c>
      <c r="Q49" s="51">
        <f t="shared" si="44"/>
        <v>763208</v>
      </c>
      <c r="R49" s="49">
        <v>693402</v>
      </c>
      <c r="S49" s="49">
        <v>3273558</v>
      </c>
      <c r="T49" s="49">
        <v>3682852</v>
      </c>
      <c r="U49" s="49">
        <v>3307368</v>
      </c>
      <c r="V49" s="51">
        <f t="shared" si="45"/>
        <v>3307368</v>
      </c>
      <c r="W49" s="49">
        <v>4228455</v>
      </c>
      <c r="X49" s="49">
        <v>5539105</v>
      </c>
      <c r="Y49" s="49">
        <v>7494785</v>
      </c>
      <c r="Z49" s="49">
        <v>7287626</v>
      </c>
      <c r="AA49" s="51">
        <f t="shared" si="46"/>
        <v>7287626</v>
      </c>
      <c r="AB49" s="49">
        <v>7260960</v>
      </c>
      <c r="AC49" s="49">
        <v>6198565</v>
      </c>
      <c r="AD49" s="49">
        <f>4562425+1871454</f>
        <v>6433879</v>
      </c>
      <c r="AE49" s="49">
        <v>6141102</v>
      </c>
      <c r="AF49" s="51">
        <f t="shared" si="37"/>
        <v>6141102</v>
      </c>
      <c r="AG49" s="51">
        <f>'Resultado Financeiro e Dívida'!AG$35*1000*$AD49/($AD$44+$AD$49)</f>
        <v>4759421.0491451621</v>
      </c>
      <c r="AH49" s="51">
        <f>'Resultado Financeiro e Dívida'!AH$35*1000*$AD49/($AD$44+$AD$49)</f>
        <v>3708826.286785278</v>
      </c>
      <c r="AI49" s="51">
        <f>'Resultado Financeiro e Dívida'!AI$35*1000*$AD49/($AD$44+$AD$49)</f>
        <v>1302009.1948335432</v>
      </c>
      <c r="AJ49" s="51">
        <f>'Resultado Financeiro e Dívida'!AJ$35*1000*$AD49/($AD$44+$AD$49)</f>
        <v>725289.97546682251</v>
      </c>
      <c r="AK49" s="51">
        <f>'Resultado Financeiro e Dívida'!AK$35*1000*$AD49/($AD$44+$AD$49)</f>
        <v>0</v>
      </c>
      <c r="AL49" s="51">
        <f>'Resultado Financeiro e Dívida'!AL$35*1000*$AD49/($AD$44+$AD$49)</f>
        <v>0</v>
      </c>
      <c r="AM49" s="51">
        <f>'Resultado Financeiro e Dívida'!AM$35*1000*$AD49/($AD$44+$AD$49)</f>
        <v>0</v>
      </c>
      <c r="AN49" s="51">
        <f>'Resultado Financeiro e Dívida'!AN$35*1000*$AD49/($AD$44+$AD$49)</f>
        <v>0</v>
      </c>
      <c r="AO49" s="51">
        <f>'Resultado Financeiro e Dívida'!AO$35*1000*$AD49/($AD$44+$AD$49)</f>
        <v>0</v>
      </c>
      <c r="AP49" s="51">
        <f>'Resultado Financeiro e Dívida'!AP$35*1000*$AD49/($AD$44+$AD$49)</f>
        <v>0</v>
      </c>
      <c r="AQ49" s="51">
        <f>'Resultado Financeiro e Dívida'!AQ$35*1000*$AD49/($AD$44+$AD$49)</f>
        <v>0</v>
      </c>
      <c r="AR49" s="51">
        <f>'Resultado Financeiro e Dívida'!AR$35*1000*$AD49/($AD$44+$AD$49)</f>
        <v>0</v>
      </c>
      <c r="AS49" s="51">
        <f>'Resultado Financeiro e Dívida'!AS$35*1000*$AD49/($AD$44+$AD$49)</f>
        <v>0</v>
      </c>
      <c r="AT49" s="51">
        <f>'Resultado Financeiro e Dívida'!AT$35*1000*$AD49/($AD$44+$AD$49)</f>
        <v>0</v>
      </c>
      <c r="AU49" s="51">
        <f>'Resultado Financeiro e Dívida'!AU$35*1000*$AD49/($AD$44+$AD$49)</f>
        <v>0</v>
      </c>
      <c r="AV49" s="51">
        <f>'Resultado Financeiro e Dívida'!AV$35*1000*$AD49/($AD$44+$AD$49)</f>
        <v>0</v>
      </c>
      <c r="AW49" s="51">
        <f>'Resultado Financeiro e Dívida'!AW$35*1000*$AD49/($AD$44+$AD$49)</f>
        <v>0</v>
      </c>
      <c r="AX49" s="51">
        <f>'Resultado Financeiro e Dívida'!AX$35*1000*$AD49/($AD$44+$AD$49)</f>
        <v>0</v>
      </c>
      <c r="AY49" s="51">
        <f>'Resultado Financeiro e Dívida'!AY$35*1000*$AD49/($AD$44+$AD$49)</f>
        <v>0</v>
      </c>
      <c r="AZ49" s="51">
        <f>'Resultado Financeiro e Dívida'!AZ$35*1000*$AD49/($AD$44+$AD$49)</f>
        <v>0</v>
      </c>
      <c r="BA49" s="51">
        <f>'Resultado Financeiro e Dívida'!BA$35*1000*$AD49/($AD$44+$AD$49)</f>
        <v>0</v>
      </c>
      <c r="BB49" s="51">
        <f>'Resultado Financeiro e Dívida'!BB$35*1000*$AD49/($AD$44+$AD$49)</f>
        <v>0</v>
      </c>
      <c r="BC49" s="51">
        <f>'Resultado Financeiro e Dívida'!BC$35*1000*$AD49/($AD$44+$AD$49)</f>
        <v>0</v>
      </c>
      <c r="BD49" s="51">
        <f>'Resultado Financeiro e Dívida'!BD$35*1000*$AD49/($AD$44+$AD$49)</f>
        <v>0</v>
      </c>
      <c r="BE49" s="51">
        <f>'Resultado Financeiro e Dívida'!BE$35*1000*$AD49/($AD$44+$AD$49)</f>
        <v>0</v>
      </c>
      <c r="BF49" s="51">
        <f>'Resultado Financeiro e Dívida'!BF$35*1000*$AD49/($AD$44+$AD$49)</f>
        <v>0</v>
      </c>
      <c r="BG49" s="51">
        <f>'Resultado Financeiro e Dívida'!BG$35*1000*$AD49/($AD$44+$AD$49)</f>
        <v>0</v>
      </c>
      <c r="BH49" s="51">
        <f>'Resultado Financeiro e Dívida'!BH$35*1000*$AD49/($AD$44+$AD$49)</f>
        <v>0</v>
      </c>
      <c r="BI49" s="51">
        <f>'Resultado Financeiro e Dívida'!BI$35*1000*$AD49/($AD$44+$AD$49)</f>
        <v>0</v>
      </c>
      <c r="BJ49" s="51">
        <f>'Resultado Financeiro e Dívida'!BJ$35*1000*$AD49/($AD$44+$AD$49)</f>
        <v>0</v>
      </c>
      <c r="BK49" s="51">
        <f>'Resultado Financeiro e Dívida'!BK$35*1000*$AD49/($AD$44+$AD$49)</f>
        <v>0</v>
      </c>
      <c r="BL49" s="51">
        <f>'Resultado Financeiro e Dívida'!BL$35*1000*$AD49/($AD$44+$AD$49)</f>
        <v>0</v>
      </c>
      <c r="BM49" s="51">
        <f>'Resultado Financeiro e Dívida'!BM$35*1000*$AD49/($AD$44+$AD$49)</f>
        <v>0</v>
      </c>
      <c r="BN49" s="51">
        <f>'Resultado Financeiro e Dívida'!BN$35*1000*$AD49/($AD$44+$AD$49)</f>
        <v>0</v>
      </c>
      <c r="BO49" s="51">
        <f>'Resultado Financeiro e Dívida'!BO$35*1000*$AD49/($AD$44+$AD$49)</f>
        <v>0</v>
      </c>
      <c r="BP49" s="51">
        <f>'Resultado Financeiro e Dívida'!BP$35*1000*$AD49/($AD$44+$AD$49)</f>
        <v>0</v>
      </c>
      <c r="BQ49" s="51">
        <f>'Resultado Financeiro e Dívida'!BQ$35*1000*$AD49/($AD$44+$AD$49)</f>
        <v>0</v>
      </c>
      <c r="BR49" s="51">
        <f>'Resultado Financeiro e Dívida'!BR$35*1000*$AD49/($AD$44+$AD$49)</f>
        <v>0</v>
      </c>
      <c r="BS49" s="51">
        <f>'Resultado Financeiro e Dívida'!BS$35*1000*$AD49/($AD$44+$AD$49)</f>
        <v>0</v>
      </c>
      <c r="BT49" s="51">
        <f>'Resultado Financeiro e Dívida'!BT$35*1000*$AD49/($AD$44+$AD$49)</f>
        <v>0</v>
      </c>
      <c r="BU49" s="51">
        <f>'Resultado Financeiro e Dívida'!BU$35*1000*$AD49/($AD$44+$AD$49)</f>
        <v>0</v>
      </c>
      <c r="BV49" s="51">
        <f>'Resultado Financeiro e Dívida'!BV$35*1000*$AD49/($AD$44+$AD$49)</f>
        <v>0</v>
      </c>
      <c r="BW49" s="51">
        <f>'Resultado Financeiro e Dívida'!BW$35*1000*$AD49/($AD$44+$AD$49)</f>
        <v>0</v>
      </c>
    </row>
    <row r="50" spans="1:75" x14ac:dyDescent="0.3">
      <c r="B50" s="42" t="s">
        <v>533</v>
      </c>
      <c r="C50"/>
      <c r="D50"/>
      <c r="E50"/>
      <c r="F50"/>
      <c r="G50"/>
      <c r="H50"/>
      <c r="I50"/>
      <c r="J50"/>
      <c r="K50"/>
      <c r="L50"/>
      <c r="M50"/>
      <c r="N50"/>
      <c r="O50"/>
      <c r="P50"/>
      <c r="Q50"/>
      <c r="R50"/>
      <c r="S50"/>
      <c r="T50"/>
      <c r="U50" s="49">
        <v>487467</v>
      </c>
      <c r="V50" s="51">
        <f t="shared" si="45"/>
        <v>487467</v>
      </c>
      <c r="W50" s="49">
        <v>412151</v>
      </c>
      <c r="X50" s="49">
        <v>931052</v>
      </c>
      <c r="Y50" s="49">
        <v>1061172</v>
      </c>
      <c r="Z50" s="49">
        <v>1436811</v>
      </c>
      <c r="AA50" s="51">
        <f t="shared" si="46"/>
        <v>1436811</v>
      </c>
      <c r="AB50" s="49">
        <v>1457071</v>
      </c>
      <c r="AC50" s="49">
        <v>1628705</v>
      </c>
      <c r="AD50" s="49">
        <v>1894048</v>
      </c>
      <c r="AE50" s="49">
        <v>1936736</v>
      </c>
      <c r="AF50" s="51">
        <f t="shared" si="37"/>
        <v>1936736</v>
      </c>
      <c r="AG50" s="51">
        <f t="shared" ref="AG50:BL50" si="63">AF50</f>
        <v>1936736</v>
      </c>
      <c r="AH50" s="51">
        <f t="shared" si="63"/>
        <v>1936736</v>
      </c>
      <c r="AI50" s="51">
        <f t="shared" si="63"/>
        <v>1936736</v>
      </c>
      <c r="AJ50" s="51">
        <f t="shared" si="63"/>
        <v>1936736</v>
      </c>
      <c r="AK50" s="51">
        <f t="shared" si="63"/>
        <v>1936736</v>
      </c>
      <c r="AL50" s="51">
        <f t="shared" si="63"/>
        <v>1936736</v>
      </c>
      <c r="AM50" s="51">
        <f t="shared" si="63"/>
        <v>1936736</v>
      </c>
      <c r="AN50" s="51">
        <f t="shared" si="63"/>
        <v>1936736</v>
      </c>
      <c r="AO50" s="51">
        <f t="shared" si="63"/>
        <v>1936736</v>
      </c>
      <c r="AP50" s="51">
        <f t="shared" si="63"/>
        <v>1936736</v>
      </c>
      <c r="AQ50" s="51">
        <f t="shared" si="63"/>
        <v>1936736</v>
      </c>
      <c r="AR50" s="51">
        <f t="shared" si="63"/>
        <v>1936736</v>
      </c>
      <c r="AS50" s="51">
        <f t="shared" si="63"/>
        <v>1936736</v>
      </c>
      <c r="AT50" s="51">
        <f t="shared" si="63"/>
        <v>1936736</v>
      </c>
      <c r="AU50" s="51">
        <f t="shared" si="63"/>
        <v>1936736</v>
      </c>
      <c r="AV50" s="51">
        <f t="shared" si="63"/>
        <v>1936736</v>
      </c>
      <c r="AW50" s="51">
        <f t="shared" si="63"/>
        <v>1936736</v>
      </c>
      <c r="AX50" s="51">
        <f t="shared" si="63"/>
        <v>1936736</v>
      </c>
      <c r="AY50" s="51">
        <f t="shared" si="63"/>
        <v>1936736</v>
      </c>
      <c r="AZ50" s="51">
        <f t="shared" si="63"/>
        <v>1936736</v>
      </c>
      <c r="BA50" s="51">
        <f t="shared" si="63"/>
        <v>1936736</v>
      </c>
      <c r="BB50" s="51">
        <f t="shared" si="63"/>
        <v>1936736</v>
      </c>
      <c r="BC50" s="51">
        <f t="shared" si="63"/>
        <v>1936736</v>
      </c>
      <c r="BD50" s="51">
        <f t="shared" si="63"/>
        <v>1936736</v>
      </c>
      <c r="BE50" s="51">
        <f t="shared" si="63"/>
        <v>1936736</v>
      </c>
      <c r="BF50" s="51">
        <f t="shared" si="63"/>
        <v>1936736</v>
      </c>
      <c r="BG50" s="51">
        <f t="shared" si="63"/>
        <v>1936736</v>
      </c>
      <c r="BH50" s="51">
        <f t="shared" si="63"/>
        <v>1936736</v>
      </c>
      <c r="BI50" s="51">
        <f t="shared" si="63"/>
        <v>1936736</v>
      </c>
      <c r="BJ50" s="51">
        <f t="shared" si="63"/>
        <v>1936736</v>
      </c>
      <c r="BK50" s="51">
        <f t="shared" si="63"/>
        <v>1936736</v>
      </c>
      <c r="BL50" s="51">
        <f t="shared" si="63"/>
        <v>1936736</v>
      </c>
      <c r="BM50" s="51">
        <f t="shared" ref="BM50:BW50" si="64">BL50</f>
        <v>1936736</v>
      </c>
      <c r="BN50" s="51">
        <f t="shared" si="64"/>
        <v>1936736</v>
      </c>
      <c r="BO50" s="51">
        <f t="shared" si="64"/>
        <v>1936736</v>
      </c>
      <c r="BP50" s="51">
        <f t="shared" si="64"/>
        <v>1936736</v>
      </c>
      <c r="BQ50" s="51">
        <f t="shared" si="64"/>
        <v>1936736</v>
      </c>
      <c r="BR50" s="51">
        <f t="shared" si="64"/>
        <v>1936736</v>
      </c>
      <c r="BS50" s="51">
        <f t="shared" si="64"/>
        <v>1936736</v>
      </c>
      <c r="BT50" s="51">
        <f t="shared" si="64"/>
        <v>1936736</v>
      </c>
      <c r="BU50" s="51">
        <f t="shared" si="64"/>
        <v>1936736</v>
      </c>
      <c r="BV50" s="51">
        <f t="shared" si="64"/>
        <v>1936736</v>
      </c>
      <c r="BW50" s="51">
        <f t="shared" si="64"/>
        <v>1936736</v>
      </c>
    </row>
    <row r="51" spans="1:75" x14ac:dyDescent="0.3">
      <c r="A51" s="1" t="s">
        <v>157</v>
      </c>
      <c r="B51" s="42" t="s">
        <v>150</v>
      </c>
      <c r="C51" s="49">
        <v>13161</v>
      </c>
      <c r="D51" s="49">
        <v>13161</v>
      </c>
      <c r="E51" s="49">
        <v>13161</v>
      </c>
      <c r="F51" s="49">
        <v>14057</v>
      </c>
      <c r="G51" s="51">
        <f t="shared" si="42"/>
        <v>14057</v>
      </c>
      <c r="H51" s="49">
        <v>944170</v>
      </c>
      <c r="I51" s="49">
        <v>1018806</v>
      </c>
      <c r="J51" s="49">
        <v>1058481</v>
      </c>
      <c r="K51" s="49">
        <v>14918</v>
      </c>
      <c r="L51" s="51">
        <f t="shared" si="43"/>
        <v>14918</v>
      </c>
      <c r="M51" s="49">
        <v>15343</v>
      </c>
      <c r="N51" s="49">
        <v>16111</v>
      </c>
      <c r="O51" s="49">
        <v>15362</v>
      </c>
      <c r="P51" s="49">
        <v>14600</v>
      </c>
      <c r="Q51" s="51">
        <f t="shared" si="44"/>
        <v>14600</v>
      </c>
      <c r="R51" s="49">
        <v>14408</v>
      </c>
      <c r="S51" s="49">
        <v>14754</v>
      </c>
      <c r="T51" s="49">
        <v>14569</v>
      </c>
      <c r="U51" s="49">
        <v>762</v>
      </c>
      <c r="V51" s="51">
        <f t="shared" si="45"/>
        <v>762</v>
      </c>
      <c r="W51" s="49">
        <v>1958</v>
      </c>
      <c r="X51" s="49">
        <v>2063</v>
      </c>
      <c r="Y51" s="49">
        <v>1890</v>
      </c>
      <c r="Z51" s="49">
        <v>3346</v>
      </c>
      <c r="AA51" s="51">
        <f t="shared" si="46"/>
        <v>3346</v>
      </c>
      <c r="AB51" s="49">
        <v>797954</v>
      </c>
      <c r="AC51" s="49">
        <v>729561</v>
      </c>
      <c r="AD51" s="49">
        <f>751140+30550</f>
        <v>781690</v>
      </c>
      <c r="AE51" s="49">
        <v>823473</v>
      </c>
      <c r="AF51" s="51">
        <f t="shared" si="37"/>
        <v>823473</v>
      </c>
      <c r="AG51" s="49">
        <f>AF51-786723</f>
        <v>36750</v>
      </c>
      <c r="AH51" s="51">
        <f t="shared" ref="AG51:BL52" si="65">AG51</f>
        <v>36750</v>
      </c>
      <c r="AI51" s="51">
        <f t="shared" si="65"/>
        <v>36750</v>
      </c>
      <c r="AJ51" s="51">
        <f t="shared" si="65"/>
        <v>36750</v>
      </c>
      <c r="AK51" s="51">
        <f t="shared" si="65"/>
        <v>36750</v>
      </c>
      <c r="AL51" s="51">
        <f t="shared" si="65"/>
        <v>36750</v>
      </c>
      <c r="AM51" s="51">
        <f t="shared" si="65"/>
        <v>36750</v>
      </c>
      <c r="AN51" s="51">
        <f t="shared" si="65"/>
        <v>36750</v>
      </c>
      <c r="AO51" s="51">
        <f t="shared" si="65"/>
        <v>36750</v>
      </c>
      <c r="AP51" s="51">
        <f t="shared" si="65"/>
        <v>36750</v>
      </c>
      <c r="AQ51" s="51">
        <f t="shared" si="65"/>
        <v>36750</v>
      </c>
      <c r="AR51" s="51">
        <f t="shared" si="65"/>
        <v>36750</v>
      </c>
      <c r="AS51" s="51">
        <f t="shared" si="65"/>
        <v>36750</v>
      </c>
      <c r="AT51" s="51">
        <f t="shared" si="65"/>
        <v>36750</v>
      </c>
      <c r="AU51" s="51">
        <f t="shared" si="65"/>
        <v>36750</v>
      </c>
      <c r="AV51" s="51">
        <f t="shared" si="65"/>
        <v>36750</v>
      </c>
      <c r="AW51" s="51">
        <f t="shared" si="65"/>
        <v>36750</v>
      </c>
      <c r="AX51" s="51">
        <f t="shared" si="65"/>
        <v>36750</v>
      </c>
      <c r="AY51" s="51">
        <f t="shared" si="65"/>
        <v>36750</v>
      </c>
      <c r="AZ51" s="51">
        <f t="shared" si="65"/>
        <v>36750</v>
      </c>
      <c r="BA51" s="51">
        <f t="shared" si="65"/>
        <v>36750</v>
      </c>
      <c r="BB51" s="51">
        <f t="shared" si="65"/>
        <v>36750</v>
      </c>
      <c r="BC51" s="51">
        <f t="shared" si="65"/>
        <v>36750</v>
      </c>
      <c r="BD51" s="51">
        <f t="shared" si="65"/>
        <v>36750</v>
      </c>
      <c r="BE51" s="51">
        <f t="shared" si="65"/>
        <v>36750</v>
      </c>
      <c r="BF51" s="51">
        <f t="shared" si="65"/>
        <v>36750</v>
      </c>
      <c r="BG51" s="51">
        <f t="shared" si="65"/>
        <v>36750</v>
      </c>
      <c r="BH51" s="51">
        <f t="shared" si="65"/>
        <v>36750</v>
      </c>
      <c r="BI51" s="51">
        <f t="shared" si="65"/>
        <v>36750</v>
      </c>
      <c r="BJ51" s="51">
        <f t="shared" si="65"/>
        <v>36750</v>
      </c>
      <c r="BK51" s="51">
        <f t="shared" si="65"/>
        <v>36750</v>
      </c>
      <c r="BL51" s="51">
        <f t="shared" si="65"/>
        <v>36750</v>
      </c>
      <c r="BM51" s="51">
        <f t="shared" ref="BM51:BW51" si="66">BL51</f>
        <v>36750</v>
      </c>
      <c r="BN51" s="51">
        <f t="shared" si="66"/>
        <v>36750</v>
      </c>
      <c r="BO51" s="51">
        <f t="shared" si="66"/>
        <v>36750</v>
      </c>
      <c r="BP51" s="51">
        <f t="shared" si="66"/>
        <v>36750</v>
      </c>
      <c r="BQ51" s="51">
        <f t="shared" si="66"/>
        <v>36750</v>
      </c>
      <c r="BR51" s="51">
        <f t="shared" si="66"/>
        <v>36750</v>
      </c>
      <c r="BS51" s="51">
        <f t="shared" si="66"/>
        <v>36750</v>
      </c>
      <c r="BT51" s="51">
        <f t="shared" si="66"/>
        <v>36750</v>
      </c>
      <c r="BU51" s="51">
        <f t="shared" si="66"/>
        <v>36750</v>
      </c>
      <c r="BV51" s="51">
        <f t="shared" si="66"/>
        <v>36750</v>
      </c>
      <c r="BW51" s="51">
        <f t="shared" si="66"/>
        <v>36750</v>
      </c>
    </row>
    <row r="52" spans="1:75" x14ac:dyDescent="0.3">
      <c r="A52" s="1" t="s">
        <v>158</v>
      </c>
      <c r="B52" s="42" t="s">
        <v>131</v>
      </c>
      <c r="C52" s="49">
        <v>25447</v>
      </c>
      <c r="D52" s="49">
        <v>18859</v>
      </c>
      <c r="E52" s="49">
        <v>2108</v>
      </c>
      <c r="F52" s="49">
        <v>0</v>
      </c>
      <c r="G52" s="51">
        <f t="shared" si="42"/>
        <v>0</v>
      </c>
      <c r="H52" s="49">
        <v>2272</v>
      </c>
      <c r="I52" s="49">
        <v>0</v>
      </c>
      <c r="J52" s="49">
        <v>0</v>
      </c>
      <c r="K52" s="49">
        <v>0</v>
      </c>
      <c r="L52" s="51">
        <f t="shared" si="43"/>
        <v>0</v>
      </c>
      <c r="M52" s="49">
        <v>0</v>
      </c>
      <c r="N52" s="49">
        <v>0</v>
      </c>
      <c r="O52" s="49">
        <v>0</v>
      </c>
      <c r="P52" s="49">
        <v>0</v>
      </c>
      <c r="Q52" s="51">
        <f t="shared" si="44"/>
        <v>0</v>
      </c>
      <c r="R52" s="49">
        <v>0</v>
      </c>
      <c r="S52" s="49">
        <v>0</v>
      </c>
      <c r="T52" s="49">
        <v>0</v>
      </c>
      <c r="U52" s="49">
        <v>0</v>
      </c>
      <c r="V52" s="51">
        <f t="shared" si="45"/>
        <v>0</v>
      </c>
      <c r="W52" s="49">
        <v>0</v>
      </c>
      <c r="X52" s="49">
        <v>0</v>
      </c>
      <c r="Y52" s="49">
        <v>0</v>
      </c>
      <c r="Z52" s="49">
        <v>0</v>
      </c>
      <c r="AA52" s="51">
        <f t="shared" si="46"/>
        <v>0</v>
      </c>
      <c r="AB52" s="49">
        <v>0</v>
      </c>
      <c r="AC52" s="49">
        <v>0</v>
      </c>
      <c r="AD52" s="49">
        <v>0</v>
      </c>
      <c r="AE52" s="49">
        <v>0</v>
      </c>
      <c r="AF52" s="51">
        <f t="shared" si="37"/>
        <v>0</v>
      </c>
      <c r="AG52" s="51">
        <f t="shared" si="65"/>
        <v>0</v>
      </c>
      <c r="AH52" s="51">
        <f t="shared" si="65"/>
        <v>0</v>
      </c>
      <c r="AI52" s="51">
        <f t="shared" si="65"/>
        <v>0</v>
      </c>
      <c r="AJ52" s="51">
        <f t="shared" si="65"/>
        <v>0</v>
      </c>
      <c r="AK52" s="51">
        <f t="shared" si="65"/>
        <v>0</v>
      </c>
      <c r="AL52" s="51">
        <f t="shared" si="65"/>
        <v>0</v>
      </c>
      <c r="AM52" s="51">
        <f t="shared" si="65"/>
        <v>0</v>
      </c>
      <c r="AN52" s="51">
        <f t="shared" si="65"/>
        <v>0</v>
      </c>
      <c r="AO52" s="51">
        <f t="shared" si="65"/>
        <v>0</v>
      </c>
      <c r="AP52" s="51">
        <f t="shared" si="65"/>
        <v>0</v>
      </c>
      <c r="AQ52" s="51">
        <f t="shared" si="65"/>
        <v>0</v>
      </c>
      <c r="AR52" s="51">
        <f t="shared" si="65"/>
        <v>0</v>
      </c>
      <c r="AS52" s="51">
        <f t="shared" si="65"/>
        <v>0</v>
      </c>
      <c r="AT52" s="51">
        <f t="shared" si="65"/>
        <v>0</v>
      </c>
      <c r="AU52" s="51">
        <f t="shared" si="65"/>
        <v>0</v>
      </c>
      <c r="AV52" s="51">
        <f t="shared" si="65"/>
        <v>0</v>
      </c>
      <c r="AW52" s="51">
        <f t="shared" si="65"/>
        <v>0</v>
      </c>
      <c r="AX52" s="51">
        <f t="shared" si="65"/>
        <v>0</v>
      </c>
      <c r="AY52" s="51">
        <f t="shared" si="65"/>
        <v>0</v>
      </c>
      <c r="AZ52" s="51">
        <f t="shared" si="65"/>
        <v>0</v>
      </c>
      <c r="BA52" s="51">
        <f t="shared" si="65"/>
        <v>0</v>
      </c>
      <c r="BB52" s="51">
        <f t="shared" si="65"/>
        <v>0</v>
      </c>
      <c r="BC52" s="51">
        <f t="shared" si="65"/>
        <v>0</v>
      </c>
      <c r="BD52" s="51">
        <f t="shared" si="65"/>
        <v>0</v>
      </c>
      <c r="BE52" s="51">
        <f t="shared" si="65"/>
        <v>0</v>
      </c>
      <c r="BF52" s="51">
        <f t="shared" si="65"/>
        <v>0</v>
      </c>
      <c r="BG52" s="51">
        <f t="shared" si="65"/>
        <v>0</v>
      </c>
      <c r="BH52" s="51">
        <f t="shared" si="65"/>
        <v>0</v>
      </c>
      <c r="BI52" s="51">
        <f t="shared" si="65"/>
        <v>0</v>
      </c>
      <c r="BJ52" s="51">
        <f t="shared" si="65"/>
        <v>0</v>
      </c>
      <c r="BK52" s="51">
        <f t="shared" si="65"/>
        <v>0</v>
      </c>
      <c r="BL52" s="51">
        <f t="shared" si="65"/>
        <v>0</v>
      </c>
      <c r="BM52" s="51">
        <f t="shared" ref="BM52:BW52" si="67">BL52</f>
        <v>0</v>
      </c>
      <c r="BN52" s="51">
        <f t="shared" si="67"/>
        <v>0</v>
      </c>
      <c r="BO52" s="51">
        <f t="shared" si="67"/>
        <v>0</v>
      </c>
      <c r="BP52" s="51">
        <f t="shared" si="67"/>
        <v>0</v>
      </c>
      <c r="BQ52" s="51">
        <f t="shared" si="67"/>
        <v>0</v>
      </c>
      <c r="BR52" s="51">
        <f t="shared" si="67"/>
        <v>0</v>
      </c>
      <c r="BS52" s="51">
        <f t="shared" si="67"/>
        <v>0</v>
      </c>
      <c r="BT52" s="51">
        <f t="shared" si="67"/>
        <v>0</v>
      </c>
      <c r="BU52" s="51">
        <f t="shared" si="67"/>
        <v>0</v>
      </c>
      <c r="BV52" s="51">
        <f t="shared" si="67"/>
        <v>0</v>
      </c>
      <c r="BW52" s="51">
        <f t="shared" si="67"/>
        <v>0</v>
      </c>
    </row>
    <row r="53" spans="1:75" x14ac:dyDescent="0.3">
      <c r="A53" s="1" t="s">
        <v>159</v>
      </c>
      <c r="B53" s="42" t="s">
        <v>151</v>
      </c>
      <c r="C53" s="49">
        <v>89941</v>
      </c>
      <c r="D53" s="49">
        <v>106416</v>
      </c>
      <c r="E53" s="49">
        <v>106362</v>
      </c>
      <c r="F53" s="49">
        <v>53879</v>
      </c>
      <c r="G53" s="51">
        <f t="shared" si="42"/>
        <v>53879</v>
      </c>
      <c r="H53" s="49">
        <v>656202</v>
      </c>
      <c r="I53" s="49">
        <v>563933</v>
      </c>
      <c r="J53" s="49">
        <v>625273</v>
      </c>
      <c r="K53" s="49">
        <v>829246</v>
      </c>
      <c r="L53" s="51">
        <f t="shared" si="43"/>
        <v>829246</v>
      </c>
      <c r="M53" s="49">
        <v>938838</v>
      </c>
      <c r="N53" s="49">
        <v>996106</v>
      </c>
      <c r="O53" s="49">
        <v>1273718</v>
      </c>
      <c r="P53" s="49">
        <v>714313</v>
      </c>
      <c r="Q53" s="51">
        <f t="shared" si="44"/>
        <v>714313</v>
      </c>
      <c r="R53" s="49">
        <v>944654</v>
      </c>
      <c r="S53" s="49">
        <v>889337</v>
      </c>
      <c r="T53" s="49">
        <v>835671</v>
      </c>
      <c r="U53" s="49">
        <v>719573</v>
      </c>
      <c r="V53" s="51">
        <f t="shared" si="45"/>
        <v>719573</v>
      </c>
      <c r="W53" s="49">
        <v>592462</v>
      </c>
      <c r="X53" s="49">
        <v>675662</v>
      </c>
      <c r="Y53" s="49">
        <v>702022</v>
      </c>
      <c r="Z53" s="49">
        <v>294981</v>
      </c>
      <c r="AA53" s="51">
        <f t="shared" si="46"/>
        <v>294981</v>
      </c>
      <c r="AB53" s="49">
        <v>2300388</v>
      </c>
      <c r="AC53" s="49">
        <v>2613821</v>
      </c>
      <c r="AD53" s="49">
        <f>1638258+1015013</f>
        <v>2653271</v>
      </c>
      <c r="AE53" s="49">
        <v>2067530</v>
      </c>
      <c r="AF53" s="51">
        <f t="shared" si="37"/>
        <v>2067530</v>
      </c>
      <c r="AG53" s="51">
        <f t="shared" ref="AG53:BL53" si="68">AF53</f>
        <v>2067530</v>
      </c>
      <c r="AH53" s="51">
        <f t="shared" si="68"/>
        <v>2067530</v>
      </c>
      <c r="AI53" s="51">
        <f t="shared" si="68"/>
        <v>2067530</v>
      </c>
      <c r="AJ53" s="51">
        <f t="shared" si="68"/>
        <v>2067530</v>
      </c>
      <c r="AK53" s="51">
        <f t="shared" si="68"/>
        <v>2067530</v>
      </c>
      <c r="AL53" s="51">
        <f t="shared" si="68"/>
        <v>2067530</v>
      </c>
      <c r="AM53" s="51">
        <f t="shared" si="68"/>
        <v>2067530</v>
      </c>
      <c r="AN53" s="51">
        <f t="shared" si="68"/>
        <v>2067530</v>
      </c>
      <c r="AO53" s="51">
        <f t="shared" si="68"/>
        <v>2067530</v>
      </c>
      <c r="AP53" s="51">
        <f t="shared" si="68"/>
        <v>2067530</v>
      </c>
      <c r="AQ53" s="51">
        <f t="shared" si="68"/>
        <v>2067530</v>
      </c>
      <c r="AR53" s="51">
        <f t="shared" si="68"/>
        <v>2067530</v>
      </c>
      <c r="AS53" s="51">
        <f t="shared" si="68"/>
        <v>2067530</v>
      </c>
      <c r="AT53" s="51">
        <f t="shared" si="68"/>
        <v>2067530</v>
      </c>
      <c r="AU53" s="51">
        <f t="shared" si="68"/>
        <v>2067530</v>
      </c>
      <c r="AV53" s="51">
        <f t="shared" si="68"/>
        <v>2067530</v>
      </c>
      <c r="AW53" s="51">
        <f t="shared" si="68"/>
        <v>2067530</v>
      </c>
      <c r="AX53" s="51">
        <f t="shared" si="68"/>
        <v>2067530</v>
      </c>
      <c r="AY53" s="51">
        <f t="shared" si="68"/>
        <v>2067530</v>
      </c>
      <c r="AZ53" s="51">
        <f t="shared" si="68"/>
        <v>2067530</v>
      </c>
      <c r="BA53" s="51">
        <f t="shared" si="68"/>
        <v>2067530</v>
      </c>
      <c r="BB53" s="51">
        <f t="shared" si="68"/>
        <v>2067530</v>
      </c>
      <c r="BC53" s="51">
        <f t="shared" si="68"/>
        <v>2067530</v>
      </c>
      <c r="BD53" s="51">
        <f t="shared" si="68"/>
        <v>2067530</v>
      </c>
      <c r="BE53" s="51">
        <f t="shared" si="68"/>
        <v>2067530</v>
      </c>
      <c r="BF53" s="51">
        <f t="shared" si="68"/>
        <v>2067530</v>
      </c>
      <c r="BG53" s="51">
        <f t="shared" si="68"/>
        <v>2067530</v>
      </c>
      <c r="BH53" s="51">
        <f t="shared" si="68"/>
        <v>2067530</v>
      </c>
      <c r="BI53" s="51">
        <f t="shared" si="68"/>
        <v>2067530</v>
      </c>
      <c r="BJ53" s="51">
        <f t="shared" si="68"/>
        <v>2067530</v>
      </c>
      <c r="BK53" s="51">
        <f t="shared" si="68"/>
        <v>2067530</v>
      </c>
      <c r="BL53" s="51">
        <f t="shared" si="68"/>
        <v>2067530</v>
      </c>
      <c r="BM53" s="51">
        <f t="shared" ref="BM53:BW53" si="69">BL53</f>
        <v>2067530</v>
      </c>
      <c r="BN53" s="51">
        <f t="shared" si="69"/>
        <v>2067530</v>
      </c>
      <c r="BO53" s="51">
        <f t="shared" si="69"/>
        <v>2067530</v>
      </c>
      <c r="BP53" s="51">
        <f t="shared" si="69"/>
        <v>2067530</v>
      </c>
      <c r="BQ53" s="51">
        <f t="shared" si="69"/>
        <v>2067530</v>
      </c>
      <c r="BR53" s="51">
        <f t="shared" si="69"/>
        <v>2067530</v>
      </c>
      <c r="BS53" s="51">
        <f t="shared" si="69"/>
        <v>2067530</v>
      </c>
      <c r="BT53" s="51">
        <f t="shared" si="69"/>
        <v>2067530</v>
      </c>
      <c r="BU53" s="51">
        <f t="shared" si="69"/>
        <v>2067530</v>
      </c>
      <c r="BV53" s="51">
        <f t="shared" si="69"/>
        <v>2067530</v>
      </c>
      <c r="BW53" s="51">
        <f t="shared" si="69"/>
        <v>2067530</v>
      </c>
    </row>
    <row r="54" spans="1:75" s="38" customFormat="1" x14ac:dyDescent="0.3">
      <c r="A54" s="1" t="s">
        <v>160</v>
      </c>
      <c r="B54" s="64" t="s">
        <v>174</v>
      </c>
      <c r="C54" s="48">
        <f t="shared" ref="C54:AE54" si="70">C55+C56+C57+C58+C59+C60+C61</f>
        <v>881116</v>
      </c>
      <c r="D54" s="48">
        <f t="shared" si="70"/>
        <v>941004</v>
      </c>
      <c r="E54" s="48">
        <f t="shared" si="70"/>
        <v>959645</v>
      </c>
      <c r="F54" s="48">
        <f t="shared" si="70"/>
        <v>982174</v>
      </c>
      <c r="G54" s="48">
        <f t="shared" si="70"/>
        <v>982174</v>
      </c>
      <c r="H54" s="48">
        <f t="shared" si="70"/>
        <v>1032595</v>
      </c>
      <c r="I54" s="48">
        <f t="shared" si="70"/>
        <v>1199765</v>
      </c>
      <c r="J54" s="48">
        <f t="shared" si="70"/>
        <v>1315232</v>
      </c>
      <c r="K54" s="48">
        <f t="shared" si="70"/>
        <v>2165101</v>
      </c>
      <c r="L54" s="48">
        <f t="shared" si="70"/>
        <v>2165101</v>
      </c>
      <c r="M54" s="48">
        <f t="shared" si="70"/>
        <v>2562657</v>
      </c>
      <c r="N54" s="48">
        <f t="shared" si="70"/>
        <v>2581166</v>
      </c>
      <c r="O54" s="48">
        <f t="shared" si="70"/>
        <v>2542845</v>
      </c>
      <c r="P54" s="48">
        <f t="shared" si="70"/>
        <v>3151263</v>
      </c>
      <c r="Q54" s="48">
        <f t="shared" si="70"/>
        <v>3151263</v>
      </c>
      <c r="R54" s="48">
        <f t="shared" si="70"/>
        <v>5335225</v>
      </c>
      <c r="S54" s="48">
        <f t="shared" si="70"/>
        <v>5421757</v>
      </c>
      <c r="T54" s="48">
        <f t="shared" si="70"/>
        <v>5686920</v>
      </c>
      <c r="U54" s="48">
        <f t="shared" si="70"/>
        <v>6620249</v>
      </c>
      <c r="V54" s="48">
        <f t="shared" si="70"/>
        <v>6620249</v>
      </c>
      <c r="W54" s="48">
        <f t="shared" si="70"/>
        <v>6722946</v>
      </c>
      <c r="X54" s="48">
        <f t="shared" si="70"/>
        <v>8171627</v>
      </c>
      <c r="Y54" s="48">
        <f t="shared" si="70"/>
        <v>9237921</v>
      </c>
      <c r="Z54" s="48">
        <f t="shared" si="70"/>
        <v>9892017</v>
      </c>
      <c r="AA54" s="48">
        <f t="shared" si="70"/>
        <v>9892017</v>
      </c>
      <c r="AB54" s="48">
        <f t="shared" si="70"/>
        <v>10628965</v>
      </c>
      <c r="AC54" s="48">
        <f t="shared" si="70"/>
        <v>10753888</v>
      </c>
      <c r="AD54" s="48">
        <f t="shared" si="70"/>
        <v>12901104</v>
      </c>
      <c r="AE54" s="48">
        <f t="shared" si="70"/>
        <v>13878280</v>
      </c>
      <c r="AF54" s="48">
        <f t="shared" si="37"/>
        <v>13878280</v>
      </c>
      <c r="AG54" s="48">
        <f t="shared" ref="AG54:BW54" ca="1" si="71">AG15-AG39-AG48</f>
        <v>19386892.616356295</v>
      </c>
      <c r="AH54" s="48">
        <f t="shared" ca="1" si="71"/>
        <v>22449122.898414917</v>
      </c>
      <c r="AI54" s="48">
        <f t="shared" ca="1" si="71"/>
        <v>25077599.207375865</v>
      </c>
      <c r="AJ54" s="48">
        <f t="shared" ca="1" si="71"/>
        <v>25235754.620692156</v>
      </c>
      <c r="AK54" s="48">
        <f t="shared" ca="1" si="71"/>
        <v>24456774.78992046</v>
      </c>
      <c r="AL54" s="48">
        <f t="shared" ca="1" si="71"/>
        <v>23286512.903390273</v>
      </c>
      <c r="AM54" s="48">
        <f t="shared" ca="1" si="71"/>
        <v>20419566.215200137</v>
      </c>
      <c r="AN54" s="48">
        <f t="shared" ca="1" si="71"/>
        <v>17518758.643430434</v>
      </c>
      <c r="AO54" s="48">
        <f t="shared" ca="1" si="71"/>
        <v>15262259.275893182</v>
      </c>
      <c r="AP54" s="48">
        <f t="shared" ca="1" si="71"/>
        <v>13331821.813666269</v>
      </c>
      <c r="AQ54" s="48">
        <f t="shared" ca="1" si="71"/>
        <v>11677811.55127657</v>
      </c>
      <c r="AR54" s="48">
        <f t="shared" ca="1" si="71"/>
        <v>10198216.192434719</v>
      </c>
      <c r="AS54" s="48">
        <f t="shared" ca="1" si="71"/>
        <v>8862038.1982155871</v>
      </c>
      <c r="AT54" s="48">
        <f t="shared" ca="1" si="71"/>
        <v>7591263.427058598</v>
      </c>
      <c r="AU54" s="48">
        <f t="shared" ca="1" si="71"/>
        <v>6553710.9141927604</v>
      </c>
      <c r="AV54" s="48">
        <f t="shared" ca="1" si="71"/>
        <v>5744076.3166146725</v>
      </c>
      <c r="AW54" s="48">
        <f t="shared" ca="1" si="71"/>
        <v>4738835.7874478903</v>
      </c>
      <c r="AX54" s="48">
        <f t="shared" ca="1" si="71"/>
        <v>4091054.9513978017</v>
      </c>
      <c r="AY54" s="48">
        <f t="shared" ca="1" si="71"/>
        <v>3522364.1311612874</v>
      </c>
      <c r="AZ54" s="48">
        <f t="shared" ca="1" si="71"/>
        <v>3001113.5020261453</v>
      </c>
      <c r="BA54" s="48">
        <f t="shared" ca="1" si="71"/>
        <v>2561700.5585953128</v>
      </c>
      <c r="BB54" s="48">
        <f t="shared" ca="1" si="71"/>
        <v>2119082.9367898852</v>
      </c>
      <c r="BC54" s="48">
        <f t="shared" ca="1" si="71"/>
        <v>1743567.5523072733</v>
      </c>
      <c r="BD54" s="48">
        <f t="shared" ca="1" si="71"/>
        <v>1374854.5482596625</v>
      </c>
      <c r="BE54" s="48">
        <f t="shared" ca="1" si="71"/>
        <v>1017679.8432709165</v>
      </c>
      <c r="BF54" s="48">
        <f t="shared" ca="1" si="71"/>
        <v>569448.05064332113</v>
      </c>
      <c r="BG54" s="48">
        <f t="shared" ca="1" si="71"/>
        <v>-198864.04774185317</v>
      </c>
      <c r="BH54" s="48">
        <f t="shared" ca="1" si="71"/>
        <v>-680754.19194458518</v>
      </c>
      <c r="BI54" s="48">
        <f t="shared" ca="1" si="71"/>
        <v>-1001767.2355087595</v>
      </c>
      <c r="BJ54" s="48">
        <f t="shared" ca="1" si="71"/>
        <v>-1587419</v>
      </c>
      <c r="BK54" s="48">
        <f t="shared" ca="1" si="71"/>
        <v>-1587419</v>
      </c>
      <c r="BL54" s="48">
        <f t="shared" ca="1" si="71"/>
        <v>-1587419</v>
      </c>
      <c r="BM54" s="48">
        <f t="shared" ca="1" si="71"/>
        <v>-1587419</v>
      </c>
      <c r="BN54" s="48">
        <f t="shared" ca="1" si="71"/>
        <v>-1587419</v>
      </c>
      <c r="BO54" s="48">
        <f t="shared" ca="1" si="71"/>
        <v>-1587419</v>
      </c>
      <c r="BP54" s="48">
        <f t="shared" ca="1" si="71"/>
        <v>-1587419</v>
      </c>
      <c r="BQ54" s="48">
        <f t="shared" ca="1" si="71"/>
        <v>-1587419</v>
      </c>
      <c r="BR54" s="48">
        <f t="shared" ca="1" si="71"/>
        <v>-1587419</v>
      </c>
      <c r="BS54" s="48">
        <f t="shared" ca="1" si="71"/>
        <v>-1587419</v>
      </c>
      <c r="BT54" s="48">
        <f t="shared" ca="1" si="71"/>
        <v>-1587419</v>
      </c>
      <c r="BU54" s="48">
        <f t="shared" ca="1" si="71"/>
        <v>-1587419</v>
      </c>
      <c r="BV54" s="48">
        <f t="shared" ca="1" si="71"/>
        <v>-1587419</v>
      </c>
      <c r="BW54" s="48">
        <f t="shared" ca="1" si="71"/>
        <v>-1587419</v>
      </c>
    </row>
    <row r="55" spans="1:75" x14ac:dyDescent="0.3">
      <c r="A55" s="1" t="s">
        <v>161</v>
      </c>
      <c r="B55" s="47" t="s">
        <v>162</v>
      </c>
      <c r="C55" s="49">
        <v>3273110</v>
      </c>
      <c r="D55" s="49">
        <v>3273114</v>
      </c>
      <c r="E55" s="49">
        <v>3273114</v>
      </c>
      <c r="F55" s="49">
        <v>3273114</v>
      </c>
      <c r="G55" s="51">
        <f t="shared" si="42"/>
        <v>3273114</v>
      </c>
      <c r="H55" s="49">
        <v>3292211</v>
      </c>
      <c r="I55" s="49">
        <v>3307246</v>
      </c>
      <c r="J55" s="49">
        <v>3307246</v>
      </c>
      <c r="K55" s="49">
        <v>3316411</v>
      </c>
      <c r="L55" s="51">
        <f t="shared" si="43"/>
        <v>3316411</v>
      </c>
      <c r="M55" s="49">
        <v>3326998</v>
      </c>
      <c r="N55" s="49">
        <v>3326998</v>
      </c>
      <c r="O55" s="49">
        <v>3326998</v>
      </c>
      <c r="P55" s="49">
        <v>3326900</v>
      </c>
      <c r="Q55" s="51">
        <f t="shared" si="44"/>
        <v>3326900</v>
      </c>
      <c r="R55" s="49">
        <v>5305772</v>
      </c>
      <c r="S55" s="49">
        <v>5303644</v>
      </c>
      <c r="T55" s="49">
        <v>5303644</v>
      </c>
      <c r="U55" s="49">
        <v>5303644</v>
      </c>
      <c r="V55" s="51">
        <f t="shared" si="45"/>
        <v>5303644</v>
      </c>
      <c r="W55" s="49">
        <v>5320231</v>
      </c>
      <c r="X55" s="49">
        <v>5320231</v>
      </c>
      <c r="Y55" s="49">
        <v>5319674</v>
      </c>
      <c r="Z55" s="49">
        <v>5319674</v>
      </c>
      <c r="AA55" s="51">
        <f t="shared" si="46"/>
        <v>5319674</v>
      </c>
      <c r="AB55" s="49">
        <v>5352792</v>
      </c>
      <c r="AC55" s="49">
        <v>5352792</v>
      </c>
      <c r="AD55" s="49">
        <v>5352792</v>
      </c>
      <c r="AE55" s="49">
        <v>5352792</v>
      </c>
      <c r="AF55" s="51">
        <f t="shared" si="37"/>
        <v>5352792</v>
      </c>
    </row>
    <row r="56" spans="1:75" x14ac:dyDescent="0.3">
      <c r="A56" s="1" t="s">
        <v>163</v>
      </c>
      <c r="B56" s="47" t="s">
        <v>164</v>
      </c>
      <c r="C56" s="49">
        <v>72997</v>
      </c>
      <c r="D56" s="49">
        <v>49067</v>
      </c>
      <c r="E56" s="49">
        <v>50510</v>
      </c>
      <c r="F56" s="49">
        <v>67094</v>
      </c>
      <c r="G56" s="51">
        <f t="shared" si="42"/>
        <v>67094</v>
      </c>
      <c r="H56" s="49">
        <v>82240</v>
      </c>
      <c r="I56" s="49">
        <v>193448</v>
      </c>
      <c r="J56" s="49">
        <v>198284</v>
      </c>
      <c r="K56" s="49">
        <v>228027</v>
      </c>
      <c r="L56" s="51">
        <f t="shared" si="43"/>
        <v>228027</v>
      </c>
      <c r="M56" s="49">
        <v>229312</v>
      </c>
      <c r="N56" s="49">
        <v>231245</v>
      </c>
      <c r="O56" s="49">
        <v>233362</v>
      </c>
      <c r="P56" s="49">
        <v>321359</v>
      </c>
      <c r="Q56" s="51">
        <f t="shared" si="44"/>
        <v>321359</v>
      </c>
      <c r="R56" s="49">
        <v>321483</v>
      </c>
      <c r="S56" s="49">
        <v>322294</v>
      </c>
      <c r="T56" s="49">
        <v>338879</v>
      </c>
      <c r="U56" s="49">
        <v>348886</v>
      </c>
      <c r="V56" s="51">
        <f t="shared" si="45"/>
        <v>348886</v>
      </c>
      <c r="W56" s="49">
        <v>354036</v>
      </c>
      <c r="X56" s="49">
        <v>370351</v>
      </c>
      <c r="Y56" s="49">
        <v>381665</v>
      </c>
      <c r="Z56" s="49">
        <v>377427</v>
      </c>
      <c r="AA56" s="51">
        <f t="shared" si="46"/>
        <v>377427</v>
      </c>
      <c r="AB56" s="49">
        <v>199890</v>
      </c>
      <c r="AC56" s="49">
        <v>278597</v>
      </c>
      <c r="AD56" s="49">
        <v>295848</v>
      </c>
      <c r="AE56" s="49">
        <v>-171877</v>
      </c>
      <c r="AF56" s="51">
        <f t="shared" si="37"/>
        <v>-171877</v>
      </c>
    </row>
    <row r="57" spans="1:75" x14ac:dyDescent="0.3">
      <c r="A57" s="1" t="s">
        <v>165</v>
      </c>
      <c r="B57" s="47" t="s">
        <v>166</v>
      </c>
      <c r="C57"/>
      <c r="D57"/>
      <c r="E57"/>
      <c r="F57"/>
      <c r="G57"/>
      <c r="H57"/>
      <c r="I57"/>
      <c r="J57"/>
      <c r="K57"/>
      <c r="L57"/>
      <c r="M57"/>
      <c r="N57"/>
      <c r="O57"/>
      <c r="P57"/>
      <c r="Q57"/>
      <c r="R57"/>
      <c r="S57"/>
      <c r="T57"/>
      <c r="U57" s="49">
        <v>255381</v>
      </c>
      <c r="V57" s="51">
        <f t="shared" si="45"/>
        <v>255381</v>
      </c>
      <c r="W57" s="49">
        <v>255381</v>
      </c>
      <c r="X57" s="49">
        <v>255381</v>
      </c>
      <c r="Y57" s="49">
        <v>255381</v>
      </c>
      <c r="Z57" s="49">
        <v>255381</v>
      </c>
      <c r="AA57" s="51">
        <f t="shared" si="46"/>
        <v>255381</v>
      </c>
      <c r="AB57" s="49">
        <v>3682453</v>
      </c>
      <c r="AC57" s="49">
        <v>3256052</v>
      </c>
      <c r="AD57" s="49">
        <v>3256052</v>
      </c>
      <c r="AE57" s="49">
        <v>3256052</v>
      </c>
      <c r="AF57" s="51">
        <f t="shared" si="37"/>
        <v>3256052</v>
      </c>
    </row>
    <row r="58" spans="1:75" x14ac:dyDescent="0.3">
      <c r="A58" s="1" t="s">
        <v>167</v>
      </c>
      <c r="B58" s="47" t="s">
        <v>168</v>
      </c>
      <c r="C58" s="49">
        <v>-2545083</v>
      </c>
      <c r="D58" s="49">
        <v>-2474524</v>
      </c>
      <c r="E58" s="49">
        <v>-2403065</v>
      </c>
      <c r="F58" s="49">
        <v>-2372777</v>
      </c>
      <c r="G58" s="51">
        <f t="shared" si="42"/>
        <v>-2372777</v>
      </c>
      <c r="H58" s="49">
        <v>-2396581</v>
      </c>
      <c r="I58" s="49">
        <v>-2330919</v>
      </c>
      <c r="J58" s="49">
        <v>-2324981</v>
      </c>
      <c r="K58" s="49">
        <v>-1530431</v>
      </c>
      <c r="L58" s="51">
        <f t="shared" si="43"/>
        <v>-1530431</v>
      </c>
      <c r="M58" s="49">
        <v>-1591892</v>
      </c>
      <c r="N58" s="49">
        <v>-1691694</v>
      </c>
      <c r="O58" s="49">
        <v>-1802292</v>
      </c>
      <c r="P58" s="49">
        <v>-1077665</v>
      </c>
      <c r="Q58" s="51">
        <f t="shared" si="44"/>
        <v>-1077665</v>
      </c>
      <c r="R58" s="49">
        <v>-1143456</v>
      </c>
      <c r="S58" s="49">
        <v>-722554</v>
      </c>
      <c r="T58" s="49">
        <v>-625450</v>
      </c>
      <c r="U58" s="49">
        <v>0</v>
      </c>
      <c r="V58" s="51">
        <f t="shared" si="45"/>
        <v>0</v>
      </c>
      <c r="W58" s="49">
        <v>1068970</v>
      </c>
      <c r="X58" s="49">
        <v>1708050</v>
      </c>
      <c r="Y58" s="49">
        <v>2500364</v>
      </c>
      <c r="Z58" s="49">
        <v>3427072</v>
      </c>
      <c r="AA58" s="51">
        <f t="shared" si="46"/>
        <v>3427072</v>
      </c>
      <c r="AB58" s="49">
        <v>1162065</v>
      </c>
      <c r="AC58" s="49">
        <v>2003034</v>
      </c>
      <c r="AD58" s="49">
        <v>3631858</v>
      </c>
      <c r="AE58" s="49">
        <v>5545689</v>
      </c>
      <c r="AF58" s="51">
        <f t="shared" si="37"/>
        <v>5545689</v>
      </c>
    </row>
    <row r="59" spans="1:75" x14ac:dyDescent="0.3">
      <c r="A59" s="1" t="s">
        <v>169</v>
      </c>
      <c r="B59" s="47" t="s">
        <v>170</v>
      </c>
      <c r="C59" s="49">
        <v>15141</v>
      </c>
      <c r="D59" s="49">
        <v>-2838</v>
      </c>
      <c r="E59" s="49">
        <v>-64408</v>
      </c>
      <c r="F59" s="49">
        <v>-79314</v>
      </c>
      <c r="G59" s="51">
        <f t="shared" si="42"/>
        <v>-79314</v>
      </c>
      <c r="H59" s="49">
        <v>-57735</v>
      </c>
      <c r="I59" s="49">
        <v>-71873</v>
      </c>
      <c r="J59" s="49">
        <v>-63275</v>
      </c>
      <c r="K59" s="49">
        <v>0</v>
      </c>
      <c r="L59" s="51">
        <f t="shared" si="43"/>
        <v>0</v>
      </c>
      <c r="M59" s="49">
        <v>0</v>
      </c>
      <c r="N59" s="49">
        <v>0</v>
      </c>
      <c r="O59" s="49">
        <v>0</v>
      </c>
      <c r="P59" s="49">
        <v>0</v>
      </c>
      <c r="Q59" s="51">
        <f t="shared" si="44"/>
        <v>0</v>
      </c>
      <c r="R59" s="49">
        <v>0</v>
      </c>
      <c r="S59" s="49">
        <v>0</v>
      </c>
      <c r="T59" s="49">
        <v>0</v>
      </c>
      <c r="U59" s="49">
        <v>0</v>
      </c>
      <c r="V59" s="51">
        <f t="shared" si="45"/>
        <v>0</v>
      </c>
      <c r="W59" s="49">
        <v>0</v>
      </c>
      <c r="X59" s="49">
        <v>0</v>
      </c>
      <c r="Y59" s="49">
        <v>-39329</v>
      </c>
      <c r="Z59" s="49">
        <v>-89310</v>
      </c>
      <c r="AA59" s="51">
        <f t="shared" si="46"/>
        <v>-89310</v>
      </c>
      <c r="AB59" s="49">
        <v>-49500</v>
      </c>
      <c r="AC59" s="49">
        <v>101088</v>
      </c>
      <c r="AD59" s="49">
        <v>92221</v>
      </c>
      <c r="AE59" s="49">
        <v>80284</v>
      </c>
      <c r="AF59" s="51">
        <f t="shared" si="37"/>
        <v>80284</v>
      </c>
    </row>
    <row r="60" spans="1:75" x14ac:dyDescent="0.3">
      <c r="A60" s="1" t="s">
        <v>171</v>
      </c>
      <c r="B60" s="47" t="s">
        <v>172</v>
      </c>
      <c r="C60" s="49">
        <v>64951</v>
      </c>
      <c r="D60" s="49">
        <v>96185</v>
      </c>
      <c r="E60" s="49">
        <v>103494</v>
      </c>
      <c r="F60" s="49">
        <v>94057</v>
      </c>
      <c r="G60" s="51">
        <f t="shared" si="42"/>
        <v>94057</v>
      </c>
      <c r="H60" s="49">
        <v>111627</v>
      </c>
      <c r="I60" s="49">
        <v>100702</v>
      </c>
      <c r="J60" s="49">
        <v>196439</v>
      </c>
      <c r="K60" s="49">
        <v>150335</v>
      </c>
      <c r="L60" s="51">
        <f t="shared" si="43"/>
        <v>150335</v>
      </c>
      <c r="M60" s="49">
        <v>597260</v>
      </c>
      <c r="N60" s="49">
        <v>713624</v>
      </c>
      <c r="O60" s="49">
        <v>783746</v>
      </c>
      <c r="P60" s="49">
        <v>579820</v>
      </c>
      <c r="Q60" s="51">
        <f t="shared" si="44"/>
        <v>579820</v>
      </c>
      <c r="R60" s="49">
        <v>851426</v>
      </c>
      <c r="S60" s="49">
        <v>518373</v>
      </c>
      <c r="T60" s="49">
        <v>669847</v>
      </c>
      <c r="U60" s="49">
        <v>712338</v>
      </c>
      <c r="V60" s="51">
        <f t="shared" si="45"/>
        <v>712338</v>
      </c>
      <c r="W60" s="49">
        <v>-275672</v>
      </c>
      <c r="X60" s="49">
        <v>517614</v>
      </c>
      <c r="Y60" s="49">
        <v>820166</v>
      </c>
      <c r="Z60" s="49">
        <v>601773</v>
      </c>
      <c r="AA60" s="51">
        <f t="shared" si="46"/>
        <v>601773</v>
      </c>
      <c r="AB60" s="49">
        <v>281265</v>
      </c>
      <c r="AC60" s="49">
        <v>-237675</v>
      </c>
      <c r="AD60" s="49">
        <v>272333</v>
      </c>
      <c r="AE60" s="49">
        <v>-184660</v>
      </c>
      <c r="AF60" s="51">
        <f t="shared" si="37"/>
        <v>-184660</v>
      </c>
    </row>
    <row r="61" spans="1:75" x14ac:dyDescent="0.3">
      <c r="A61" s="1" t="s">
        <v>175</v>
      </c>
      <c r="B61" s="47" t="s">
        <v>176</v>
      </c>
      <c r="C61" s="49">
        <v>0</v>
      </c>
      <c r="D61" s="49">
        <v>0</v>
      </c>
      <c r="E61" s="49">
        <v>0</v>
      </c>
      <c r="F61" s="49">
        <v>0</v>
      </c>
      <c r="G61" s="51">
        <f t="shared" si="42"/>
        <v>0</v>
      </c>
      <c r="H61" s="49">
        <v>833</v>
      </c>
      <c r="I61" s="49">
        <v>1161</v>
      </c>
      <c r="J61" s="49">
        <v>1519</v>
      </c>
      <c r="K61" s="49">
        <v>759</v>
      </c>
      <c r="L61" s="51">
        <f t="shared" si="43"/>
        <v>759</v>
      </c>
      <c r="M61" s="49">
        <v>979</v>
      </c>
      <c r="N61" s="49">
        <v>993</v>
      </c>
      <c r="O61" s="49">
        <v>1031</v>
      </c>
      <c r="P61" s="49">
        <v>849</v>
      </c>
      <c r="Q61" s="51">
        <f t="shared" si="44"/>
        <v>849</v>
      </c>
      <c r="R61" s="49">
        <v>0</v>
      </c>
      <c r="S61" s="49">
        <v>0</v>
      </c>
      <c r="T61" s="49">
        <v>0</v>
      </c>
      <c r="U61" s="49">
        <v>0</v>
      </c>
      <c r="V61" s="51">
        <f t="shared" si="45"/>
        <v>0</v>
      </c>
      <c r="W61" s="49">
        <v>0</v>
      </c>
      <c r="X61" s="49">
        <v>0</v>
      </c>
      <c r="Y61" s="49">
        <v>0</v>
      </c>
      <c r="Z61" s="49">
        <v>0</v>
      </c>
      <c r="AA61" s="51">
        <f t="shared" si="46"/>
        <v>0</v>
      </c>
      <c r="AB61" s="49">
        <v>0</v>
      </c>
      <c r="AC61" s="49">
        <v>0</v>
      </c>
      <c r="AD61" s="49">
        <v>0</v>
      </c>
      <c r="AE61" s="49">
        <f t="shared" ref="AE61" si="72">AD61</f>
        <v>0</v>
      </c>
      <c r="AF61" s="51">
        <f t="shared" si="37"/>
        <v>0</v>
      </c>
    </row>
    <row r="63" spans="1:75" x14ac:dyDescent="0.3">
      <c r="A63" s="1" t="s">
        <v>1189</v>
      </c>
      <c r="B63" s="1" t="s">
        <v>548</v>
      </c>
      <c r="AG63" s="51">
        <f ca="1">'Fluxo de Caixa dos Acionistas'!AG73+'Fluxo de Caixa dos Acionistas'!AG75+'Fluxo de Caixa dos Acionistas'!AG76+'Fluxo de Caixa dos Acionistas'!AG78+'Fluxo de Caixa dos Acionistas'!AG77</f>
        <v>-5508606.7463562982</v>
      </c>
      <c r="AH63" s="51">
        <f ca="1">'Fluxo de Caixa dos Acionistas'!AH73+'Fluxo de Caixa dos Acionistas'!AH75+'Fluxo de Caixa dos Acionistas'!AH76+'Fluxo de Caixa dos Acionistas'!AH78+'Fluxo de Caixa dos Acionistas'!AH77</f>
        <v>-3062230.2820586246</v>
      </c>
      <c r="AI63" s="51">
        <f ca="1">'Fluxo de Caixa dos Acionistas'!AI73+'Fluxo de Caixa dos Acionistas'!AI75+'Fluxo de Caixa dos Acionistas'!AI76+'Fluxo de Caixa dos Acionistas'!AI78+'Fluxo de Caixa dos Acionistas'!AI77</f>
        <v>-2628476.3089609388</v>
      </c>
      <c r="AJ63" s="51">
        <f ca="1">'Fluxo de Caixa dos Acionistas'!AJ73+'Fluxo de Caixa dos Acionistas'!AJ75+'Fluxo de Caixa dos Acionistas'!AJ76+'Fluxo de Caixa dos Acionistas'!AJ78+'Fluxo de Caixa dos Acionistas'!AJ77</f>
        <v>-158155.41331629967</v>
      </c>
      <c r="AK63" s="51">
        <f ca="1">'Fluxo de Caixa dos Acionistas'!AK73+'Fluxo de Caixa dos Acionistas'!AK75+'Fluxo de Caixa dos Acionistas'!AK76+'Fluxo de Caixa dos Acionistas'!AK78+'Fluxo de Caixa dos Acionistas'!AK77</f>
        <v>778979.83077169769</v>
      </c>
      <c r="AL63" s="51">
        <f ca="1">'Fluxo de Caixa dos Acionistas'!AL73+'Fluxo de Caixa dos Acionistas'!AL75+'Fluxo de Caixa dos Acionistas'!AL76+'Fluxo de Caixa dos Acionistas'!AL78+'Fluxo de Caixa dos Acionistas'!AL77</f>
        <v>1170261.8865301907</v>
      </c>
      <c r="AM63" s="51">
        <f ca="1">'Fluxo de Caixa dos Acionistas'!AM73+'Fluxo de Caixa dos Acionistas'!AM75+'Fluxo de Caixa dos Acionistas'!AM76+'Fluxo de Caixa dos Acionistas'!AM78+'Fluxo de Caixa dos Acionistas'!AM77</f>
        <v>2866946.688190138</v>
      </c>
      <c r="AN63" s="51">
        <f ca="1">'Fluxo de Caixa dos Acionistas'!AN73+'Fluxo de Caixa dos Acionistas'!AN75+'Fluxo de Caixa dos Acionistas'!AN76+'Fluxo de Caixa dos Acionistas'!AN78+'Fluxo de Caixa dos Acionistas'!AN77</f>
        <v>2900807.5717697009</v>
      </c>
      <c r="AO63" s="51">
        <f ca="1">'Fluxo de Caixa dos Acionistas'!AO73+'Fluxo de Caixa dos Acionistas'!AO75+'Fluxo de Caixa dos Acionistas'!AO76+'Fluxo de Caixa dos Acionistas'!AO78+'Fluxo de Caixa dos Acionistas'!AO77</f>
        <v>2256499.3675372535</v>
      </c>
      <c r="AP63" s="51">
        <f ca="1">'Fluxo de Caixa dos Acionistas'!AP73+'Fluxo de Caixa dos Acionistas'!AP75+'Fluxo de Caixa dos Acionistas'!AP76+'Fluxo de Caixa dos Acionistas'!AP78+'Fluxo de Caixa dos Acionistas'!AP77</f>
        <v>1930437.4622269128</v>
      </c>
      <c r="AQ63" s="51">
        <f ca="1">'Fluxo de Caixa dos Acionistas'!AQ73+'Fluxo de Caixa dos Acionistas'!AQ75+'Fluxo de Caixa dos Acionistas'!AQ76+'Fluxo de Caixa dos Acionistas'!AQ78+'Fluxo de Caixa dos Acionistas'!AQ77</f>
        <v>1654010.2623896997</v>
      </c>
      <c r="AR63" s="51">
        <f ca="1">'Fluxo de Caixa dos Acionistas'!AR73+'Fluxo de Caixa dos Acionistas'!AR75+'Fluxo de Caixa dos Acionistas'!AR76+'Fluxo de Caixa dos Acionistas'!AR78+'Fluxo de Caixa dos Acionistas'!AR77</f>
        <v>1479595.3588418486</v>
      </c>
      <c r="AS63" s="51">
        <f ca="1">'Fluxo de Caixa dos Acionistas'!AS73+'Fluxo de Caixa dos Acionistas'!AS75+'Fluxo de Caixa dos Acionistas'!AS76+'Fluxo de Caixa dos Acionistas'!AS78+'Fluxo de Caixa dos Acionistas'!AS77</f>
        <v>1336177.9942191325</v>
      </c>
      <c r="AT63" s="51">
        <f ca="1">'Fluxo de Caixa dos Acionistas'!AT73+'Fluxo de Caixa dos Acionistas'!AT75+'Fluxo de Caixa dos Acionistas'!AT76+'Fluxo de Caixa dos Acionistas'!AT78+'Fluxo de Caixa dos Acionistas'!AT77</f>
        <v>1270774.7711569918</v>
      </c>
      <c r="AU63" s="51">
        <f ca="1">'Fluxo de Caixa dos Acionistas'!AU73+'Fluxo de Caixa dos Acionistas'!AU75+'Fluxo de Caixa dos Acionistas'!AU76+'Fluxo de Caixa dos Acionistas'!AU78+'Fluxo de Caixa dos Acionistas'!AU77</f>
        <v>1037552.5128658365</v>
      </c>
      <c r="AV63" s="51">
        <f ca="1">'Fluxo de Caixa dos Acionistas'!AV73+'Fluxo de Caixa dos Acionistas'!AV75+'Fluxo de Caixa dos Acionistas'!AV76+'Fluxo de Caixa dos Acionistas'!AV78+'Fluxo de Caixa dos Acionistas'!AV77</f>
        <v>809634.59757808642</v>
      </c>
    </row>
    <row r="64" spans="1:75" x14ac:dyDescent="0.3">
      <c r="A64" s="1" t="s">
        <v>1189</v>
      </c>
      <c r="B64" s="1" t="s">
        <v>1188</v>
      </c>
      <c r="AG64" s="51">
        <f ca="1">AG54-AF54</f>
        <v>5508612.6163562946</v>
      </c>
      <c r="AH64" s="51">
        <f t="shared" ref="AH64:AV64" ca="1" si="73">AH54-AG54</f>
        <v>3062230.2820586227</v>
      </c>
      <c r="AI64" s="51">
        <f t="shared" ca="1" si="73"/>
        <v>2628476.3089609481</v>
      </c>
      <c r="AJ64" s="51">
        <f t="shared" ca="1" si="73"/>
        <v>158155.41331629083</v>
      </c>
      <c r="AK64" s="51">
        <f t="shared" ca="1" si="73"/>
        <v>-778979.83077169582</v>
      </c>
      <c r="AL64" s="51">
        <f t="shared" ca="1" si="73"/>
        <v>-1170261.886530187</v>
      </c>
      <c r="AM64" s="51">
        <f t="shared" ca="1" si="73"/>
        <v>-2866946.6881901361</v>
      </c>
      <c r="AN64" s="51">
        <f t="shared" ca="1" si="73"/>
        <v>-2900807.5717697032</v>
      </c>
      <c r="AO64" s="51">
        <f t="shared" ca="1" si="73"/>
        <v>-2256499.3675372526</v>
      </c>
      <c r="AP64" s="51">
        <f t="shared" ca="1" si="73"/>
        <v>-1930437.4622269124</v>
      </c>
      <c r="AQ64" s="51">
        <f t="shared" ca="1" si="73"/>
        <v>-1654010.262389699</v>
      </c>
      <c r="AR64" s="51">
        <f t="shared" ca="1" si="73"/>
        <v>-1479595.3588418514</v>
      </c>
      <c r="AS64" s="51">
        <f t="shared" ca="1" si="73"/>
        <v>-1336177.9942191318</v>
      </c>
      <c r="AT64" s="51">
        <f t="shared" ca="1" si="73"/>
        <v>-1270774.771156989</v>
      </c>
      <c r="AU64" s="51">
        <f t="shared" ca="1" si="73"/>
        <v>-1037552.5128658377</v>
      </c>
      <c r="AV64" s="51">
        <f t="shared" ca="1" si="73"/>
        <v>-809634.59757808782</v>
      </c>
    </row>
    <row r="66" spans="1:75" s="208" customFormat="1" x14ac:dyDescent="0.3">
      <c r="A66" s="208" t="s">
        <v>536</v>
      </c>
      <c r="C66" s="210"/>
      <c r="D66" s="210"/>
      <c r="E66" s="210"/>
      <c r="F66" s="210"/>
      <c r="G66" s="210"/>
      <c r="H66" s="210"/>
      <c r="I66" s="210"/>
      <c r="J66" s="210"/>
      <c r="K66" s="210"/>
      <c r="L66" s="210"/>
      <c r="M66" s="210"/>
      <c r="N66" s="210"/>
      <c r="O66" s="210"/>
      <c r="P66" s="210"/>
      <c r="Q66" s="210"/>
      <c r="R66" s="210"/>
      <c r="S66" s="210"/>
      <c r="T66" s="210"/>
      <c r="U66" s="210"/>
      <c r="V66" s="210"/>
      <c r="W66" s="210"/>
      <c r="X66" s="210"/>
      <c r="Y66" s="210"/>
      <c r="Z66" s="210"/>
      <c r="AA66" s="210"/>
      <c r="AB66" s="210"/>
      <c r="AC66" s="210"/>
    </row>
    <row r="68" spans="1:75" x14ac:dyDescent="0.3">
      <c r="B68" s="1" t="s">
        <v>537</v>
      </c>
      <c r="C68" s="51">
        <f t="shared" ref="C68:AH68" si="74">-(C21+C23-C40-C41)</f>
        <v>-43805</v>
      </c>
      <c r="D68" s="51">
        <f t="shared" si="74"/>
        <v>-36053</v>
      </c>
      <c r="E68" s="51">
        <f t="shared" si="74"/>
        <v>-20887</v>
      </c>
      <c r="F68" s="51">
        <f t="shared" si="74"/>
        <v>-5049</v>
      </c>
      <c r="G68" s="51">
        <f t="shared" si="74"/>
        <v>-5049</v>
      </c>
      <c r="H68" s="51">
        <f t="shared" si="74"/>
        <v>-45840</v>
      </c>
      <c r="I68" s="51">
        <f t="shared" si="74"/>
        <v>29524</v>
      </c>
      <c r="J68" s="51">
        <f t="shared" si="74"/>
        <v>-48796</v>
      </c>
      <c r="K68" s="51">
        <f t="shared" si="74"/>
        <v>-373481</v>
      </c>
      <c r="L68" s="51">
        <f t="shared" si="74"/>
        <v>-373481</v>
      </c>
      <c r="M68" s="51">
        <f t="shared" si="74"/>
        <v>-221039</v>
      </c>
      <c r="N68" s="51">
        <f t="shared" si="74"/>
        <v>-269913</v>
      </c>
      <c r="O68" s="51">
        <f t="shared" si="74"/>
        <v>-190916</v>
      </c>
      <c r="P68" s="51">
        <f t="shared" si="74"/>
        <v>-289085</v>
      </c>
      <c r="Q68" s="51">
        <f t="shared" si="74"/>
        <v>-289085</v>
      </c>
      <c r="R68" s="51">
        <f t="shared" si="74"/>
        <v>-257724</v>
      </c>
      <c r="S68" s="51">
        <f t="shared" si="74"/>
        <v>-484663</v>
      </c>
      <c r="T68" s="51">
        <f t="shared" si="74"/>
        <v>-365750</v>
      </c>
      <c r="U68" s="51">
        <f t="shared" si="74"/>
        <v>-708890</v>
      </c>
      <c r="V68" s="51">
        <f t="shared" si="74"/>
        <v>-708890</v>
      </c>
      <c r="W68" s="51">
        <f t="shared" si="74"/>
        <v>-751793</v>
      </c>
      <c r="X68" s="51">
        <f t="shared" si="74"/>
        <v>-720238</v>
      </c>
      <c r="Y68" s="51">
        <f t="shared" si="74"/>
        <v>-955133</v>
      </c>
      <c r="Z68" s="51">
        <f t="shared" si="74"/>
        <v>84200</v>
      </c>
      <c r="AA68" s="51">
        <f t="shared" si="74"/>
        <v>84200</v>
      </c>
      <c r="AB68" s="51">
        <f t="shared" si="74"/>
        <v>-2060140</v>
      </c>
      <c r="AC68" s="51">
        <f t="shared" si="74"/>
        <v>-1148832</v>
      </c>
      <c r="AD68" s="51">
        <f t="shared" si="74"/>
        <v>-1439231</v>
      </c>
      <c r="AE68" s="51">
        <f t="shared" si="74"/>
        <v>-1293471</v>
      </c>
      <c r="AF68" s="51">
        <f t="shared" si="74"/>
        <v>-1293471</v>
      </c>
      <c r="AG68" s="51">
        <f t="shared" ca="1" si="74"/>
        <v>-2376079.5989700174</v>
      </c>
      <c r="AH68" s="51">
        <f t="shared" ca="1" si="74"/>
        <v>-2956560.9411590844</v>
      </c>
      <c r="AI68" s="51">
        <f t="shared" ref="AI68:BN68" ca="1" si="75">-(AI21+AI23-AI40-AI41)</f>
        <v>-2922166.755963916</v>
      </c>
      <c r="AJ68" s="51">
        <f t="shared" ca="1" si="75"/>
        <v>-2937923.2554646195</v>
      </c>
      <c r="AK68" s="51">
        <f t="shared" ca="1" si="75"/>
        <v>-2737402.2762872158</v>
      </c>
      <c r="AL68" s="51">
        <f t="shared" ca="1" si="75"/>
        <v>-2723871.4753118753</v>
      </c>
      <c r="AM68" s="51">
        <f t="shared" ca="1" si="75"/>
        <v>-2435914.648139949</v>
      </c>
      <c r="AN68" s="51">
        <f t="shared" ca="1" si="75"/>
        <v>-2032239.0814238912</v>
      </c>
      <c r="AO68" s="51">
        <f t="shared" ca="1" si="75"/>
        <v>-1787854.8203360469</v>
      </c>
      <c r="AP68" s="51">
        <f t="shared" ca="1" si="75"/>
        <v>-1591191.3997342871</v>
      </c>
      <c r="AQ68" s="51">
        <f t="shared" ca="1" si="75"/>
        <v>-1422733.262711003</v>
      </c>
      <c r="AR68" s="51">
        <f t="shared" ca="1" si="75"/>
        <v>-1250877.0068454794</v>
      </c>
      <c r="AS68" s="51">
        <f t="shared" ca="1" si="75"/>
        <v>-1074816.5812128054</v>
      </c>
      <c r="AT68" s="51">
        <f t="shared" ca="1" si="75"/>
        <v>-927475.2769228192</v>
      </c>
      <c r="AU68" s="51">
        <f t="shared" ca="1" si="75"/>
        <v>-819743.02627993736</v>
      </c>
      <c r="AV68" s="51">
        <f t="shared" ca="1" si="75"/>
        <v>-737517.44374985248</v>
      </c>
      <c r="AW68" s="51">
        <f t="shared" ca="1" si="75"/>
        <v>-548203.23896657547</v>
      </c>
      <c r="AX68" s="51">
        <f t="shared" ca="1" si="75"/>
        <v>-469758.344480181</v>
      </c>
      <c r="AY68" s="51">
        <f t="shared" ca="1" si="75"/>
        <v>-399970.57504536083</v>
      </c>
      <c r="AZ68" s="51">
        <f t="shared" ca="1" si="75"/>
        <v>-333979.1326085201</v>
      </c>
      <c r="BA68" s="51">
        <f t="shared" ca="1" si="75"/>
        <v>-282151.85235195275</v>
      </c>
      <c r="BB68" s="51">
        <f t="shared" ca="1" si="75"/>
        <v>-225217.50490128115</v>
      </c>
      <c r="BC68" s="51">
        <f t="shared" ca="1" si="75"/>
        <v>-192432.46561031518</v>
      </c>
      <c r="BD68" s="51">
        <f t="shared" ca="1" si="75"/>
        <v>-166827.16388952816</v>
      </c>
      <c r="BE68" s="51">
        <f t="shared" ca="1" si="75"/>
        <v>-144626.84627550497</v>
      </c>
      <c r="BF68" s="51">
        <f t="shared" ca="1" si="75"/>
        <v>-105063.00523624849</v>
      </c>
      <c r="BG68" s="51">
        <f t="shared" ca="1" si="75"/>
        <v>-82512.685352213535</v>
      </c>
      <c r="BH68" s="51">
        <f t="shared" ca="1" si="75"/>
        <v>-68296.365026882908</v>
      </c>
      <c r="BI68" s="51">
        <f t="shared" ca="1" si="75"/>
        <v>50520.612684404186</v>
      </c>
      <c r="BJ68" s="51">
        <f t="shared" ca="1" si="75"/>
        <v>266893</v>
      </c>
      <c r="BK68" s="51">
        <f t="shared" ca="1" si="75"/>
        <v>266893</v>
      </c>
      <c r="BL68" s="51">
        <f t="shared" ca="1" si="75"/>
        <v>266893</v>
      </c>
      <c r="BM68" s="51">
        <f t="shared" ca="1" si="75"/>
        <v>266893</v>
      </c>
      <c r="BN68" s="51">
        <f t="shared" ca="1" si="75"/>
        <v>266893</v>
      </c>
      <c r="BO68" s="51">
        <f t="shared" ref="BO68:BW68" ca="1" si="76">-(BO21+BO23-BO40-BO41)</f>
        <v>266893</v>
      </c>
      <c r="BP68" s="51">
        <f t="shared" ca="1" si="76"/>
        <v>266893</v>
      </c>
      <c r="BQ68" s="51">
        <f t="shared" ca="1" si="76"/>
        <v>266893</v>
      </c>
      <c r="BR68" s="51">
        <f t="shared" ca="1" si="76"/>
        <v>266893</v>
      </c>
      <c r="BS68" s="51">
        <f t="shared" ca="1" si="76"/>
        <v>266893</v>
      </c>
      <c r="BT68" s="51">
        <f t="shared" ca="1" si="76"/>
        <v>266893</v>
      </c>
      <c r="BU68" s="51">
        <f t="shared" ca="1" si="76"/>
        <v>266893</v>
      </c>
      <c r="BV68" s="51">
        <f t="shared" ca="1" si="76"/>
        <v>266893</v>
      </c>
      <c r="BW68" s="51">
        <f t="shared" ca="1" si="76"/>
        <v>266893</v>
      </c>
    </row>
    <row r="69" spans="1:75" x14ac:dyDescent="0.3">
      <c r="B69" s="42" t="s">
        <v>544</v>
      </c>
      <c r="D69" s="51">
        <f>D68-C68</f>
        <v>7752</v>
      </c>
      <c r="E69" s="51">
        <f>E68-D68</f>
        <v>15166</v>
      </c>
      <c r="F69" s="51">
        <f>F68-E68</f>
        <v>15838</v>
      </c>
      <c r="H69" s="51">
        <f>H68-G68</f>
        <v>-40791</v>
      </c>
      <c r="I69" s="51">
        <f>I68-H68</f>
        <v>75364</v>
      </c>
      <c r="J69" s="51">
        <f>J68-I68</f>
        <v>-78320</v>
      </c>
      <c r="K69" s="51">
        <f>K68-J68</f>
        <v>-324685</v>
      </c>
      <c r="L69" s="51">
        <f>L68-G68</f>
        <v>-368432</v>
      </c>
      <c r="M69" s="51">
        <f>M68-L68</f>
        <v>152442</v>
      </c>
      <c r="N69" s="51">
        <f>N68-M68</f>
        <v>-48874</v>
      </c>
      <c r="O69" s="51">
        <f>O68-N68</f>
        <v>78997</v>
      </c>
      <c r="P69" s="51">
        <f>P68-O68</f>
        <v>-98169</v>
      </c>
      <c r="Q69" s="51">
        <f>Q68-L68</f>
        <v>84396</v>
      </c>
      <c r="R69" s="51">
        <f>R68-Q68</f>
        <v>31361</v>
      </c>
      <c r="S69" s="51">
        <f>S68-R68</f>
        <v>-226939</v>
      </c>
      <c r="T69" s="51">
        <f>T68-S68</f>
        <v>118913</v>
      </c>
      <c r="U69" s="51">
        <f>U68-T68</f>
        <v>-343140</v>
      </c>
      <c r="V69" s="51">
        <f>V68-Q68</f>
        <v>-419805</v>
      </c>
      <c r="W69" s="51">
        <f>W68-V68</f>
        <v>-42903</v>
      </c>
      <c r="X69" s="51">
        <f>X68-W68</f>
        <v>31555</v>
      </c>
      <c r="Y69" s="51">
        <f>Y68-X68</f>
        <v>-234895</v>
      </c>
      <c r="Z69" s="51">
        <f>Z68-Y68</f>
        <v>1039333</v>
      </c>
      <c r="AA69" s="51">
        <f>AA68-V68</f>
        <v>793090</v>
      </c>
      <c r="AB69" s="51">
        <f>AB68-AA68</f>
        <v>-2144340</v>
      </c>
      <c r="AC69" s="51">
        <f>AC68-AB68</f>
        <v>911308</v>
      </c>
      <c r="AD69" s="51">
        <f>AD68-AC68</f>
        <v>-290399</v>
      </c>
      <c r="AE69" s="51">
        <f>AE68-AD68</f>
        <v>145760</v>
      </c>
      <c r="AF69" s="51">
        <f>AF68-AA68</f>
        <v>-1377671</v>
      </c>
      <c r="AG69" s="51">
        <f t="shared" ref="AG69:BW69" ca="1" si="77">AG68-AF68</f>
        <v>-1082608.5989700174</v>
      </c>
      <c r="AH69" s="51">
        <f t="shared" ca="1" si="77"/>
        <v>-580481.34218906704</v>
      </c>
      <c r="AI69" s="51">
        <f t="shared" ca="1" si="77"/>
        <v>34394.18519516848</v>
      </c>
      <c r="AJ69" s="51">
        <f t="shared" ca="1" si="77"/>
        <v>-15756.499500703532</v>
      </c>
      <c r="AK69" s="51">
        <f t="shared" ca="1" si="77"/>
        <v>200520.97917740373</v>
      </c>
      <c r="AL69" s="51">
        <f t="shared" ca="1" si="77"/>
        <v>13530.800975340419</v>
      </c>
      <c r="AM69" s="51">
        <f t="shared" ca="1" si="77"/>
        <v>287956.82717192639</v>
      </c>
      <c r="AN69" s="51">
        <f t="shared" ca="1" si="77"/>
        <v>403675.56671605771</v>
      </c>
      <c r="AO69" s="51">
        <f t="shared" ca="1" si="77"/>
        <v>244384.26108784438</v>
      </c>
      <c r="AP69" s="51">
        <f t="shared" ca="1" si="77"/>
        <v>196663.4206017598</v>
      </c>
      <c r="AQ69" s="51">
        <f t="shared" ca="1" si="77"/>
        <v>168458.1370232841</v>
      </c>
      <c r="AR69" s="51">
        <f t="shared" ca="1" si="77"/>
        <v>171856.25586552359</v>
      </c>
      <c r="AS69" s="51">
        <f t="shared" ca="1" si="77"/>
        <v>176060.42563267401</v>
      </c>
      <c r="AT69" s="51">
        <f t="shared" ca="1" si="77"/>
        <v>147341.30428998615</v>
      </c>
      <c r="AU69" s="51">
        <f t="shared" ca="1" si="77"/>
        <v>107732.25064288185</v>
      </c>
      <c r="AV69" s="51">
        <f t="shared" ca="1" si="77"/>
        <v>82225.582530084881</v>
      </c>
      <c r="AW69" s="51">
        <f t="shared" ca="1" si="77"/>
        <v>189314.204783277</v>
      </c>
      <c r="AX69" s="51">
        <f t="shared" ca="1" si="77"/>
        <v>78444.894486394478</v>
      </c>
      <c r="AY69" s="51">
        <f t="shared" ca="1" si="77"/>
        <v>69787.769434820162</v>
      </c>
      <c r="AZ69" s="51">
        <f t="shared" ca="1" si="77"/>
        <v>65991.442436840734</v>
      </c>
      <c r="BA69" s="51">
        <f t="shared" ca="1" si="77"/>
        <v>51827.280256567348</v>
      </c>
      <c r="BB69" s="51">
        <f t="shared" ca="1" si="77"/>
        <v>56934.347450671601</v>
      </c>
      <c r="BC69" s="51">
        <f t="shared" ca="1" si="77"/>
        <v>32785.039290965971</v>
      </c>
      <c r="BD69" s="51">
        <f t="shared" ca="1" si="77"/>
        <v>25605.301720787014</v>
      </c>
      <c r="BE69" s="51">
        <f t="shared" ca="1" si="77"/>
        <v>22200.317614023195</v>
      </c>
      <c r="BF69" s="51">
        <f t="shared" ca="1" si="77"/>
        <v>39563.841039256484</v>
      </c>
      <c r="BG69" s="51">
        <f t="shared" ca="1" si="77"/>
        <v>22550.319884034951</v>
      </c>
      <c r="BH69" s="51">
        <f t="shared" ca="1" si="77"/>
        <v>14216.320325330627</v>
      </c>
      <c r="BI69" s="51">
        <f t="shared" ca="1" si="77"/>
        <v>118816.97771128709</v>
      </c>
      <c r="BJ69" s="51">
        <f t="shared" ca="1" si="77"/>
        <v>216372.38731559581</v>
      </c>
      <c r="BK69" s="51">
        <f t="shared" ca="1" si="77"/>
        <v>0</v>
      </c>
      <c r="BL69" s="51">
        <f t="shared" ca="1" si="77"/>
        <v>0</v>
      </c>
      <c r="BM69" s="51">
        <f t="shared" ca="1" si="77"/>
        <v>0</v>
      </c>
      <c r="BN69" s="51">
        <f t="shared" ca="1" si="77"/>
        <v>0</v>
      </c>
      <c r="BO69" s="51">
        <f t="shared" ca="1" si="77"/>
        <v>0</v>
      </c>
      <c r="BP69" s="51">
        <f t="shared" ca="1" si="77"/>
        <v>0</v>
      </c>
      <c r="BQ69" s="51">
        <f t="shared" ca="1" si="77"/>
        <v>0</v>
      </c>
      <c r="BR69" s="51">
        <f t="shared" ca="1" si="77"/>
        <v>0</v>
      </c>
      <c r="BS69" s="51">
        <f t="shared" ca="1" si="77"/>
        <v>0</v>
      </c>
      <c r="BT69" s="51">
        <f t="shared" ca="1" si="77"/>
        <v>0</v>
      </c>
      <c r="BU69" s="51">
        <f t="shared" ca="1" si="77"/>
        <v>0</v>
      </c>
      <c r="BV69" s="51">
        <f t="shared" ca="1" si="77"/>
        <v>0</v>
      </c>
      <c r="BW69" s="51">
        <f t="shared" ca="1" si="77"/>
        <v>0</v>
      </c>
    </row>
    <row r="70" spans="1:75" x14ac:dyDescent="0.3">
      <c r="B70" s="1" t="s">
        <v>538</v>
      </c>
      <c r="C70" s="51">
        <f t="shared" ref="C70:AH70" si="78">-(C25+C26+C29-C43-C46-C47-C51-C52-C53)</f>
        <v>-992</v>
      </c>
      <c r="D70" s="51">
        <f t="shared" si="78"/>
        <v>18285</v>
      </c>
      <c r="E70" s="51">
        <f t="shared" si="78"/>
        <v>32723</v>
      </c>
      <c r="F70" s="51">
        <f t="shared" si="78"/>
        <v>-9940</v>
      </c>
      <c r="G70" s="51">
        <f t="shared" si="78"/>
        <v>-9940</v>
      </c>
      <c r="H70" s="51">
        <f t="shared" si="78"/>
        <v>1667893</v>
      </c>
      <c r="I70" s="51">
        <f t="shared" si="78"/>
        <v>1485880</v>
      </c>
      <c r="J70" s="51">
        <f t="shared" si="78"/>
        <v>1609398</v>
      </c>
      <c r="K70" s="51">
        <f t="shared" si="78"/>
        <v>580353</v>
      </c>
      <c r="L70" s="51">
        <f t="shared" si="78"/>
        <v>580353</v>
      </c>
      <c r="M70" s="51">
        <f t="shared" si="78"/>
        <v>630238</v>
      </c>
      <c r="N70" s="51">
        <f t="shared" si="78"/>
        <v>644138</v>
      </c>
      <c r="O70" s="51">
        <f t="shared" si="78"/>
        <v>960427</v>
      </c>
      <c r="P70" s="51">
        <f t="shared" si="78"/>
        <v>398387</v>
      </c>
      <c r="Q70" s="51">
        <f t="shared" si="78"/>
        <v>398387</v>
      </c>
      <c r="R70" s="51">
        <f t="shared" si="78"/>
        <v>632709</v>
      </c>
      <c r="S70" s="51">
        <f t="shared" si="78"/>
        <v>682159</v>
      </c>
      <c r="T70" s="51">
        <f t="shared" si="78"/>
        <v>1097207</v>
      </c>
      <c r="U70" s="51">
        <f t="shared" si="78"/>
        <v>782713</v>
      </c>
      <c r="V70" s="51">
        <f t="shared" si="78"/>
        <v>782713</v>
      </c>
      <c r="W70" s="51">
        <f t="shared" si="78"/>
        <v>166230</v>
      </c>
      <c r="X70" s="51">
        <f t="shared" si="78"/>
        <v>238027</v>
      </c>
      <c r="Y70" s="51">
        <f t="shared" si="78"/>
        <v>453750</v>
      </c>
      <c r="Z70" s="51">
        <f t="shared" si="78"/>
        <v>-332762</v>
      </c>
      <c r="AA70" s="51">
        <f t="shared" si="78"/>
        <v>-332762</v>
      </c>
      <c r="AB70" s="51">
        <f t="shared" si="78"/>
        <v>2926054</v>
      </c>
      <c r="AC70" s="51">
        <f t="shared" si="78"/>
        <v>2944798</v>
      </c>
      <c r="AD70" s="51">
        <f t="shared" si="78"/>
        <v>3410218</v>
      </c>
      <c r="AE70" s="51">
        <f t="shared" si="78"/>
        <v>2775091</v>
      </c>
      <c r="AF70" s="51">
        <f t="shared" si="78"/>
        <v>2775091</v>
      </c>
      <c r="AG70" s="51">
        <f t="shared" si="78"/>
        <v>1699903</v>
      </c>
      <c r="AH70" s="51">
        <f t="shared" si="78"/>
        <v>1699903</v>
      </c>
      <c r="AI70" s="51">
        <f t="shared" ref="AI70:BN70" si="79">-(AI25+AI26+AI29-AI43-AI46-AI47-AI51-AI52-AI53)</f>
        <v>1699903</v>
      </c>
      <c r="AJ70" s="51">
        <f t="shared" si="79"/>
        <v>1699903</v>
      </c>
      <c r="AK70" s="51">
        <f t="shared" si="79"/>
        <v>1699903</v>
      </c>
      <c r="AL70" s="51">
        <f t="shared" si="79"/>
        <v>1699903</v>
      </c>
      <c r="AM70" s="51">
        <f t="shared" si="79"/>
        <v>1699903</v>
      </c>
      <c r="AN70" s="51">
        <f t="shared" si="79"/>
        <v>1699903</v>
      </c>
      <c r="AO70" s="51">
        <f t="shared" si="79"/>
        <v>1699903</v>
      </c>
      <c r="AP70" s="51">
        <f t="shared" si="79"/>
        <v>1699903</v>
      </c>
      <c r="AQ70" s="51">
        <f t="shared" si="79"/>
        <v>1699903</v>
      </c>
      <c r="AR70" s="51">
        <f t="shared" si="79"/>
        <v>1699903</v>
      </c>
      <c r="AS70" s="51">
        <f t="shared" si="79"/>
        <v>1699903</v>
      </c>
      <c r="AT70" s="51">
        <f t="shared" si="79"/>
        <v>1699903</v>
      </c>
      <c r="AU70" s="51">
        <f t="shared" si="79"/>
        <v>1699903</v>
      </c>
      <c r="AV70" s="51">
        <f t="shared" si="79"/>
        <v>1699903</v>
      </c>
      <c r="AW70" s="51">
        <f t="shared" si="79"/>
        <v>1699903</v>
      </c>
      <c r="AX70" s="51">
        <f t="shared" si="79"/>
        <v>1699903</v>
      </c>
      <c r="AY70" s="51">
        <f t="shared" si="79"/>
        <v>1699903</v>
      </c>
      <c r="AZ70" s="51">
        <f t="shared" si="79"/>
        <v>1699903</v>
      </c>
      <c r="BA70" s="51">
        <f t="shared" si="79"/>
        <v>1699903</v>
      </c>
      <c r="BB70" s="51">
        <f t="shared" si="79"/>
        <v>1699903</v>
      </c>
      <c r="BC70" s="51">
        <f t="shared" si="79"/>
        <v>1699903</v>
      </c>
      <c r="BD70" s="51">
        <f t="shared" si="79"/>
        <v>1699903</v>
      </c>
      <c r="BE70" s="51">
        <f t="shared" si="79"/>
        <v>1699903</v>
      </c>
      <c r="BF70" s="51">
        <f t="shared" si="79"/>
        <v>1699903</v>
      </c>
      <c r="BG70" s="51">
        <f t="shared" si="79"/>
        <v>1699903</v>
      </c>
      <c r="BH70" s="51">
        <f t="shared" si="79"/>
        <v>1699903</v>
      </c>
      <c r="BI70" s="51">
        <f t="shared" si="79"/>
        <v>1699903</v>
      </c>
      <c r="BJ70" s="51">
        <f t="shared" si="79"/>
        <v>1699903</v>
      </c>
      <c r="BK70" s="51">
        <f t="shared" si="79"/>
        <v>1699903</v>
      </c>
      <c r="BL70" s="51">
        <f t="shared" si="79"/>
        <v>1699903</v>
      </c>
      <c r="BM70" s="51">
        <f t="shared" si="79"/>
        <v>1699903</v>
      </c>
      <c r="BN70" s="51">
        <f t="shared" si="79"/>
        <v>1699903</v>
      </c>
      <c r="BO70" s="51">
        <f t="shared" ref="BO70:BW70" si="80">-(BO25+BO26+BO29-BO43-BO46-BO47-BO51-BO52-BO53)</f>
        <v>1699903</v>
      </c>
      <c r="BP70" s="51">
        <f t="shared" si="80"/>
        <v>1699903</v>
      </c>
      <c r="BQ70" s="51">
        <f t="shared" si="80"/>
        <v>1699903</v>
      </c>
      <c r="BR70" s="51">
        <f t="shared" si="80"/>
        <v>1699903</v>
      </c>
      <c r="BS70" s="51">
        <f t="shared" si="80"/>
        <v>1699903</v>
      </c>
      <c r="BT70" s="51">
        <f t="shared" si="80"/>
        <v>1699903</v>
      </c>
      <c r="BU70" s="51">
        <f t="shared" si="80"/>
        <v>1699903</v>
      </c>
      <c r="BV70" s="51">
        <f t="shared" si="80"/>
        <v>1699903</v>
      </c>
      <c r="BW70" s="51">
        <f t="shared" si="80"/>
        <v>1699903</v>
      </c>
    </row>
    <row r="71" spans="1:75" x14ac:dyDescent="0.3">
      <c r="B71" s="42" t="s">
        <v>545</v>
      </c>
      <c r="D71" s="51">
        <f>D70-C70</f>
        <v>19277</v>
      </c>
      <c r="E71" s="51">
        <f>E70-D70</f>
        <v>14438</v>
      </c>
      <c r="F71" s="51">
        <f>F70-E70</f>
        <v>-42663</v>
      </c>
      <c r="H71" s="51">
        <f>H70-G70</f>
        <v>1677833</v>
      </c>
      <c r="I71" s="51">
        <f>I70-H70</f>
        <v>-182013</v>
      </c>
      <c r="J71" s="51">
        <f>J70-I70</f>
        <v>123518</v>
      </c>
      <c r="K71" s="51">
        <f>K70-J70</f>
        <v>-1029045</v>
      </c>
      <c r="L71" s="51">
        <f>L70-G70</f>
        <v>590293</v>
      </c>
      <c r="M71" s="51">
        <f>M70-L70</f>
        <v>49885</v>
      </c>
      <c r="N71" s="51">
        <f>N70-M70</f>
        <v>13900</v>
      </c>
      <c r="O71" s="51">
        <f>O70-N70</f>
        <v>316289</v>
      </c>
      <c r="P71" s="51">
        <f>P70-O70</f>
        <v>-562040</v>
      </c>
      <c r="Q71" s="51">
        <f>Q70-L70</f>
        <v>-181966</v>
      </c>
      <c r="R71" s="51">
        <f>R70-Q70</f>
        <v>234322</v>
      </c>
      <c r="S71" s="51">
        <f>S70-R70</f>
        <v>49450</v>
      </c>
      <c r="T71" s="51">
        <f>T70-S70</f>
        <v>415048</v>
      </c>
      <c r="U71" s="51">
        <f>U70-T70</f>
        <v>-314494</v>
      </c>
      <c r="V71" s="51">
        <f>V70-Q70</f>
        <v>384326</v>
      </c>
      <c r="W71" s="51">
        <f>W70-V70</f>
        <v>-616483</v>
      </c>
      <c r="X71" s="51">
        <f>X70-W70</f>
        <v>71797</v>
      </c>
      <c r="Y71" s="51">
        <f>Y70-X70</f>
        <v>215723</v>
      </c>
      <c r="Z71" s="51">
        <f>Z70-Y70</f>
        <v>-786512</v>
      </c>
      <c r="AA71" s="51">
        <f>AA70-V70</f>
        <v>-1115475</v>
      </c>
      <c r="AB71" s="51">
        <f>AB70-AA70</f>
        <v>3258816</v>
      </c>
      <c r="AC71" s="51">
        <f>AC70-AB70</f>
        <v>18744</v>
      </c>
      <c r="AD71" s="51">
        <f>AD70-AC70</f>
        <v>465420</v>
      </c>
      <c r="AE71" s="51">
        <f>AE70-AD70</f>
        <v>-635127</v>
      </c>
      <c r="AF71" s="51">
        <f>AF70-AA70</f>
        <v>3107853</v>
      </c>
      <c r="AG71" s="51">
        <f t="shared" ref="AG71:BW71" si="81">AG70-AF70</f>
        <v>-1075188</v>
      </c>
      <c r="AH71" s="51">
        <f t="shared" si="81"/>
        <v>0</v>
      </c>
      <c r="AI71" s="51">
        <f t="shared" si="81"/>
        <v>0</v>
      </c>
      <c r="AJ71" s="51">
        <f t="shared" si="81"/>
        <v>0</v>
      </c>
      <c r="AK71" s="51">
        <f t="shared" si="81"/>
        <v>0</v>
      </c>
      <c r="AL71" s="51">
        <f t="shared" si="81"/>
        <v>0</v>
      </c>
      <c r="AM71" s="51">
        <f t="shared" si="81"/>
        <v>0</v>
      </c>
      <c r="AN71" s="51">
        <f t="shared" si="81"/>
        <v>0</v>
      </c>
      <c r="AO71" s="51">
        <f t="shared" si="81"/>
        <v>0</v>
      </c>
      <c r="AP71" s="51">
        <f t="shared" si="81"/>
        <v>0</v>
      </c>
      <c r="AQ71" s="51">
        <f t="shared" si="81"/>
        <v>0</v>
      </c>
      <c r="AR71" s="51">
        <f t="shared" si="81"/>
        <v>0</v>
      </c>
      <c r="AS71" s="51">
        <f t="shared" si="81"/>
        <v>0</v>
      </c>
      <c r="AT71" s="51">
        <f t="shared" si="81"/>
        <v>0</v>
      </c>
      <c r="AU71" s="51">
        <f t="shared" si="81"/>
        <v>0</v>
      </c>
      <c r="AV71" s="51">
        <f t="shared" si="81"/>
        <v>0</v>
      </c>
      <c r="AW71" s="51">
        <f t="shared" si="81"/>
        <v>0</v>
      </c>
      <c r="AX71" s="51">
        <f t="shared" si="81"/>
        <v>0</v>
      </c>
      <c r="AY71" s="51">
        <f t="shared" si="81"/>
        <v>0</v>
      </c>
      <c r="AZ71" s="51">
        <f t="shared" si="81"/>
        <v>0</v>
      </c>
      <c r="BA71" s="51">
        <f t="shared" si="81"/>
        <v>0</v>
      </c>
      <c r="BB71" s="51">
        <f t="shared" si="81"/>
        <v>0</v>
      </c>
      <c r="BC71" s="51">
        <f t="shared" si="81"/>
        <v>0</v>
      </c>
      <c r="BD71" s="51">
        <f t="shared" si="81"/>
        <v>0</v>
      </c>
      <c r="BE71" s="51">
        <f t="shared" si="81"/>
        <v>0</v>
      </c>
      <c r="BF71" s="51">
        <f t="shared" si="81"/>
        <v>0</v>
      </c>
      <c r="BG71" s="51">
        <f t="shared" si="81"/>
        <v>0</v>
      </c>
      <c r="BH71" s="51">
        <f t="shared" si="81"/>
        <v>0</v>
      </c>
      <c r="BI71" s="51">
        <f t="shared" si="81"/>
        <v>0</v>
      </c>
      <c r="BJ71" s="51">
        <f t="shared" si="81"/>
        <v>0</v>
      </c>
      <c r="BK71" s="51">
        <f t="shared" si="81"/>
        <v>0</v>
      </c>
      <c r="BL71" s="51">
        <f t="shared" si="81"/>
        <v>0</v>
      </c>
      <c r="BM71" s="51">
        <f t="shared" si="81"/>
        <v>0</v>
      </c>
      <c r="BN71" s="51">
        <f t="shared" si="81"/>
        <v>0</v>
      </c>
      <c r="BO71" s="51">
        <f t="shared" si="81"/>
        <v>0</v>
      </c>
      <c r="BP71" s="51">
        <f t="shared" si="81"/>
        <v>0</v>
      </c>
      <c r="BQ71" s="51">
        <f t="shared" si="81"/>
        <v>0</v>
      </c>
      <c r="BR71" s="51">
        <f t="shared" si="81"/>
        <v>0</v>
      </c>
      <c r="BS71" s="51">
        <f t="shared" si="81"/>
        <v>0</v>
      </c>
      <c r="BT71" s="51">
        <f t="shared" si="81"/>
        <v>0</v>
      </c>
      <c r="BU71" s="51">
        <f t="shared" si="81"/>
        <v>0</v>
      </c>
      <c r="BV71" s="51">
        <f t="shared" si="81"/>
        <v>0</v>
      </c>
      <c r="BW71" s="51">
        <f t="shared" si="81"/>
        <v>0</v>
      </c>
    </row>
  </sheetData>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659B9-0CC9-451D-80ED-0C32D6DB6564}">
  <sheetPr>
    <tabColor theme="8" tint="0.79998168889431442"/>
  </sheetPr>
  <dimension ref="A1:BW134"/>
  <sheetViews>
    <sheetView showGridLines="0" zoomScaleNormal="100" workbookViewId="0">
      <pane xSplit="2" ySplit="1" topLeftCell="AE5" activePane="bottomRight" state="frozen"/>
      <selection pane="topRight" activeCell="C1" sqref="C1"/>
      <selection pane="bottomLeft" activeCell="A2" sqref="A2"/>
      <selection pane="bottomRight" activeCell="AJ11" sqref="AJ11"/>
    </sheetView>
  </sheetViews>
  <sheetFormatPr defaultRowHeight="14.4" x14ac:dyDescent="0.3"/>
  <cols>
    <col min="1" max="1" width="58.6640625" style="1" customWidth="1"/>
    <col min="2" max="2" width="6.33203125" style="1" customWidth="1"/>
    <col min="3" max="32" width="10.77734375" style="1" customWidth="1"/>
    <col min="33" max="44" width="11" style="1" bestFit="1" customWidth="1"/>
    <col min="45" max="49" width="10.5546875" style="1" bestFit="1" customWidth="1"/>
    <col min="50" max="53" width="10.21875" style="1" bestFit="1" customWidth="1"/>
    <col min="54" max="61" width="9.88671875" style="1" bestFit="1" customWidth="1"/>
    <col min="62" max="62" width="10.44140625" style="1" customWidth="1"/>
    <col min="63" max="75" width="7.88671875" style="1" bestFit="1" customWidth="1"/>
    <col min="76" max="16384" width="8.88671875" style="1"/>
  </cols>
  <sheetData>
    <row r="1" spans="1:75" x14ac:dyDescent="0.3">
      <c r="A1" s="268"/>
      <c r="C1" s="41" t="s">
        <v>244</v>
      </c>
      <c r="D1" s="41" t="s">
        <v>243</v>
      </c>
      <c r="E1" s="41" t="s">
        <v>242</v>
      </c>
      <c r="F1" s="41" t="s">
        <v>236</v>
      </c>
      <c r="G1" s="41">
        <v>2018</v>
      </c>
      <c r="H1" s="41" t="s">
        <v>241</v>
      </c>
      <c r="I1" s="41" t="s">
        <v>240</v>
      </c>
      <c r="J1" s="41" t="s">
        <v>239</v>
      </c>
      <c r="K1" s="41" t="s">
        <v>237</v>
      </c>
      <c r="L1" s="41">
        <v>2019</v>
      </c>
      <c r="M1" s="41" t="s">
        <v>235</v>
      </c>
      <c r="N1" s="41" t="s">
        <v>234</v>
      </c>
      <c r="O1" s="41" t="s">
        <v>238</v>
      </c>
      <c r="P1" s="41" t="s">
        <v>226</v>
      </c>
      <c r="Q1" s="41">
        <v>2020</v>
      </c>
      <c r="R1" s="41" t="s">
        <v>232</v>
      </c>
      <c r="S1" s="41" t="s">
        <v>231</v>
      </c>
      <c r="T1" s="41" t="s">
        <v>229</v>
      </c>
      <c r="U1" s="41" t="s">
        <v>225</v>
      </c>
      <c r="V1" s="41">
        <v>2021</v>
      </c>
      <c r="W1" s="41" t="s">
        <v>230</v>
      </c>
      <c r="X1" s="41" t="s">
        <v>228</v>
      </c>
      <c r="Y1" s="41" t="s">
        <v>227</v>
      </c>
      <c r="Z1" s="41" t="s">
        <v>224</v>
      </c>
      <c r="AA1" s="41">
        <v>2022</v>
      </c>
      <c r="AB1" s="41" t="s">
        <v>136</v>
      </c>
      <c r="AC1" s="41" t="s">
        <v>137</v>
      </c>
      <c r="AD1" s="41" t="s">
        <v>268</v>
      </c>
      <c r="AE1" s="41" t="s">
        <v>269</v>
      </c>
      <c r="AF1" s="41">
        <v>2023</v>
      </c>
      <c r="AG1" s="41">
        <f>'Receita Líquida - O&amp;G'!AG1</f>
        <v>2024</v>
      </c>
      <c r="AH1" s="41">
        <f>'Receita Líquida - O&amp;G'!AH1</f>
        <v>2025</v>
      </c>
      <c r="AI1" s="41">
        <f>'Receita Líquida - O&amp;G'!AI1</f>
        <v>2026</v>
      </c>
      <c r="AJ1" s="41">
        <f>'Receita Líquida - O&amp;G'!AJ1</f>
        <v>2027</v>
      </c>
      <c r="AK1" s="41">
        <f>'Receita Líquida - O&amp;G'!AK1</f>
        <v>2028</v>
      </c>
      <c r="AL1" s="41">
        <f>'Receita Líquida - O&amp;G'!AL1</f>
        <v>2029</v>
      </c>
      <c r="AM1" s="41">
        <f>'Receita Líquida - O&amp;G'!AM1</f>
        <v>2030</v>
      </c>
      <c r="AN1" s="41">
        <f>'Receita Líquida - O&amp;G'!AN1</f>
        <v>2031</v>
      </c>
      <c r="AO1" s="41">
        <f>'Receita Líquida - O&amp;G'!AO1</f>
        <v>2032</v>
      </c>
      <c r="AP1" s="41">
        <f>'Receita Líquida - O&amp;G'!AP1</f>
        <v>2033</v>
      </c>
      <c r="AQ1" s="41">
        <f>'Receita Líquida - O&amp;G'!AQ1</f>
        <v>2034</v>
      </c>
      <c r="AR1" s="41">
        <f>'Receita Líquida - O&amp;G'!AR1</f>
        <v>2035</v>
      </c>
      <c r="AS1" s="41">
        <f>'Receita Líquida - O&amp;G'!AS1</f>
        <v>2036</v>
      </c>
      <c r="AT1" s="41">
        <f>'Receita Líquida - O&amp;G'!AT1</f>
        <v>2037</v>
      </c>
      <c r="AU1" s="41">
        <f>'Receita Líquida - O&amp;G'!AU1</f>
        <v>2038</v>
      </c>
      <c r="AV1" s="41">
        <f>'Receita Líquida - O&amp;G'!AV1</f>
        <v>2039</v>
      </c>
      <c r="AW1" s="41">
        <f>'Receita Líquida - O&amp;G'!AW1</f>
        <v>2040</v>
      </c>
      <c r="AX1" s="41">
        <f>'Receita Líquida - O&amp;G'!AX1</f>
        <v>2041</v>
      </c>
      <c r="AY1" s="41">
        <f>'Receita Líquida - O&amp;G'!AY1</f>
        <v>2042</v>
      </c>
      <c r="AZ1" s="41">
        <f>'Receita Líquida - O&amp;G'!AZ1</f>
        <v>2043</v>
      </c>
      <c r="BA1" s="41">
        <f>'Receita Líquida - O&amp;G'!BA1</f>
        <v>2044</v>
      </c>
      <c r="BB1" s="41">
        <f>'Receita Líquida - O&amp;G'!BB1</f>
        <v>2045</v>
      </c>
      <c r="BC1" s="41">
        <f>'Receita Líquida - O&amp;G'!BC1</f>
        <v>2046</v>
      </c>
      <c r="BD1" s="41">
        <f>'Receita Líquida - O&amp;G'!BD1</f>
        <v>2047</v>
      </c>
      <c r="BE1" s="41">
        <f>'Receita Líquida - O&amp;G'!BE1</f>
        <v>2048</v>
      </c>
      <c r="BF1" s="41">
        <f>'Receita Líquida - O&amp;G'!BF1</f>
        <v>2049</v>
      </c>
      <c r="BG1" s="41">
        <f>'Receita Líquida - O&amp;G'!BG1</f>
        <v>2050</v>
      </c>
      <c r="BH1" s="41">
        <f>'Receita Líquida - O&amp;G'!BH1</f>
        <v>2051</v>
      </c>
      <c r="BI1" s="41">
        <f>'Receita Líquida - O&amp;G'!BI1</f>
        <v>2052</v>
      </c>
      <c r="BJ1" s="41">
        <f>'Receita Líquida - O&amp;G'!BJ1</f>
        <v>2053</v>
      </c>
      <c r="BK1" s="41">
        <f>'Receita Líquida - O&amp;G'!BK1</f>
        <v>2054</v>
      </c>
      <c r="BL1" s="41">
        <f>'Receita Líquida - O&amp;G'!BL1</f>
        <v>2055</v>
      </c>
      <c r="BM1" s="41">
        <f>'Receita Líquida - O&amp;G'!BM1</f>
        <v>2056</v>
      </c>
      <c r="BN1" s="41">
        <f>'Receita Líquida - O&amp;G'!BN1</f>
        <v>2057</v>
      </c>
      <c r="BO1" s="41">
        <f>'Receita Líquida - O&amp;G'!BO1</f>
        <v>2058</v>
      </c>
      <c r="BP1" s="41">
        <f>'Receita Líquida - O&amp;G'!BP1</f>
        <v>2059</v>
      </c>
      <c r="BQ1" s="41">
        <f>'Receita Líquida - O&amp;G'!BQ1</f>
        <v>2060</v>
      </c>
      <c r="BR1" s="41">
        <f>'Receita Líquida - O&amp;G'!BR1</f>
        <v>2061</v>
      </c>
      <c r="BS1" s="41">
        <f>'Receita Líquida - O&amp;G'!BS1</f>
        <v>2062</v>
      </c>
      <c r="BT1" s="41">
        <f>'Receita Líquida - O&amp;G'!BT1</f>
        <v>2063</v>
      </c>
      <c r="BU1" s="41">
        <f>'Receita Líquida - O&amp;G'!BU1</f>
        <v>2064</v>
      </c>
      <c r="BV1" s="41">
        <f>'Receita Líquida - O&amp;G'!BV1</f>
        <v>2065</v>
      </c>
      <c r="BW1" s="41">
        <f>'Receita Líquida - O&amp;G'!BW1</f>
        <v>2066</v>
      </c>
    </row>
    <row r="3" spans="1:75" s="275" customFormat="1" x14ac:dyDescent="0.3">
      <c r="A3" s="277" t="s">
        <v>1186</v>
      </c>
    </row>
    <row r="5" spans="1:75" x14ac:dyDescent="0.3">
      <c r="A5" s="38" t="s">
        <v>267</v>
      </c>
      <c r="C5" s="51">
        <f>G5-F5-E5-D5</f>
        <v>90</v>
      </c>
      <c r="D5" s="51">
        <f>DATE(G1,12,31)-DATE(G1,3,31)-F5-E5</f>
        <v>91</v>
      </c>
      <c r="E5" s="51">
        <f>DATE(G1,12,31)-DATE(G1,6,30)-F5</f>
        <v>92</v>
      </c>
      <c r="F5" s="51">
        <f>DATE(G1,12,31)-DATE(G1,9,30)</f>
        <v>92</v>
      </c>
      <c r="G5" s="48">
        <f>DATE(G1,12,31)-DATE(G1-1,12,31)</f>
        <v>365</v>
      </c>
      <c r="H5" s="51">
        <f>L5-K5-J5-I5</f>
        <v>90</v>
      </c>
      <c r="I5" s="51">
        <f>DATE(L1,12,31)-DATE(L1,3,31)-K5-J5</f>
        <v>91</v>
      </c>
      <c r="J5" s="51">
        <f>DATE(L1,12,31)-DATE(L1,6,30)-K5</f>
        <v>92</v>
      </c>
      <c r="K5" s="51">
        <f>DATE(L1,12,31)-DATE(L1,9,30)</f>
        <v>92</v>
      </c>
      <c r="L5" s="48">
        <f>DATE(L1,12,31)-DATE(L1-1,12,31)</f>
        <v>365</v>
      </c>
      <c r="M5" s="51">
        <f>Q5-P5-O5-N5</f>
        <v>91</v>
      </c>
      <c r="N5" s="51">
        <f>DATE(Q1,12,31)-DATE(Q1,3,31)-P5-O5</f>
        <v>91</v>
      </c>
      <c r="O5" s="51">
        <f>DATE(Q1,12,31)-DATE(Q1,6,30)-P5</f>
        <v>92</v>
      </c>
      <c r="P5" s="51">
        <f>DATE(Q1,12,31)-DATE(Q1,9,30)</f>
        <v>92</v>
      </c>
      <c r="Q5" s="48">
        <f>DATE(Q1,12,31)-DATE(Q1-1,12,31)</f>
        <v>366</v>
      </c>
      <c r="R5" s="51">
        <f>V5-U5-T5-S5</f>
        <v>90</v>
      </c>
      <c r="S5" s="51">
        <f>DATE(V1,12,31)-DATE(V1,3,31)-U5-T5</f>
        <v>91</v>
      </c>
      <c r="T5" s="51">
        <f>DATE(V1,12,31)-DATE(V1,6,30)-U5</f>
        <v>92</v>
      </c>
      <c r="U5" s="51">
        <f>DATE(V1,12,31)-DATE(V1,9,30)</f>
        <v>92</v>
      </c>
      <c r="V5" s="48">
        <f>DATE(V1,12,31)-DATE(V1-1,12,31)</f>
        <v>365</v>
      </c>
      <c r="W5" s="51">
        <f>AA5-Z5-Y5-X5</f>
        <v>90</v>
      </c>
      <c r="X5" s="51">
        <f>DATE(AA1,12,31)-DATE(AA1,3,31)-Z5-Y5</f>
        <v>91</v>
      </c>
      <c r="Y5" s="51">
        <f>DATE(AA1,12,31)-DATE(AA1,6,30)-Z5</f>
        <v>92</v>
      </c>
      <c r="Z5" s="51">
        <f>DATE(AA1,12,31)-DATE(AA1,9,30)</f>
        <v>92</v>
      </c>
      <c r="AA5" s="48">
        <f>DATE(AA1,12,31)-DATE(AA1-1,12,31)</f>
        <v>365</v>
      </c>
      <c r="AB5" s="51">
        <f>AF5-AE5-AD5-AC5</f>
        <v>90</v>
      </c>
      <c r="AC5" s="51">
        <f>DATE(AF1,12,31)-DATE(AF1,3,31)-AE5-AD5</f>
        <v>91</v>
      </c>
      <c r="AD5" s="51">
        <f>DATE(AF1,12,31)-DATE(AF1,6,30)-AE5</f>
        <v>92</v>
      </c>
      <c r="AE5" s="51">
        <f>DATE(AF1,12,31)-DATE(AF1,9,30)</f>
        <v>92</v>
      </c>
      <c r="AF5" s="48">
        <f>DATE(AF1,12,31)-DATE(AF1-1,12,31)</f>
        <v>365</v>
      </c>
      <c r="AG5" s="48">
        <f>DATE(AG1,12,31)-DATE(AF1,12,31)</f>
        <v>366</v>
      </c>
      <c r="AH5" s="48">
        <f t="shared" ref="AH5:BL5" si="0">DATE(AH1,12,31)-DATE(AG1,12,31)</f>
        <v>365</v>
      </c>
      <c r="AI5" s="48">
        <f t="shared" si="0"/>
        <v>365</v>
      </c>
      <c r="AJ5" s="48">
        <f t="shared" si="0"/>
        <v>365</v>
      </c>
      <c r="AK5" s="48">
        <f t="shared" si="0"/>
        <v>366</v>
      </c>
      <c r="AL5" s="48">
        <f t="shared" si="0"/>
        <v>365</v>
      </c>
      <c r="AM5" s="48">
        <f t="shared" si="0"/>
        <v>365</v>
      </c>
      <c r="AN5" s="48">
        <f t="shared" si="0"/>
        <v>365</v>
      </c>
      <c r="AO5" s="48">
        <f t="shared" si="0"/>
        <v>366</v>
      </c>
      <c r="AP5" s="48">
        <f t="shared" si="0"/>
        <v>365</v>
      </c>
      <c r="AQ5" s="48">
        <f t="shared" si="0"/>
        <v>365</v>
      </c>
      <c r="AR5" s="48">
        <f t="shared" si="0"/>
        <v>365</v>
      </c>
      <c r="AS5" s="48">
        <f t="shared" si="0"/>
        <v>366</v>
      </c>
      <c r="AT5" s="48">
        <f t="shared" si="0"/>
        <v>365</v>
      </c>
      <c r="AU5" s="48">
        <f t="shared" si="0"/>
        <v>365</v>
      </c>
      <c r="AV5" s="48">
        <f t="shared" si="0"/>
        <v>365</v>
      </c>
      <c r="AW5" s="48">
        <f t="shared" si="0"/>
        <v>366</v>
      </c>
      <c r="AX5" s="48">
        <f t="shared" si="0"/>
        <v>365</v>
      </c>
      <c r="AY5" s="48">
        <f t="shared" si="0"/>
        <v>365</v>
      </c>
      <c r="AZ5" s="48">
        <f t="shared" si="0"/>
        <v>365</v>
      </c>
      <c r="BA5" s="48">
        <f t="shared" si="0"/>
        <v>366</v>
      </c>
      <c r="BB5" s="48">
        <f t="shared" si="0"/>
        <v>365</v>
      </c>
      <c r="BC5" s="48">
        <f t="shared" si="0"/>
        <v>365</v>
      </c>
      <c r="BD5" s="48">
        <f t="shared" si="0"/>
        <v>365</v>
      </c>
      <c r="BE5" s="48">
        <f t="shared" si="0"/>
        <v>366</v>
      </c>
      <c r="BF5" s="48">
        <f t="shared" si="0"/>
        <v>365</v>
      </c>
      <c r="BG5" s="48">
        <f t="shared" si="0"/>
        <v>365</v>
      </c>
      <c r="BH5" s="48">
        <f t="shared" si="0"/>
        <v>365</v>
      </c>
      <c r="BI5" s="48">
        <f t="shared" si="0"/>
        <v>366</v>
      </c>
      <c r="BJ5" s="48">
        <f t="shared" si="0"/>
        <v>365</v>
      </c>
      <c r="BK5" s="48">
        <f t="shared" si="0"/>
        <v>365</v>
      </c>
      <c r="BL5" s="48">
        <f t="shared" si="0"/>
        <v>365</v>
      </c>
      <c r="BM5" s="48">
        <f t="shared" ref="BM5:BW5" si="1">DATE(BM1,12,31)-DATE(BL1,12,31)</f>
        <v>366</v>
      </c>
      <c r="BN5" s="48">
        <f t="shared" si="1"/>
        <v>365</v>
      </c>
      <c r="BO5" s="48">
        <f t="shared" si="1"/>
        <v>365</v>
      </c>
      <c r="BP5" s="48">
        <f t="shared" si="1"/>
        <v>365</v>
      </c>
      <c r="BQ5" s="48">
        <f t="shared" si="1"/>
        <v>366</v>
      </c>
      <c r="BR5" s="48">
        <f t="shared" si="1"/>
        <v>365</v>
      </c>
      <c r="BS5" s="48">
        <f t="shared" si="1"/>
        <v>365</v>
      </c>
      <c r="BT5" s="48">
        <f t="shared" si="1"/>
        <v>365</v>
      </c>
      <c r="BU5" s="48">
        <f t="shared" si="1"/>
        <v>366</v>
      </c>
      <c r="BV5" s="48">
        <f t="shared" si="1"/>
        <v>365</v>
      </c>
      <c r="BW5" s="48">
        <f t="shared" si="1"/>
        <v>365</v>
      </c>
    </row>
    <row r="6" spans="1:75" x14ac:dyDescent="0.3">
      <c r="A6" s="38" t="s">
        <v>617</v>
      </c>
      <c r="AG6" s="69">
        <f>'Resultado Financeiro e Dívida'!AG5</f>
        <v>3.7718000000000002E-2</v>
      </c>
      <c r="AH6" s="69">
        <f>'Resultado Financeiro e Dívida'!AH5</f>
        <v>3.5049999999999998E-2</v>
      </c>
      <c r="AI6" s="69">
        <f>'Resultado Financeiro e Dívida'!AI5</f>
        <v>3.5000000000000003E-2</v>
      </c>
      <c r="AJ6" s="69">
        <f>'Resultado Financeiro e Dívida'!AJ5</f>
        <v>3.5000000000000003E-2</v>
      </c>
      <c r="AK6" s="69">
        <f>'Resultado Financeiro e Dívida'!AK5</f>
        <v>3.5000000000000003E-2</v>
      </c>
      <c r="AL6" s="69">
        <f>'Resultado Financeiro e Dívida'!AL5</f>
        <v>0.03</v>
      </c>
      <c r="AM6" s="69">
        <f>'Resultado Financeiro e Dívida'!AM5</f>
        <v>0.03</v>
      </c>
      <c r="AN6" s="69">
        <f>'Resultado Financeiro e Dívida'!AN5</f>
        <v>0.03</v>
      </c>
      <c r="AO6" s="69">
        <f>'Resultado Financeiro e Dívida'!AO5</f>
        <v>0.03</v>
      </c>
      <c r="AP6" s="69">
        <f>'Resultado Financeiro e Dívida'!AP5</f>
        <v>0.03</v>
      </c>
      <c r="AQ6" s="69">
        <f>'Resultado Financeiro e Dívida'!AQ5</f>
        <v>0.03</v>
      </c>
      <c r="AR6" s="69">
        <f>'Resultado Financeiro e Dívida'!AR5</f>
        <v>0.03</v>
      </c>
      <c r="AS6" s="69">
        <f>'Resultado Financeiro e Dívida'!AS5</f>
        <v>0.03</v>
      </c>
      <c r="AT6" s="69">
        <f>'Resultado Financeiro e Dívida'!AT5</f>
        <v>0.03</v>
      </c>
      <c r="AU6" s="69">
        <f>'Resultado Financeiro e Dívida'!AU5</f>
        <v>0.03</v>
      </c>
      <c r="AV6" s="69">
        <f>'Resultado Financeiro e Dívida'!AV5</f>
        <v>0.03</v>
      </c>
      <c r="AW6" s="69">
        <f>'Resultado Financeiro e Dívida'!AW5</f>
        <v>0.03</v>
      </c>
      <c r="AX6" s="69">
        <f>'Resultado Financeiro e Dívida'!AX5</f>
        <v>0.03</v>
      </c>
      <c r="AY6" s="69">
        <f>'Resultado Financeiro e Dívida'!AY5</f>
        <v>0.03</v>
      </c>
      <c r="AZ6" s="69">
        <f>'Resultado Financeiro e Dívida'!AZ5</f>
        <v>0.03</v>
      </c>
      <c r="BA6" s="69">
        <f>'Resultado Financeiro e Dívida'!BA5</f>
        <v>0.03</v>
      </c>
      <c r="BB6" s="69">
        <f>'Resultado Financeiro e Dívida'!BB5</f>
        <v>0.03</v>
      </c>
      <c r="BC6" s="69">
        <f>'Resultado Financeiro e Dívida'!BC5</f>
        <v>0.03</v>
      </c>
      <c r="BD6" s="69">
        <f>'Resultado Financeiro e Dívida'!BD5</f>
        <v>0.03</v>
      </c>
      <c r="BE6" s="69">
        <f>'Resultado Financeiro e Dívida'!BE5</f>
        <v>0.03</v>
      </c>
      <c r="BF6" s="69">
        <f>'Resultado Financeiro e Dívida'!BF5</f>
        <v>0.03</v>
      </c>
      <c r="BG6" s="69">
        <f>'Resultado Financeiro e Dívida'!BG5</f>
        <v>0.03</v>
      </c>
      <c r="BH6" s="69">
        <f>'Resultado Financeiro e Dívida'!BH5</f>
        <v>0.03</v>
      </c>
      <c r="BI6" s="69">
        <f>'Resultado Financeiro e Dívida'!BI5</f>
        <v>0.03</v>
      </c>
      <c r="BJ6" s="69">
        <f>'Resultado Financeiro e Dívida'!BJ5</f>
        <v>0.03</v>
      </c>
      <c r="BK6" s="69">
        <f>'Resultado Financeiro e Dívida'!BK5</f>
        <v>0.03</v>
      </c>
      <c r="BL6" s="69">
        <f>'Resultado Financeiro e Dívida'!BL5</f>
        <v>0.03</v>
      </c>
      <c r="BM6" s="69">
        <f>'Resultado Financeiro e Dívida'!BM5</f>
        <v>0.03</v>
      </c>
      <c r="BN6" s="69">
        <f>'Resultado Financeiro e Dívida'!BN5</f>
        <v>0.03</v>
      </c>
      <c r="BO6" s="69">
        <f>'Resultado Financeiro e Dívida'!BO5</f>
        <v>0.03</v>
      </c>
      <c r="BP6" s="69">
        <f>'Resultado Financeiro e Dívida'!BP5</f>
        <v>0.03</v>
      </c>
      <c r="BQ6" s="69">
        <f>'Resultado Financeiro e Dívida'!BQ5</f>
        <v>0.03</v>
      </c>
      <c r="BR6" s="69">
        <f>'Resultado Financeiro e Dívida'!BR5</f>
        <v>0.03</v>
      </c>
      <c r="BS6" s="69">
        <f>'Resultado Financeiro e Dívida'!BS5</f>
        <v>0.03</v>
      </c>
      <c r="BT6" s="69">
        <f>'Resultado Financeiro e Dívida'!BT5</f>
        <v>0.03</v>
      </c>
      <c r="BU6" s="69">
        <f>'Resultado Financeiro e Dívida'!BU5</f>
        <v>0.03</v>
      </c>
      <c r="BV6" s="69">
        <f>'Resultado Financeiro e Dívida'!BV5</f>
        <v>0.03</v>
      </c>
      <c r="BW6" s="69">
        <f>'Resultado Financeiro e Dívida'!BW5</f>
        <v>0.03</v>
      </c>
    </row>
    <row r="7" spans="1:75" x14ac:dyDescent="0.3">
      <c r="A7" s="38" t="s">
        <v>105</v>
      </c>
      <c r="AG7" s="69">
        <f>SUMIFS('Drivers Macroeconômico'!$J:$J,'Drivers Macroeconômico'!$H:$H,'Fluxo de Caixa dos Acionistas'!AG$1)</f>
        <v>2.7E-2</v>
      </c>
      <c r="AH7" s="69">
        <f>SUMIFS('Drivers Macroeconômico'!$J:$J,'Drivers Macroeconômico'!$H:$H,'Fluxo de Caixa dos Acionistas'!AH$1)</f>
        <v>0.02</v>
      </c>
      <c r="AI7" s="69">
        <f>SUMIFS('Drivers Macroeconômico'!$J:$J,'Drivers Macroeconômico'!$H:$H,'Fluxo de Caixa dos Acionistas'!AI$1)</f>
        <v>0.02</v>
      </c>
      <c r="AJ7" s="69">
        <f>SUMIFS('Drivers Macroeconômico'!$J:$J,'Drivers Macroeconômico'!$H:$H,'Fluxo de Caixa dos Acionistas'!AJ$1)</f>
        <v>0.02</v>
      </c>
      <c r="AK7" s="69">
        <f>SUMIFS('Drivers Macroeconômico'!$J:$J,'Drivers Macroeconômico'!$H:$H,'Fluxo de Caixa dos Acionistas'!AK$1)</f>
        <v>0.02</v>
      </c>
      <c r="AL7" s="69">
        <f>SUMIFS('Drivers Macroeconômico'!$J:$J,'Drivers Macroeconômico'!$H:$H,'Fluxo de Caixa dos Acionistas'!AL$1)</f>
        <v>0.02</v>
      </c>
      <c r="AM7" s="69">
        <f>SUMIFS('Drivers Macroeconômico'!$J:$J,'Drivers Macroeconômico'!$H:$H,'Fluxo de Caixa dos Acionistas'!AM$1)</f>
        <v>0.02</v>
      </c>
      <c r="AN7" s="69">
        <f>SUMIFS('Drivers Macroeconômico'!$J:$J,'Drivers Macroeconômico'!$H:$H,'Fluxo de Caixa dos Acionistas'!AN$1)</f>
        <v>0.02</v>
      </c>
      <c r="AO7" s="69">
        <f>SUMIFS('Drivers Macroeconômico'!$J:$J,'Drivers Macroeconômico'!$H:$H,'Fluxo de Caixa dos Acionistas'!AO$1)</f>
        <v>0.02</v>
      </c>
      <c r="AP7" s="69">
        <f>SUMIFS('Drivers Macroeconômico'!$J:$J,'Drivers Macroeconômico'!$H:$H,'Fluxo de Caixa dos Acionistas'!AP$1)</f>
        <v>0.02</v>
      </c>
      <c r="AQ7" s="69">
        <f>SUMIFS('Drivers Macroeconômico'!$J:$J,'Drivers Macroeconômico'!$H:$H,'Fluxo de Caixa dos Acionistas'!AQ$1)</f>
        <v>0.02</v>
      </c>
      <c r="AR7" s="69">
        <f>SUMIFS('Drivers Macroeconômico'!$J:$J,'Drivers Macroeconômico'!$H:$H,'Fluxo de Caixa dos Acionistas'!AR$1)</f>
        <v>0.02</v>
      </c>
      <c r="AS7" s="69">
        <f>SUMIFS('Drivers Macroeconômico'!$J:$J,'Drivers Macroeconômico'!$H:$H,'Fluxo de Caixa dos Acionistas'!AS$1)</f>
        <v>0.02</v>
      </c>
      <c r="AT7" s="69">
        <f>SUMIFS('Drivers Macroeconômico'!$J:$J,'Drivers Macroeconômico'!$H:$H,'Fluxo de Caixa dos Acionistas'!AT$1)</f>
        <v>0.02</v>
      </c>
      <c r="AU7" s="69">
        <f>SUMIFS('Drivers Macroeconômico'!$J:$J,'Drivers Macroeconômico'!$H:$H,'Fluxo de Caixa dos Acionistas'!AU$1)</f>
        <v>0.02</v>
      </c>
      <c r="AV7" s="69">
        <f>SUMIFS('Drivers Macroeconômico'!$J:$J,'Drivers Macroeconômico'!$H:$H,'Fluxo de Caixa dos Acionistas'!AV$1)</f>
        <v>0.02</v>
      </c>
      <c r="AW7" s="69">
        <f>SUMIFS('Drivers Macroeconômico'!$J:$J,'Drivers Macroeconômico'!$H:$H,'Fluxo de Caixa dos Acionistas'!AW$1)</f>
        <v>0.02</v>
      </c>
      <c r="AX7" s="69">
        <f>SUMIFS('Drivers Macroeconômico'!$J:$J,'Drivers Macroeconômico'!$H:$H,'Fluxo de Caixa dos Acionistas'!AX$1)</f>
        <v>0.02</v>
      </c>
      <c r="AY7" s="69">
        <f>SUMIFS('Drivers Macroeconômico'!$J:$J,'Drivers Macroeconômico'!$H:$H,'Fluxo de Caixa dos Acionistas'!AY$1)</f>
        <v>0.02</v>
      </c>
      <c r="AZ7" s="69">
        <f>SUMIFS('Drivers Macroeconômico'!$J:$J,'Drivers Macroeconômico'!$H:$H,'Fluxo de Caixa dos Acionistas'!AZ$1)</f>
        <v>0.02</v>
      </c>
      <c r="BA7" s="69">
        <f>SUMIFS('Drivers Macroeconômico'!$J:$J,'Drivers Macroeconômico'!$H:$H,'Fluxo de Caixa dos Acionistas'!BA$1)</f>
        <v>0.02</v>
      </c>
      <c r="BB7" s="69">
        <f>SUMIFS('Drivers Macroeconômico'!$J:$J,'Drivers Macroeconômico'!$H:$H,'Fluxo de Caixa dos Acionistas'!BB$1)</f>
        <v>0.02</v>
      </c>
      <c r="BC7" s="69">
        <f>SUMIFS('Drivers Macroeconômico'!$J:$J,'Drivers Macroeconômico'!$H:$H,'Fluxo de Caixa dos Acionistas'!BC$1)</f>
        <v>0.02</v>
      </c>
      <c r="BD7" s="69">
        <f>SUMIFS('Drivers Macroeconômico'!$J:$J,'Drivers Macroeconômico'!$H:$H,'Fluxo de Caixa dos Acionistas'!BD$1)</f>
        <v>0.02</v>
      </c>
      <c r="BE7" s="69">
        <f>SUMIFS('Drivers Macroeconômico'!$J:$J,'Drivers Macroeconômico'!$H:$H,'Fluxo de Caixa dos Acionistas'!BE$1)</f>
        <v>0.02</v>
      </c>
      <c r="BF7" s="69">
        <f>SUMIFS('Drivers Macroeconômico'!$J:$J,'Drivers Macroeconômico'!$H:$H,'Fluxo de Caixa dos Acionistas'!BF$1)</f>
        <v>0.02</v>
      </c>
      <c r="BG7" s="69">
        <f>SUMIFS('Drivers Macroeconômico'!$J:$J,'Drivers Macroeconômico'!$H:$H,'Fluxo de Caixa dos Acionistas'!BG$1)</f>
        <v>0.02</v>
      </c>
      <c r="BH7" s="69">
        <f>SUMIFS('Drivers Macroeconômico'!$J:$J,'Drivers Macroeconômico'!$H:$H,'Fluxo de Caixa dos Acionistas'!BH$1)</f>
        <v>0.02</v>
      </c>
      <c r="BI7" s="69">
        <f>SUMIFS('Drivers Macroeconômico'!$J:$J,'Drivers Macroeconômico'!$H:$H,'Fluxo de Caixa dos Acionistas'!BI$1)</f>
        <v>0.02</v>
      </c>
      <c r="BJ7" s="69">
        <f>SUMIFS('Drivers Macroeconômico'!$J:$J,'Drivers Macroeconômico'!$H:$H,'Fluxo de Caixa dos Acionistas'!BJ$1)</f>
        <v>0.02</v>
      </c>
      <c r="BK7" s="69">
        <f>SUMIFS('Drivers Macroeconômico'!$J:$J,'Drivers Macroeconômico'!$H:$H,'Fluxo de Caixa dos Acionistas'!BK$1)</f>
        <v>0.02</v>
      </c>
      <c r="BL7" s="69">
        <f>SUMIFS('Drivers Macroeconômico'!$J:$J,'Drivers Macroeconômico'!$H:$H,'Fluxo de Caixa dos Acionistas'!BL$1)</f>
        <v>0.02</v>
      </c>
      <c r="BM7" s="69">
        <f>SUMIFS('Drivers Macroeconômico'!$J:$J,'Drivers Macroeconômico'!$H:$H,'Fluxo de Caixa dos Acionistas'!BM$1)</f>
        <v>0.02</v>
      </c>
      <c r="BN7" s="69">
        <f>SUMIFS('Drivers Macroeconômico'!$J:$J,'Drivers Macroeconômico'!$H:$H,'Fluxo de Caixa dos Acionistas'!BN$1)</f>
        <v>0.02</v>
      </c>
      <c r="BO7" s="69">
        <f>SUMIFS('Drivers Macroeconômico'!$J:$J,'Drivers Macroeconômico'!$H:$H,'Fluxo de Caixa dos Acionistas'!BO$1)</f>
        <v>0.02</v>
      </c>
      <c r="BP7" s="69">
        <f>SUMIFS('Drivers Macroeconômico'!$J:$J,'Drivers Macroeconômico'!$H:$H,'Fluxo de Caixa dos Acionistas'!BP$1)</f>
        <v>0.02</v>
      </c>
      <c r="BQ7" s="69">
        <f>SUMIFS('Drivers Macroeconômico'!$J:$J,'Drivers Macroeconômico'!$H:$H,'Fluxo de Caixa dos Acionistas'!BQ$1)</f>
        <v>0.02</v>
      </c>
      <c r="BR7" s="69">
        <f>SUMIFS('Drivers Macroeconômico'!$J:$J,'Drivers Macroeconômico'!$H:$H,'Fluxo de Caixa dos Acionistas'!BR$1)</f>
        <v>0.02</v>
      </c>
      <c r="BS7" s="69">
        <f>SUMIFS('Drivers Macroeconômico'!$J:$J,'Drivers Macroeconômico'!$H:$H,'Fluxo de Caixa dos Acionistas'!BS$1)</f>
        <v>0.02</v>
      </c>
      <c r="BT7" s="69">
        <f>SUMIFS('Drivers Macroeconômico'!$J:$J,'Drivers Macroeconômico'!$H:$H,'Fluxo de Caixa dos Acionistas'!BT$1)</f>
        <v>0.02</v>
      </c>
      <c r="BU7" s="69">
        <f>SUMIFS('Drivers Macroeconômico'!$J:$J,'Drivers Macroeconômico'!$H:$H,'Fluxo de Caixa dos Acionistas'!BU$1)</f>
        <v>0.02</v>
      </c>
      <c r="BV7" s="69">
        <f>SUMIFS('Drivers Macroeconômico'!$J:$J,'Drivers Macroeconômico'!$H:$H,'Fluxo de Caixa dos Acionistas'!BV$1)</f>
        <v>0.02</v>
      </c>
      <c r="BW7" s="69">
        <f>SUMIFS('Drivers Macroeconômico'!$J:$J,'Drivers Macroeconômico'!$H:$H,'Fluxo de Caixa dos Acionistas'!BW$1)</f>
        <v>0.02</v>
      </c>
    </row>
    <row r="8" spans="1:75" x14ac:dyDescent="0.3">
      <c r="A8" s="42" t="s">
        <v>1177</v>
      </c>
      <c r="AG8" s="69">
        <f>100%*(1+AG7)</f>
        <v>1.0269999999999999</v>
      </c>
      <c r="AH8" s="69">
        <f>AG8*(1+AH7)</f>
        <v>1.0475399999999999</v>
      </c>
      <c r="AI8" s="69">
        <f t="shared" ref="AI8:BW8" si="2">AH8*(1+AI7)</f>
        <v>1.0684908</v>
      </c>
      <c r="AJ8" s="69">
        <f t="shared" si="2"/>
        <v>1.0898606159999999</v>
      </c>
      <c r="AK8" s="69">
        <f t="shared" si="2"/>
        <v>1.11165782832</v>
      </c>
      <c r="AL8" s="69">
        <f t="shared" si="2"/>
        <v>1.1338909848864001</v>
      </c>
      <c r="AM8" s="69">
        <f t="shared" si="2"/>
        <v>1.156568804584128</v>
      </c>
      <c r="AN8" s="69">
        <f t="shared" si="2"/>
        <v>1.1797001806758105</v>
      </c>
      <c r="AO8" s="69">
        <f t="shared" si="2"/>
        <v>1.2032941842893268</v>
      </c>
      <c r="AP8" s="69">
        <f t="shared" si="2"/>
        <v>1.2273600679751133</v>
      </c>
      <c r="AQ8" s="69">
        <f t="shared" si="2"/>
        <v>1.2519072693346156</v>
      </c>
      <c r="AR8" s="69">
        <f t="shared" si="2"/>
        <v>1.276945414721308</v>
      </c>
      <c r="AS8" s="69">
        <f t="shared" si="2"/>
        <v>1.3024843230157341</v>
      </c>
      <c r="AT8" s="69">
        <f t="shared" si="2"/>
        <v>1.3285340094760489</v>
      </c>
      <c r="AU8" s="69">
        <f t="shared" si="2"/>
        <v>1.3551046896655699</v>
      </c>
      <c r="AV8" s="69">
        <f t="shared" si="2"/>
        <v>1.3822067834588814</v>
      </c>
      <c r="AW8" s="69">
        <f t="shared" si="2"/>
        <v>1.409850919128059</v>
      </c>
      <c r="AX8" s="69">
        <f t="shared" si="2"/>
        <v>1.4380479375106203</v>
      </c>
      <c r="AY8" s="69">
        <f t="shared" si="2"/>
        <v>1.4668088962608328</v>
      </c>
      <c r="AZ8" s="69">
        <f t="shared" si="2"/>
        <v>1.4961450741860494</v>
      </c>
      <c r="BA8" s="69">
        <f t="shared" si="2"/>
        <v>1.5260679756697704</v>
      </c>
      <c r="BB8" s="69">
        <f t="shared" si="2"/>
        <v>1.5565893351831659</v>
      </c>
      <c r="BC8" s="69">
        <f t="shared" si="2"/>
        <v>1.5877211218868292</v>
      </c>
      <c r="BD8" s="69">
        <f t="shared" si="2"/>
        <v>1.6194755443245659</v>
      </c>
      <c r="BE8" s="69">
        <f t="shared" si="2"/>
        <v>1.6518650552110572</v>
      </c>
      <c r="BF8" s="69">
        <f t="shared" si="2"/>
        <v>1.6849023563152783</v>
      </c>
      <c r="BG8" s="69">
        <f t="shared" si="2"/>
        <v>1.7186004034415838</v>
      </c>
      <c r="BH8" s="69">
        <f t="shared" si="2"/>
        <v>1.7529724115104155</v>
      </c>
      <c r="BI8" s="69">
        <f t="shared" si="2"/>
        <v>1.7880318597406237</v>
      </c>
      <c r="BJ8" s="69">
        <f t="shared" si="2"/>
        <v>1.8237924969354362</v>
      </c>
      <c r="BK8" s="69">
        <f t="shared" si="2"/>
        <v>1.860268346874145</v>
      </c>
      <c r="BL8" s="69">
        <f t="shared" si="2"/>
        <v>1.897473713811628</v>
      </c>
      <c r="BM8" s="69">
        <f t="shared" si="2"/>
        <v>1.9354231880878605</v>
      </c>
      <c r="BN8" s="69">
        <f t="shared" si="2"/>
        <v>1.9741316518496177</v>
      </c>
      <c r="BO8" s="69">
        <f t="shared" si="2"/>
        <v>2.0136142848866099</v>
      </c>
      <c r="BP8" s="69">
        <f t="shared" si="2"/>
        <v>2.0538865705843423</v>
      </c>
      <c r="BQ8" s="69">
        <f t="shared" si="2"/>
        <v>2.0949643019960291</v>
      </c>
      <c r="BR8" s="69">
        <f t="shared" si="2"/>
        <v>2.1368635880359497</v>
      </c>
      <c r="BS8" s="69">
        <f t="shared" si="2"/>
        <v>2.1796008597966687</v>
      </c>
      <c r="BT8" s="69">
        <f t="shared" si="2"/>
        <v>2.2231928769926022</v>
      </c>
      <c r="BU8" s="69">
        <f t="shared" si="2"/>
        <v>2.2676567345324541</v>
      </c>
      <c r="BV8" s="69">
        <f t="shared" si="2"/>
        <v>2.3130098692231034</v>
      </c>
      <c r="BW8" s="69">
        <f t="shared" si="2"/>
        <v>2.3592700666075657</v>
      </c>
    </row>
    <row r="9" spans="1:75" s="38" customFormat="1" x14ac:dyDescent="0.3">
      <c r="A9" s="38" t="s">
        <v>504</v>
      </c>
      <c r="C9" s="94">
        <f>'Receita Líquida - O&amp;G'!C17</f>
        <v>3.32</v>
      </c>
      <c r="D9" s="94">
        <f>'Receita Líquida - O&amp;G'!D17</f>
        <v>3.86</v>
      </c>
      <c r="E9" s="94">
        <f>'Receita Líquida - O&amp;G'!E17</f>
        <v>4</v>
      </c>
      <c r="F9" s="94">
        <f>'Receita Líquida - O&amp;G'!F17</f>
        <v>3.87</v>
      </c>
      <c r="G9" s="94">
        <f>'Receita Líquida - O&amp;G'!G17</f>
        <v>3.7625000000000002</v>
      </c>
      <c r="H9" s="94">
        <f>'Receita Líquida - O&amp;G'!H17</f>
        <v>3.9</v>
      </c>
      <c r="I9" s="94">
        <f>'Receita Líquida - O&amp;G'!I17</f>
        <v>3.85</v>
      </c>
      <c r="J9" s="94">
        <f>'Receita Líquida - O&amp;G'!J17</f>
        <v>4.16</v>
      </c>
      <c r="K9" s="94">
        <f>'Receita Líquida - O&amp;G'!K17</f>
        <v>4.0199999999999996</v>
      </c>
      <c r="L9" s="94">
        <f>'Receita Líquida - O&amp;G'!L17</f>
        <v>3.9824999999999999</v>
      </c>
      <c r="M9" s="94">
        <f>'Receita Líquida - O&amp;G'!M17</f>
        <v>5.2</v>
      </c>
      <c r="N9" s="94">
        <f>'Receita Líquida - O&amp;G'!N17</f>
        <v>5.47</v>
      </c>
      <c r="O9" s="94">
        <f>'Receita Líquida - O&amp;G'!O17</f>
        <v>5.61</v>
      </c>
      <c r="P9" s="94">
        <f>'Receita Líquida - O&amp;G'!P17</f>
        <v>5.19</v>
      </c>
      <c r="Q9" s="94">
        <f>'Receita Líquida - O&amp;G'!Q17</f>
        <v>5.3675000000000006</v>
      </c>
      <c r="R9" s="94">
        <f>'Receita Líquida - O&amp;G'!R17</f>
        <v>5.7</v>
      </c>
      <c r="S9" s="94">
        <f>'Receita Líquida - O&amp;G'!S17</f>
        <v>5</v>
      </c>
      <c r="T9" s="94">
        <f>'Receita Líquida - O&amp;G'!T17</f>
        <v>5.44</v>
      </c>
      <c r="U9" s="94">
        <f>'Receita Líquida - O&amp;G'!U17</f>
        <v>5.58</v>
      </c>
      <c r="V9" s="94">
        <f>'Receita Líquida - O&amp;G'!V17</f>
        <v>5.43</v>
      </c>
      <c r="W9" s="94">
        <f>'Receita Líquida - O&amp;G'!W17</f>
        <v>4.74</v>
      </c>
      <c r="X9" s="94">
        <f>'Receita Líquida - O&amp;G'!X17</f>
        <v>5.35</v>
      </c>
      <c r="Y9" s="94">
        <f>'Receita Líquida - O&amp;G'!Y17</f>
        <v>5.41</v>
      </c>
      <c r="Z9" s="94">
        <f>'Receita Líquida - O&amp;G'!Z17</f>
        <v>5.29</v>
      </c>
      <c r="AA9" s="94">
        <f>'Receita Líquida - O&amp;G'!AA17</f>
        <v>5.1974999999999998</v>
      </c>
      <c r="AB9" s="94">
        <f>'Receita Líquida - O&amp;G'!AB17</f>
        <v>5.0599999999999996</v>
      </c>
      <c r="AC9" s="94">
        <f>'Receita Líquida - O&amp;G'!AC17</f>
        <v>4.79</v>
      </c>
      <c r="AD9" s="94">
        <f>'Receita Líquida - O&amp;G'!AD17</f>
        <v>5.03</v>
      </c>
      <c r="AE9" s="94">
        <f>'Receita Líquida - O&amp;G'!AE17</f>
        <v>4.8499999999999996</v>
      </c>
      <c r="AF9" s="94">
        <f>'Receita Líquida - O&amp;G'!AF17</f>
        <v>4.9324999999999992</v>
      </c>
      <c r="AG9" s="94">
        <f>'Avaliação e Simulações'!E3</f>
        <v>4.9324999999999992</v>
      </c>
      <c r="AH9" s="94">
        <f>'Avaliação e Simulações'!F3</f>
        <v>4.9326999999999996</v>
      </c>
      <c r="AI9" s="94">
        <f>'Avaliação e Simulações'!G3</f>
        <v>5</v>
      </c>
      <c r="AJ9" s="94">
        <f>'Avaliação e Simulações'!H3</f>
        <v>5.04</v>
      </c>
      <c r="AK9" s="94">
        <f>'Avaliação e Simulações'!I3</f>
        <v>5.0999999999999996</v>
      </c>
      <c r="AL9" s="94">
        <f>'Avaliação e Simulações'!J3</f>
        <v>5.15</v>
      </c>
      <c r="AM9" s="94">
        <f>'Avaliação e Simulações'!K3</f>
        <v>5.200490196078432</v>
      </c>
      <c r="AN9" s="94">
        <f>'Avaliação e Simulações'!L3</f>
        <v>5.2514753940792014</v>
      </c>
      <c r="AO9" s="94">
        <f>'Avaliação e Simulações'!M3</f>
        <v>5.3029604469623308</v>
      </c>
      <c r="AP9" s="94">
        <f>'Avaliação e Simulações'!N3</f>
        <v>5.3549502552658828</v>
      </c>
      <c r="AQ9" s="94">
        <f>'Avaliação e Simulações'!O3</f>
        <v>5.4074497675724107</v>
      </c>
      <c r="AR9" s="94">
        <f>'Avaliação e Simulações'!P3</f>
        <v>5.4604639809799842</v>
      </c>
      <c r="AS9" s="94">
        <f>'Avaliação e Simulações'!Q3</f>
        <v>5.5139979415778271</v>
      </c>
      <c r="AT9" s="94">
        <f>'Avaliação e Simulações'!R3</f>
        <v>5.5680567449266292</v>
      </c>
      <c r="AU9" s="94">
        <f>'Avaliação e Simulações'!S3</f>
        <v>5.6226455365435566</v>
      </c>
      <c r="AV9" s="94">
        <f>'Avaliação e Simulações'!T3</f>
        <v>5.6777695123920227</v>
      </c>
      <c r="AW9" s="94">
        <f>'Avaliação e Simulações'!U3</f>
        <v>5.7334339193762576</v>
      </c>
      <c r="AX9" s="94">
        <f>'Avaliação e Simulações'!V3</f>
        <v>5.7896440558407303</v>
      </c>
      <c r="AY9" s="94">
        <f>'Avaliação e Simulações'!W3</f>
        <v>5.8464052720744633</v>
      </c>
      <c r="AZ9" s="94">
        <f>'Avaliação e Simulações'!X3</f>
        <v>5.903722970820291</v>
      </c>
      <c r="BA9" s="94">
        <f>'Avaliação e Simulações'!Y3</f>
        <v>5.9616026077891178</v>
      </c>
      <c r="BB9" s="94">
        <f>'Avaliação e Simulações'!Z3</f>
        <v>6.0200496921792075</v>
      </c>
      <c r="BC9" s="94">
        <f>'Avaliação e Simulações'!AA3</f>
        <v>6.0790697872005719</v>
      </c>
      <c r="BD9" s="94">
        <f>'Avaliação e Simulações'!AB3</f>
        <v>6.1386685106044991</v>
      </c>
      <c r="BE9" s="94">
        <f>'Avaliação e Simulações'!AC3</f>
        <v>6.1988515352182691</v>
      </c>
      <c r="BF9" s="94">
        <f>'Avaliação e Simulações'!AD3</f>
        <v>6.2596245894851146</v>
      </c>
      <c r="BG9" s="94">
        <f>'Avaliação e Simulações'!AE3</f>
        <v>6.3209934580094789</v>
      </c>
      <c r="BH9" s="94">
        <f>'Avaliação e Simulações'!AF3</f>
        <v>6.3829639821076105</v>
      </c>
      <c r="BI9" s="94">
        <f>'Avaliação e Simulações'!AG3</f>
        <v>6.445542060363568</v>
      </c>
      <c r="BJ9" s="94">
        <f>'Avaliação e Simulações'!AH3</f>
        <v>6.5087336491906616</v>
      </c>
      <c r="BK9" s="94">
        <f>'Avaliação e Simulações'!AI3</f>
        <v>6.5725447633984135</v>
      </c>
      <c r="BL9" s="94">
        <f>'Avaliação e Simulações'!AJ3</f>
        <v>6.6369814767650652</v>
      </c>
      <c r="BM9" s="94">
        <f>'Avaliação e Simulações'!AK3</f>
        <v>6.7020499226157026</v>
      </c>
      <c r="BN9" s="94">
        <f>'Avaliação e Simulações'!AL3</f>
        <v>6.7677562944060528</v>
      </c>
      <c r="BO9" s="94">
        <f>'Avaliação e Simulações'!AM3</f>
        <v>6.8341068463119949</v>
      </c>
      <c r="BP9" s="94">
        <f>'Avaliação e Simulações'!AN3</f>
        <v>6.9011078938248582</v>
      </c>
      <c r="BQ9" s="94">
        <f>'Avaliação e Simulações'!AO3</f>
        <v>6.9687658143525528</v>
      </c>
      <c r="BR9" s="94">
        <f>'Avaliação e Simulações'!AP3</f>
        <v>7.0370870478265974</v>
      </c>
      <c r="BS9" s="94">
        <f>'Avaliação e Simulações'!AQ3</f>
        <v>7.106078097315093</v>
      </c>
      <c r="BT9" s="94">
        <f>'Avaliação e Simulações'!AR3</f>
        <v>7.175745529641711</v>
      </c>
      <c r="BU9" s="94">
        <f>'Avaliação e Simulações'!AS3</f>
        <v>7.2460959760107482</v>
      </c>
      <c r="BV9" s="94">
        <f>'Avaliação e Simulações'!AT3</f>
        <v>7.3171361326383053</v>
      </c>
      <c r="BW9" s="94">
        <f>'Avaliação e Simulações'!AU3</f>
        <v>7.3888727613896608</v>
      </c>
    </row>
    <row r="10" spans="1:75" x14ac:dyDescent="0.3">
      <c r="C10" s="68"/>
    </row>
    <row r="11" spans="1:75" x14ac:dyDescent="0.3">
      <c r="A11" s="1" t="s">
        <v>1170</v>
      </c>
      <c r="C11" s="51">
        <f>'Receita Líquida - O&amp;G'!C26+'Receita Líquida - O&amp;G'!C59*0.17245496</f>
        <v>2452</v>
      </c>
      <c r="D11" s="51">
        <f>'Receita Líquida - O&amp;G'!D26+'Receita Líquida - O&amp;G'!D59*0.17245496</f>
        <v>1774</v>
      </c>
      <c r="E11" s="51">
        <f>'Receita Líquida - O&amp;G'!E26+'Receita Líquida - O&amp;G'!E59*0.17245496</f>
        <v>2683</v>
      </c>
      <c r="F11" s="51">
        <f>'Receita Líquida - O&amp;G'!F26+'Receita Líquida - O&amp;G'!F59*0.17245496</f>
        <v>3082</v>
      </c>
      <c r="G11" s="51">
        <f>'Receita Líquida - O&amp;G'!G26+'Receita Líquida - O&amp;G'!G59*0.17245496</f>
        <v>9991</v>
      </c>
      <c r="H11" s="51">
        <f>'Receita Líquida - O&amp;G'!H26+'Receita Líquida - O&amp;G'!H59*0.17245496</f>
        <v>1520.471</v>
      </c>
      <c r="I11" s="51">
        <f>'Receita Líquida - O&amp;G'!I26+'Receita Líquida - O&amp;G'!I59*0.17245496</f>
        <v>2000</v>
      </c>
      <c r="J11" s="51">
        <f>'Receita Líquida - O&amp;G'!J26+'Receita Líquida - O&amp;G'!J59*0.17245496</f>
        <v>1503</v>
      </c>
      <c r="K11" s="51">
        <f>'Receita Líquida - O&amp;G'!K26+'Receita Líquida - O&amp;G'!K59*0.17245496</f>
        <v>2328</v>
      </c>
      <c r="L11" s="51">
        <f>'Receita Líquida - O&amp;G'!L26+'Receita Líquida - O&amp;G'!L59*0.17245496</f>
        <v>7351.4709999999995</v>
      </c>
      <c r="M11" s="51">
        <f>'Receita Líquida - O&amp;G'!M26+'Receita Líquida - O&amp;G'!M59*0.17245496</f>
        <v>1452</v>
      </c>
      <c r="N11" s="51">
        <f>'Receita Líquida - O&amp;G'!N26+'Receita Líquida - O&amp;G'!N59*0.17245496</f>
        <v>1397</v>
      </c>
      <c r="O11" s="51">
        <f>'Receita Líquida - O&amp;G'!O26+'Receita Líquida - O&amp;G'!O59*0.17245496</f>
        <v>2398</v>
      </c>
      <c r="P11" s="51">
        <f>'Receita Líquida - O&amp;G'!P26+'Receita Líquida - O&amp;G'!P59*0.17245496</f>
        <v>3725</v>
      </c>
      <c r="Q11" s="51">
        <f>'Receita Líquida - O&amp;G'!Q26+'Receita Líquida - O&amp;G'!Q59*0.17245496</f>
        <v>8972</v>
      </c>
      <c r="R11" s="51">
        <f>'Receita Líquida - O&amp;G'!R26+'Receita Líquida - O&amp;G'!R59*0.17245496</f>
        <v>1928</v>
      </c>
      <c r="S11" s="51">
        <f>'Receita Líquida - O&amp;G'!S26+'Receita Líquida - O&amp;G'!S59*0.17245496</f>
        <v>2837</v>
      </c>
      <c r="T11" s="51">
        <f>'Receita Líquida - O&amp;G'!T26+'Receita Líquida - O&amp;G'!T59*0.17245496</f>
        <v>2484</v>
      </c>
      <c r="U11" s="51">
        <f>'Receita Líquida - O&amp;G'!U26+'Receita Líquida - O&amp;G'!U59*0.17245496</f>
        <v>3827</v>
      </c>
      <c r="V11" s="51">
        <f>'Receita Líquida - O&amp;G'!V26+'Receita Líquida - O&amp;G'!V59*0.17245496</f>
        <v>11076</v>
      </c>
      <c r="W11" s="51">
        <f>'Receita Líquida - O&amp;G'!W26+'Receita Líquida - O&amp;G'!W59*0.17245496</f>
        <v>2798</v>
      </c>
      <c r="X11" s="51">
        <f>'Receita Líquida - O&amp;G'!X26+'Receita Líquida - O&amp;G'!X59*0.17245496</f>
        <v>3347</v>
      </c>
      <c r="Y11" s="51">
        <f>'Receita Líquida - O&amp;G'!Y26+'Receita Líquida - O&amp;G'!Y59*0.17245496</f>
        <v>3847</v>
      </c>
      <c r="Z11" s="51">
        <f>'Receita Líquida - O&amp;G'!Z26+'Receita Líquida - O&amp;G'!Z59*0.17245496</f>
        <v>2293</v>
      </c>
      <c r="AA11" s="51">
        <f>'Receita Líquida - O&amp;G'!AA26+'Receita Líquida - O&amp;G'!AA59*0.17245496</f>
        <v>12285</v>
      </c>
      <c r="AB11" s="51">
        <f>'Receita Líquida - O&amp;G'!AB26+'Receita Líquida - O&amp;G'!AB59*0.17245496</f>
        <v>7290</v>
      </c>
      <c r="AC11" s="51">
        <f>'Receita Líquida - O&amp;G'!AC26+'Receita Líquida - O&amp;G'!AC59*0.17245496</f>
        <v>7156</v>
      </c>
      <c r="AD11" s="51">
        <f>'Receita Líquida - O&amp;G'!AD26+'Receita Líquida - O&amp;G'!AD59*0.17245496</f>
        <v>9772</v>
      </c>
      <c r="AE11" s="51">
        <f>'Receita Líquida - O&amp;G'!AE26+'Receita Líquida - O&amp;G'!AE59*0.17245496</f>
        <v>8343</v>
      </c>
      <c r="AF11" s="51">
        <f>'Receita Líquida - O&amp;G'!AF26+'Receita Líquida - O&amp;G'!AF59*0.17245496</f>
        <v>32561</v>
      </c>
      <c r="AG11" s="51">
        <f ca="1">'Receita Líquida - O&amp;G'!AG26+'Receita Líquida - O&amp;G'!AG59*0.17245496</f>
        <v>43523.297763867173</v>
      </c>
      <c r="AH11" s="51">
        <f ca="1">'Receita Líquida - O&amp;G'!AH26+'Receita Líquida - O&amp;G'!AH59*0.17245496</f>
        <v>58019.124530297122</v>
      </c>
      <c r="AI11" s="51">
        <f ca="1">'Receita Líquida - O&amp;G'!AI26+'Receita Líquida - O&amp;G'!AI59*0.17245496</f>
        <v>62023.685801669584</v>
      </c>
      <c r="AJ11" s="51">
        <f ca="1">'Receita Líquida - O&amp;G'!AJ26+'Receita Líquida - O&amp;G'!AJ59*0.17245496</f>
        <v>65754.672833032848</v>
      </c>
      <c r="AK11" s="51">
        <f ca="1">'Receita Líquida - O&amp;G'!AK26+'Receita Líquida - O&amp;G'!AK59*0.17245496</f>
        <v>65148.46561838562</v>
      </c>
      <c r="AL11" s="51">
        <f ca="1">'Receita Líquida - O&amp;G'!AL26+'Receita Líquida - O&amp;G'!AL59*0.17245496</f>
        <v>66252.472996001292</v>
      </c>
      <c r="AM11" s="51">
        <f ca="1">'Receita Líquida - O&amp;G'!AM26+'Receita Líquida - O&amp;G'!AM59*0.17245496</f>
        <v>59832.799719761759</v>
      </c>
      <c r="AN11" s="51">
        <f ca="1">'Receita Líquida - O&amp;G'!AN26+'Receita Líquida - O&amp;G'!AN59*0.17245496</f>
        <v>50280.094703258212</v>
      </c>
      <c r="AO11" s="51">
        <f ca="1">'Receita Líquida - O&amp;G'!AO26+'Receita Líquida - O&amp;G'!AO59*0.17245496</f>
        <v>43086.795956626811</v>
      </c>
      <c r="AP11" s="51">
        <f ca="1">'Receita Líquida - O&amp;G'!AP26+'Receita Líquida - O&amp;G'!AP59*0.17245496</f>
        <v>37401.202617402269</v>
      </c>
      <c r="AQ11" s="51">
        <f ca="1">'Receita Líquida - O&amp;G'!AQ26+'Receita Líquida - O&amp;G'!AQ59*0.17245496</f>
        <v>32769.959973683195</v>
      </c>
      <c r="AR11" s="51">
        <f ca="1">'Receita Líquida - O&amp;G'!AR26+'Receita Líquida - O&amp;G'!AR59*0.17245496</f>
        <v>28353.535661687059</v>
      </c>
      <c r="AS11" s="51">
        <f ca="1">'Receita Líquida - O&amp;G'!AS26+'Receita Líquida - O&amp;G'!AS59*0.17245496</f>
        <v>24169.615070156382</v>
      </c>
      <c r="AT11" s="51">
        <f ca="1">'Receita Líquida - O&amp;G'!AT26+'Receita Líquida - O&amp;G'!AT59*0.17245496</f>
        <v>20704.032004536843</v>
      </c>
      <c r="AU11" s="51">
        <f ca="1">'Receita Líquida - O&amp;G'!AU26+'Receita Líquida - O&amp;G'!AU59*0.17245496</f>
        <v>18190.242051858157</v>
      </c>
      <c r="AV11" s="51">
        <f ca="1">'Receita Líquida - O&amp;G'!AV26+'Receita Líquida - O&amp;G'!AV59*0.17245496</f>
        <v>15702.902285133843</v>
      </c>
      <c r="AW11" s="51">
        <f ca="1">'Receita Líquida - O&amp;G'!AW26+'Receita Líquida - O&amp;G'!AW59*0.17245496</f>
        <v>12344</v>
      </c>
      <c r="AX11" s="51">
        <f ca="1">'Receita Líquida - O&amp;G'!AX26+'Receita Líquida - O&amp;G'!AX59*0.17245496</f>
        <v>10815</v>
      </c>
      <c r="AY11" s="51">
        <f ca="1">'Receita Líquida - O&amp;G'!AY26+'Receita Líquida - O&amp;G'!AY59*0.17245496</f>
        <v>9503</v>
      </c>
      <c r="AZ11" s="51">
        <f ca="1">'Receita Líquida - O&amp;G'!AZ26+'Receita Líquida - O&amp;G'!AZ59*0.17245496</f>
        <v>8310</v>
      </c>
      <c r="BA11" s="51">
        <f ca="1">'Receita Líquida - O&amp;G'!BA26+'Receita Líquida - O&amp;G'!BA59*0.17245496</f>
        <v>7380</v>
      </c>
      <c r="BB11" s="51">
        <f ca="1">'Receita Líquida - O&amp;G'!BB26+'Receita Líquida - O&amp;G'!BB59*0.17245496</f>
        <v>6410</v>
      </c>
      <c r="BC11" s="51">
        <f ca="1">'Receita Líquida - O&amp;G'!BC26+'Receita Líquida - O&amp;G'!BC59*0.17245496</f>
        <v>5809</v>
      </c>
      <c r="BD11" s="51">
        <f ca="1">'Receita Líquida - O&amp;G'!BD26+'Receita Líquida - O&amp;G'!BD59*0.17245496</f>
        <v>5326</v>
      </c>
      <c r="BE11" s="51">
        <f ca="1">'Receita Líquida - O&amp;G'!BE26+'Receita Líquida - O&amp;G'!BE59*0.17245496</f>
        <v>4915</v>
      </c>
      <c r="BF11" s="51">
        <f ca="1">'Receita Líquida - O&amp;G'!BF26+'Receita Líquida - O&amp;G'!BF59*0.17245496</f>
        <v>4307</v>
      </c>
      <c r="BG11" s="51">
        <f ca="1">'Receita Líquida - O&amp;G'!BG26+'Receita Líquida - O&amp;G'!BG59*0.17245496</f>
        <v>3925</v>
      </c>
      <c r="BH11" s="51">
        <f ca="1">'Receita Líquida - O&amp;G'!BH26+'Receita Líquida - O&amp;G'!BH59*0.17245496</f>
        <v>3653</v>
      </c>
      <c r="BI11" s="51">
        <f ca="1">'Receita Líquida - O&amp;G'!BI26+'Receita Líquida - O&amp;G'!BI59*0.17245496</f>
        <v>2290</v>
      </c>
      <c r="BJ11" s="51">
        <f ca="1">'Receita Líquida - O&amp;G'!BJ26+'Receita Líquida - O&amp;G'!BJ59*0.17245496</f>
        <v>0</v>
      </c>
      <c r="BK11" s="51">
        <f ca="1">'Receita Líquida - O&amp;G'!BK26+'Receita Líquida - O&amp;G'!BK59*0.17245496</f>
        <v>0</v>
      </c>
      <c r="BL11" s="51">
        <f ca="1">'Receita Líquida - O&amp;G'!BL26+'Receita Líquida - O&amp;G'!BL59*0.17245496</f>
        <v>0</v>
      </c>
      <c r="BM11" s="51">
        <f ca="1">'Receita Líquida - O&amp;G'!BM26+'Receita Líquida - O&amp;G'!BM59*0.17245496</f>
        <v>0</v>
      </c>
      <c r="BN11" s="51">
        <f ca="1">'Receita Líquida - O&amp;G'!BN26+'Receita Líquida - O&amp;G'!BN59*0.17245496</f>
        <v>0</v>
      </c>
      <c r="BO11" s="51">
        <f ca="1">'Receita Líquida - O&amp;G'!BO26+'Receita Líquida - O&amp;G'!BO59*0.17245496</f>
        <v>0</v>
      </c>
      <c r="BP11" s="51">
        <f ca="1">'Receita Líquida - O&amp;G'!BP26+'Receita Líquida - O&amp;G'!BP59*0.17245496</f>
        <v>0</v>
      </c>
      <c r="BQ11" s="51">
        <f ca="1">'Receita Líquida - O&amp;G'!BQ26+'Receita Líquida - O&amp;G'!BQ59*0.17245496</f>
        <v>0</v>
      </c>
      <c r="BR11" s="51">
        <f ca="1">'Receita Líquida - O&amp;G'!BR26+'Receita Líquida - O&amp;G'!BR59*0.17245496</f>
        <v>0</v>
      </c>
      <c r="BS11" s="51">
        <f ca="1">'Receita Líquida - O&amp;G'!BS26+'Receita Líquida - O&amp;G'!BS59*0.17245496</f>
        <v>0</v>
      </c>
      <c r="BT11" s="51">
        <f ca="1">'Receita Líquida - O&amp;G'!BT26+'Receita Líquida - O&amp;G'!BT59*0.17245496</f>
        <v>0</v>
      </c>
      <c r="BU11" s="51">
        <f ca="1">'Receita Líquida - O&amp;G'!BU26+'Receita Líquida - O&amp;G'!BU59*0.17245496</f>
        <v>0</v>
      </c>
      <c r="BV11" s="51">
        <f ca="1">'Receita Líquida - O&amp;G'!BV26+'Receita Líquida - O&amp;G'!BV59*0.17245496</f>
        <v>0</v>
      </c>
      <c r="BW11" s="51">
        <f ca="1">'Receita Líquida - O&amp;G'!BW26+'Receita Líquida - O&amp;G'!BW59*0.17245496</f>
        <v>0</v>
      </c>
    </row>
    <row r="12" spans="1:75" x14ac:dyDescent="0.3">
      <c r="C12" s="68"/>
      <c r="BH12" s="240"/>
    </row>
    <row r="13" spans="1:75" s="39" customFormat="1" x14ac:dyDescent="0.3">
      <c r="A13" s="40" t="s">
        <v>245</v>
      </c>
    </row>
    <row r="14" spans="1:75" x14ac:dyDescent="0.3">
      <c r="BH14" s="240"/>
    </row>
    <row r="15" spans="1:75" x14ac:dyDescent="0.3">
      <c r="A15" s="1" t="s">
        <v>109</v>
      </c>
      <c r="R15" s="99"/>
      <c r="S15" s="99"/>
      <c r="T15" s="99"/>
      <c r="U15" s="99"/>
      <c r="V15" s="99"/>
      <c r="W15" s="99"/>
      <c r="X15" s="99"/>
      <c r="Y15" s="99"/>
      <c r="Z15" s="99"/>
      <c r="AA15" s="99"/>
      <c r="AB15" s="99"/>
      <c r="AC15" s="99"/>
      <c r="AD15" s="99"/>
      <c r="BG15"/>
      <c r="BH15"/>
    </row>
    <row r="16" spans="1:75" x14ac:dyDescent="0.3">
      <c r="A16" s="38" t="s">
        <v>177</v>
      </c>
      <c r="B16" s="38"/>
      <c r="C16" s="51">
        <f>'DRE - Economática'!AI193</f>
        <v>117155</v>
      </c>
      <c r="D16" s="51">
        <f>'DRE - Economática'!AJ193-C16</f>
        <v>239405</v>
      </c>
      <c r="E16" s="51">
        <f>'DRE - Economática'!AK193-D16-C16</f>
        <v>224627</v>
      </c>
      <c r="F16" s="51">
        <f>'DRE - Economática'!AL193-E16-D16-C16</f>
        <v>267733</v>
      </c>
      <c r="G16" s="48">
        <f>SUM(C16:F16)</f>
        <v>848920</v>
      </c>
      <c r="H16" s="51">
        <f>'DRE - Economática'!AM193</f>
        <v>139431</v>
      </c>
      <c r="I16" s="51">
        <f>'DRE - Economática'!AN193-H16</f>
        <v>547875</v>
      </c>
      <c r="J16" s="51">
        <f>'DRE - Economática'!AO193-I16-H16</f>
        <v>399045</v>
      </c>
      <c r="K16" s="51">
        <f>'DRE - Economática'!AP193-J16-I16-H16</f>
        <v>557995</v>
      </c>
      <c r="L16" s="48">
        <f>SUM(H16:K16)</f>
        <v>1644346</v>
      </c>
      <c r="M16" s="51">
        <f>'DRE - Economática'!AQ193</f>
        <v>223162</v>
      </c>
      <c r="N16" s="51">
        <f>'DRE - Economática'!AR193-M16</f>
        <v>312293</v>
      </c>
      <c r="O16" s="51">
        <f>'DRE - Economática'!AS193-N16-M16</f>
        <v>488695</v>
      </c>
      <c r="P16" s="51">
        <f>'DRE - Economática'!AT193-O16-N16-M16</f>
        <v>880035</v>
      </c>
      <c r="Q16" s="48">
        <f>SUM(M16:P16)</f>
        <v>1904185</v>
      </c>
      <c r="R16" s="51">
        <f>'DRE - Economática'!AU193</f>
        <v>655334</v>
      </c>
      <c r="S16" s="51">
        <f>'DRE - Economática'!AV193-R16</f>
        <v>1022837</v>
      </c>
      <c r="T16" s="51">
        <f>'DRE - Economática'!AW193-S16-R16</f>
        <v>939517</v>
      </c>
      <c r="U16" s="51">
        <f>'DRE - Economática'!AX193-T16-S16-R16</f>
        <v>1778315</v>
      </c>
      <c r="V16" s="48">
        <f>SUM(R16:U16)</f>
        <v>4396003</v>
      </c>
      <c r="W16" s="51">
        <f>'DRE - Economática'!AY193</f>
        <v>1529995</v>
      </c>
      <c r="X16" s="51">
        <f>'DRE - Economática'!AZ193-W16</f>
        <v>1873985</v>
      </c>
      <c r="Y16" s="51">
        <f>'DRE - Economática'!BA193-X16-W16</f>
        <v>1985786</v>
      </c>
      <c r="Z16" s="51">
        <f>'DRE - Economática'!BB193-Y16-X16-W16</f>
        <v>973709</v>
      </c>
      <c r="AA16" s="48">
        <f>SUM(W16:Z16)</f>
        <v>6363475</v>
      </c>
      <c r="AB16" s="51">
        <f>(-('DRE - Economática'!BC193))*-1</f>
        <v>2814955</v>
      </c>
      <c r="AC16" s="51">
        <f>(-('DRE - Economática'!BD193-'DRE - Economática'!BC193))*-1</f>
        <v>2311206</v>
      </c>
      <c r="AD16" s="51">
        <f>(-('DRE - Economática'!BE193-'DRE - Economática'!BD193))*-1</f>
        <v>3783682</v>
      </c>
      <c r="AE16" s="51">
        <f>(-('DRE - Economática'!BF193-'DRE - Economática'!BE193))*-1</f>
        <v>2995198</v>
      </c>
      <c r="AF16" s="51">
        <f>SUM(AB16:AE16)</f>
        <v>11905041</v>
      </c>
      <c r="AG16" s="48">
        <f ca="1">('Receita Líquida - O&amp;G'!AG79+'Receita Líquida - O&amp;G'!AG40)*1000</f>
        <v>16390386.78087198</v>
      </c>
      <c r="AH16" s="48">
        <f ca="1">('Receita Líquida - O&amp;G'!AH79+'Receita Líquida - O&amp;G'!AH40)*1000</f>
        <v>20323351.780034315</v>
      </c>
      <c r="AI16" s="48">
        <f ca="1">('Receita Líquida - O&amp;G'!AI79+'Receita Líquida - O&amp;G'!AI40)*1000</f>
        <v>20721904.899899654</v>
      </c>
      <c r="AJ16" s="48">
        <f ca="1">('Receita Líquida - O&amp;G'!AJ79+'Receita Líquida - O&amp;G'!AJ40)*1000</f>
        <v>21323319.09452197</v>
      </c>
      <c r="AK16" s="48">
        <f ca="1">('Receita Líquida - O&amp;G'!AK79+'Receita Líquida - O&amp;G'!AK40)*1000</f>
        <v>20553244.297288332</v>
      </c>
      <c r="AL16" s="48">
        <f ca="1">('Receita Líquida - O&amp;G'!AL79+'Receita Líquida - O&amp;G'!AL40)*1000</f>
        <v>20781192.835271839</v>
      </c>
      <c r="AM16" s="48">
        <f ca="1">('Receita Líquida - O&amp;G'!AM79+'Receita Líquida - O&amp;G'!AM40)*1000</f>
        <v>18961693.826721907</v>
      </c>
      <c r="AN16" s="48">
        <f ca="1">('Receita Líquida - O&amp;G'!AN79+'Receita Líquida - O&amp;G'!AN40)*1000</f>
        <v>16224666.620542247</v>
      </c>
      <c r="AO16" s="48">
        <f ca="1">('Receita Líquida - O&amp;G'!AO79+'Receita Líquida - O&amp;G'!AO40)*1000</f>
        <v>14451927.383099908</v>
      </c>
      <c r="AP16" s="48">
        <f ca="1">('Receita Líquida - O&amp;G'!AP79+'Receita Líquida - O&amp;G'!AP40)*1000</f>
        <v>13007420.420359002</v>
      </c>
      <c r="AQ16" s="48">
        <f ca="1">('Receita Líquida - O&amp;G'!AQ79+'Receita Líquida - O&amp;G'!AQ40)*1000</f>
        <v>11798203.427187698</v>
      </c>
      <c r="AR16" s="48">
        <f ca="1">('Receita Líquida - O&amp;G'!AR79+'Receita Líquida - O&amp;G'!AR40)*1000</f>
        <v>10570288.890776379</v>
      </c>
      <c r="AS16" s="48">
        <f ca="1">('Receita Líquida - O&amp;G'!AS79+'Receita Líquida - O&amp;G'!AS40)*1000</f>
        <v>9331665.7179269642</v>
      </c>
      <c r="AT16" s="48">
        <f ca="1">('Receita Líquida - O&amp;G'!AT79+'Receita Líquida - O&amp;G'!AT40)*1000</f>
        <v>8275151.7275991775</v>
      </c>
      <c r="AU16" s="48">
        <f ca="1">('Receita Líquida - O&amp;G'!AU79+'Receita Líquida - O&amp;G'!AU40)*1000</f>
        <v>7515560.0073167263</v>
      </c>
      <c r="AV16" s="48">
        <f ca="1">('Receita Líquida - O&amp;G'!AV79+'Receita Líquida - O&amp;G'!AV40)*1000</f>
        <v>6860556.0599817354</v>
      </c>
      <c r="AW16" s="48">
        <f ca="1">('Receita Líquida - O&amp;G'!AW79+'Receita Líquida - O&amp;G'!AW40)*1000</f>
        <v>5568699.9780870378</v>
      </c>
      <c r="AX16" s="48">
        <f ca="1">('Receita Líquida - O&amp;G'!AX79+'Receita Líquida - O&amp;G'!AX40)*1000</f>
        <v>5025652.8041598415</v>
      </c>
      <c r="AY16" s="48">
        <f ca="1">('Receita Líquida - O&amp;G'!AY79+'Receita Líquida - O&amp;G'!AY40)*1000</f>
        <v>4549195.912382327</v>
      </c>
      <c r="AZ16" s="48">
        <f ca="1">('Receita Líquida - O&amp;G'!AZ79+'Receita Líquida - O&amp;G'!AZ40)*1000</f>
        <v>4098515.4558692994</v>
      </c>
      <c r="BA16" s="48">
        <f ca="1">('Receita Líquida - O&amp;G'!BA79+'Receita Líquida - O&amp;G'!BA40)*1000</f>
        <v>3749819.1320893974</v>
      </c>
      <c r="BB16" s="48">
        <f ca="1">('Receita Líquida - O&amp;G'!BB79+'Receita Líquida - O&amp;G'!BB40)*1000</f>
        <v>3355803.2444751463</v>
      </c>
      <c r="BC16" s="48">
        <f ca="1">('Receita Líquida - O&amp;G'!BC79+'Receita Líquida - O&amp;G'!BC40)*1000</f>
        <v>3132287.1289879899</v>
      </c>
      <c r="BD16" s="48">
        <f ca="1">('Receita Líquida - O&amp;G'!BD79+'Receita Líquida - O&amp;G'!BD40)*1000</f>
        <v>2957779.8214273546</v>
      </c>
      <c r="BE16" s="48">
        <f ca="1">('Receita Líquida - O&amp;G'!BE79+'Receita Líquida - O&amp;G'!BE40)*1000</f>
        <v>2810630.5580406166</v>
      </c>
      <c r="BF16" s="48">
        <f ca="1">('Receita Líquida - O&amp;G'!BF79+'Receita Líquida - O&amp;G'!BF40)*1000</f>
        <v>2536883.2537542437</v>
      </c>
      <c r="BG16" s="48">
        <f ca="1">('Receita Líquida - O&amp;G'!BG79+'Receita Líquida - O&amp;G'!BG40)*1000</f>
        <v>2382496.4886306101</v>
      </c>
      <c r="BH16" s="48">
        <f ca="1">('Receita Líquida - O&amp;G'!BH79+'Receita Líquida - O&amp;G'!BH40)*1000</f>
        <v>2285037.7475453387</v>
      </c>
      <c r="BI16" s="48">
        <f ca="1">('Receita Líquida - O&amp;G'!BI79+'Receita Líquida - O&amp;G'!BI40)*1000</f>
        <v>1476559.1882033877</v>
      </c>
      <c r="BJ16" s="48">
        <f ca="1">('Receita Líquida - O&amp;G'!BJ79+'Receita Líquida - O&amp;G'!BJ40)*1000</f>
        <v>0</v>
      </c>
      <c r="BK16" s="48">
        <f ca="1">('Receita Líquida - O&amp;G'!BK79+'Receita Líquida - O&amp;G'!BK40)*1000</f>
        <v>0</v>
      </c>
      <c r="BL16" s="48">
        <f ca="1">('Receita Líquida - O&amp;G'!BL79+'Receita Líquida - O&amp;G'!BL40)*1000</f>
        <v>0</v>
      </c>
      <c r="BM16" s="48">
        <f ca="1">('Receita Líquida - O&amp;G'!BM79+'Receita Líquida - O&amp;G'!BM40)*1000</f>
        <v>0</v>
      </c>
      <c r="BN16" s="48">
        <f ca="1">('Receita Líquida - O&amp;G'!BN79+'Receita Líquida - O&amp;G'!BN40)*1000</f>
        <v>0</v>
      </c>
      <c r="BO16" s="48">
        <f ca="1">('Receita Líquida - O&amp;G'!BO79+'Receita Líquida - O&amp;G'!BO40)*1000</f>
        <v>0</v>
      </c>
      <c r="BP16" s="48">
        <f ca="1">('Receita Líquida - O&amp;G'!BP79+'Receita Líquida - O&amp;G'!BP40)*1000</f>
        <v>0</v>
      </c>
      <c r="BQ16" s="48">
        <f ca="1">('Receita Líquida - O&amp;G'!BQ79+'Receita Líquida - O&amp;G'!BQ40)*1000</f>
        <v>0</v>
      </c>
      <c r="BR16" s="48">
        <f ca="1">('Receita Líquida - O&amp;G'!BR79+'Receita Líquida - O&amp;G'!BR40)*1000</f>
        <v>0</v>
      </c>
      <c r="BS16" s="48">
        <f ca="1">('Receita Líquida - O&amp;G'!BS79+'Receita Líquida - O&amp;G'!BS40)*1000</f>
        <v>0</v>
      </c>
      <c r="BT16" s="48">
        <f ca="1">('Receita Líquida - O&amp;G'!BT79+'Receita Líquida - O&amp;G'!BT40)*1000</f>
        <v>0</v>
      </c>
      <c r="BU16" s="48">
        <f ca="1">('Receita Líquida - O&amp;G'!BU79+'Receita Líquida - O&amp;G'!BU40)*1000</f>
        <v>0</v>
      </c>
      <c r="BV16" s="48">
        <f ca="1">('Receita Líquida - O&amp;G'!BV79+'Receita Líquida - O&amp;G'!BV40)*1000</f>
        <v>0</v>
      </c>
      <c r="BW16" s="48">
        <f ca="1">('Receita Líquida - O&amp;G'!BW79+'Receita Líquida - O&amp;G'!BW40)*1000</f>
        <v>0</v>
      </c>
    </row>
    <row r="17" spans="1:75" x14ac:dyDescent="0.3">
      <c r="A17" s="1" t="s">
        <v>178</v>
      </c>
      <c r="C17" s="51">
        <f>-'DRE - Economática'!AI194</f>
        <v>-93692</v>
      </c>
      <c r="D17" s="51">
        <f>-'DRE - Economática'!AJ194-C17</f>
        <v>-147467</v>
      </c>
      <c r="E17" s="51">
        <f>-'DRE - Economática'!AK194-D17-C17</f>
        <v>-116987</v>
      </c>
      <c r="F17" s="51">
        <f>-'DRE - Economática'!AL194-E17-D17-C17</f>
        <v>-170663</v>
      </c>
      <c r="G17" s="51">
        <f>SUM(C17:F17)</f>
        <v>-528809</v>
      </c>
      <c r="H17" s="51">
        <f>-'DRE - Economática'!AM194</f>
        <v>-96529</v>
      </c>
      <c r="I17" s="51">
        <f>-'DRE - Economática'!AN194-H17</f>
        <v>-268451</v>
      </c>
      <c r="J17" s="51">
        <f>-'DRE - Economática'!AO194-I17-H17</f>
        <v>-232375</v>
      </c>
      <c r="K17" s="51">
        <f>-'DRE - Economática'!AP194-J17-I17-H17</f>
        <v>-343024</v>
      </c>
      <c r="L17" s="51">
        <f>SUM(H17:K17)</f>
        <v>-940379</v>
      </c>
      <c r="M17" s="51">
        <f>-'DRE - Economática'!AQ194</f>
        <v>-206826</v>
      </c>
      <c r="N17" s="51">
        <f>-'DRE - Economática'!AR194-M17</f>
        <v>-225736</v>
      </c>
      <c r="O17" s="51">
        <f>-'DRE - Economática'!AS194-N17-M17</f>
        <v>-319310</v>
      </c>
      <c r="P17" s="51">
        <f>-'DRE - Economática'!AT194-O17-N17-M17</f>
        <v>-535054</v>
      </c>
      <c r="Q17" s="51">
        <f>SUM(M17:P17)</f>
        <v>-1286926</v>
      </c>
      <c r="R17" s="51">
        <f>-'DRE - Economática'!AU194</f>
        <v>-236531</v>
      </c>
      <c r="S17" s="51">
        <f>-'DRE - Economática'!AV194-R17</f>
        <v>-468563</v>
      </c>
      <c r="T17" s="51">
        <f>-'DRE - Economática'!AW194-S17-R17</f>
        <v>-453256</v>
      </c>
      <c r="U17" s="51">
        <f>-'DRE - Economática'!AX194-T17-S17-R17</f>
        <v>-725008</v>
      </c>
      <c r="V17" s="51">
        <f>SUM(R17:U17)</f>
        <v>-1883358</v>
      </c>
      <c r="W17" s="51">
        <f>-'DRE - Economática'!AY194</f>
        <v>-462095</v>
      </c>
      <c r="X17" s="51">
        <f>-'DRE - Economática'!AZ194-W17</f>
        <v>-657336</v>
      </c>
      <c r="Y17" s="51">
        <f>-'DRE - Economática'!BA194-X17-W17</f>
        <v>-612311</v>
      </c>
      <c r="Z17" s="51">
        <f>-'DRE - Economática'!BB194-Y17-X17-W17</f>
        <v>-374561</v>
      </c>
      <c r="AA17" s="51">
        <f>SUM(W17:Z17)</f>
        <v>-2106303</v>
      </c>
      <c r="AB17" s="51">
        <f>-('DRE - Economática'!BC194)</f>
        <v>-981886</v>
      </c>
      <c r="AC17" s="51">
        <f>-('DRE - Economática'!BD194)-AB17</f>
        <v>-843072</v>
      </c>
      <c r="AD17" s="51">
        <f>-('DRE - Economática'!BE194)-AC17-AB17</f>
        <v>-1627598</v>
      </c>
      <c r="AE17" s="51">
        <f>-('DRE - Economática'!BF194)-AD17-AC17-AB17</f>
        <v>-793581</v>
      </c>
      <c r="AF17" s="51">
        <f>SUM(AB17:AE17)</f>
        <v>-4246137</v>
      </c>
      <c r="AG17" s="51">
        <f ca="1">IFERROR(AG18+AG20+AG22+AG24,0)</f>
        <v>-4812297.9228943586</v>
      </c>
      <c r="AH17" s="51">
        <f t="shared" ref="AH17:BL17" ca="1" si="3">IFERROR(AH18+AH20+AH22+AH24,0)</f>
        <v>-5930014.9891544282</v>
      </c>
      <c r="AI17" s="51">
        <f t="shared" ca="1" si="3"/>
        <v>-6614388.0973548666</v>
      </c>
      <c r="AJ17" s="51">
        <f t="shared" ca="1" si="3"/>
        <v>-7232958.0655703302</v>
      </c>
      <c r="AK17" s="51">
        <f t="shared" ca="1" si="3"/>
        <v>-7525747.7916724253</v>
      </c>
      <c r="AL17" s="51">
        <f t="shared" ca="1" si="3"/>
        <v>-7715553.051013127</v>
      </c>
      <c r="AM17" s="51">
        <f t="shared" ca="1" si="3"/>
        <v>-6977180.8909794185</v>
      </c>
      <c r="AN17" s="51">
        <f t="shared" ca="1" si="3"/>
        <v>-5803414.5808208603</v>
      </c>
      <c r="AO17" s="51">
        <f t="shared" ca="1" si="3"/>
        <v>-5015149.4813390076</v>
      </c>
      <c r="AP17" s="51">
        <f t="shared" ca="1" si="3"/>
        <v>-4606162.6170792142</v>
      </c>
      <c r="AQ17" s="51">
        <f t="shared" ca="1" si="3"/>
        <v>-4062657.4317082847</v>
      </c>
      <c r="AR17" s="51">
        <f t="shared" ca="1" si="3"/>
        <v>-3561032.4733868139</v>
      </c>
      <c r="AS17" s="51">
        <f t="shared" ca="1" si="3"/>
        <v>-3083726.0029894467</v>
      </c>
      <c r="AT17" s="51">
        <f t="shared" ca="1" si="3"/>
        <v>-2702495.1243554382</v>
      </c>
      <c r="AU17" s="51">
        <f t="shared" ca="1" si="3"/>
        <v>-2387153.3790195473</v>
      </c>
      <c r="AV17" s="51">
        <f t="shared" ca="1" si="3"/>
        <v>-2042787.2450856769</v>
      </c>
      <c r="AW17" s="51">
        <f t="shared" ca="1" si="3"/>
        <v>-1686374.9226715525</v>
      </c>
      <c r="AX17" s="51">
        <f t="shared" ca="1" si="3"/>
        <v>-1506582.5646754107</v>
      </c>
      <c r="AY17" s="51">
        <f t="shared" ca="1" si="3"/>
        <v>-1346928.1963652857</v>
      </c>
      <c r="AZ17" s="51">
        <f t="shared" ca="1" si="3"/>
        <v>-1209411.4759521671</v>
      </c>
      <c r="BA17" s="51">
        <f t="shared" ca="1" si="3"/>
        <v>-1089368.5940180046</v>
      </c>
      <c r="BB17" s="51">
        <f t="shared" ca="1" si="3"/>
        <v>-988211.18940851989</v>
      </c>
      <c r="BC17" s="51">
        <f t="shared" ca="1" si="3"/>
        <v>-937544.64205339109</v>
      </c>
      <c r="BD17" s="51">
        <f t="shared" ca="1" si="3"/>
        <v>-910509.36018645368</v>
      </c>
      <c r="BE17" s="51">
        <f t="shared" ca="1" si="3"/>
        <v>-875658.06382040167</v>
      </c>
      <c r="BF17" s="51">
        <f t="shared" ca="1" si="3"/>
        <v>-856113.88223140338</v>
      </c>
      <c r="BG17" s="51">
        <f t="shared" ca="1" si="3"/>
        <v>-927187.09392406407</v>
      </c>
      <c r="BH17" s="51">
        <f t="shared" ca="1" si="3"/>
        <v>-632394.15853140526</v>
      </c>
      <c r="BI17" s="51">
        <f ca="1">IFERROR(BI18+BI20+BI22+BI24,0)</f>
        <v>-2023.6447944026004</v>
      </c>
      <c r="BJ17" s="51">
        <f t="shared" ca="1" si="3"/>
        <v>0</v>
      </c>
      <c r="BK17" s="51">
        <f t="shared" ca="1" si="3"/>
        <v>0</v>
      </c>
      <c r="BL17" s="51">
        <f t="shared" ca="1" si="3"/>
        <v>0</v>
      </c>
      <c r="BM17" s="51">
        <f ca="1">IFERROR(BM18+BM20+BM22+BM24,0)</f>
        <v>0</v>
      </c>
      <c r="BN17" s="51">
        <f ca="1">IFERROR(BN18+BN20+BN22+BN24,0)</f>
        <v>0</v>
      </c>
      <c r="BO17" s="51">
        <f ca="1">IFERROR(BO18+BO20+BO22+BO24,0)</f>
        <v>0</v>
      </c>
      <c r="BP17" s="51">
        <f ca="1">IFERROR(BP18+BP20+BP22+BP24,0)</f>
        <v>0</v>
      </c>
      <c r="BQ17" s="51">
        <f ca="1">IFERROR(BQ18+BQ20+BQ22+BQ24,0)</f>
        <v>0</v>
      </c>
      <c r="BR17" s="51">
        <f t="shared" ref="BR17:BW17" ca="1" si="4">IFERROR(BR18+BR20+BR22+BR24,0)</f>
        <v>0</v>
      </c>
      <c r="BS17" s="51">
        <f t="shared" ca="1" si="4"/>
        <v>0</v>
      </c>
      <c r="BT17" s="51">
        <f t="shared" ca="1" si="4"/>
        <v>0</v>
      </c>
      <c r="BU17" s="51">
        <f t="shared" ca="1" si="4"/>
        <v>0</v>
      </c>
      <c r="BV17" s="51">
        <f t="shared" ca="1" si="4"/>
        <v>0</v>
      </c>
      <c r="BW17" s="51">
        <f t="shared" ca="1" si="4"/>
        <v>0</v>
      </c>
    </row>
    <row r="18" spans="1:75" x14ac:dyDescent="0.3">
      <c r="A18" s="42" t="s">
        <v>511</v>
      </c>
      <c r="B18" s="42"/>
      <c r="C18" s="53"/>
      <c r="D18" s="53"/>
      <c r="E18" s="53"/>
      <c r="F18" s="53"/>
      <c r="G18" s="53"/>
      <c r="H18" s="53"/>
      <c r="I18" s="53"/>
      <c r="J18" s="53"/>
      <c r="K18" s="53"/>
      <c r="L18" s="53"/>
      <c r="M18" s="53"/>
      <c r="N18" s="53"/>
      <c r="O18" s="53"/>
      <c r="P18" s="53"/>
      <c r="Q18" s="53"/>
      <c r="R18" s="51">
        <f t="shared" ref="R18:AA18" si="5">R17-R20-R22</f>
        <v>-101329</v>
      </c>
      <c r="S18" s="51">
        <f t="shared" si="5"/>
        <v>-175300</v>
      </c>
      <c r="T18" s="51">
        <f t="shared" si="5"/>
        <v>-195016</v>
      </c>
      <c r="U18" s="51">
        <f t="shared" si="5"/>
        <v>-320323</v>
      </c>
      <c r="V18" s="51">
        <f t="shared" si="5"/>
        <v>-791968</v>
      </c>
      <c r="W18" s="51">
        <f t="shared" si="5"/>
        <v>-180481</v>
      </c>
      <c r="X18" s="51">
        <f t="shared" si="5"/>
        <v>-312597</v>
      </c>
      <c r="Y18" s="51">
        <f t="shared" si="5"/>
        <v>-241887</v>
      </c>
      <c r="Z18" s="51">
        <f t="shared" si="5"/>
        <v>-131224</v>
      </c>
      <c r="AA18" s="51">
        <f t="shared" si="5"/>
        <v>-866189</v>
      </c>
      <c r="AB18" s="51">
        <f>AB17-AB20-AB22</f>
        <v>-462030</v>
      </c>
      <c r="AC18" s="51">
        <f>AC17-AC20-AC22</f>
        <v>-95798</v>
      </c>
      <c r="AD18" s="51">
        <f>AD17-AD20-AD22</f>
        <v>-478897</v>
      </c>
      <c r="AE18" s="51">
        <f>AE17-AE20-AE22</f>
        <v>-157403</v>
      </c>
      <c r="AF18" s="51">
        <f>AF17-AF20-AF22</f>
        <v>-1194128</v>
      </c>
      <c r="AG18" s="51">
        <f ca="1">AG19*AG9*AG11</f>
        <v>-1639250.7294616199</v>
      </c>
      <c r="AH18" s="51">
        <f t="shared" ref="AH18:BL18" ca="1" si="6">AH19*AH9*AH11</f>
        <v>-2229012.7022048691</v>
      </c>
      <c r="AI18" s="51">
        <f t="shared" ca="1" si="6"/>
        <v>-2463680.6696571549</v>
      </c>
      <c r="AJ18" s="51">
        <f t="shared" ca="1" si="6"/>
        <v>-2685432.0646592099</v>
      </c>
      <c r="AK18" s="51">
        <f t="shared" ca="1" si="6"/>
        <v>-2746196.1375402692</v>
      </c>
      <c r="AL18" s="51">
        <f t="shared" ca="1" si="6"/>
        <v>-2876515.2368307896</v>
      </c>
      <c r="AM18" s="51">
        <f t="shared" ca="1" si="6"/>
        <v>-2675722.8951819404</v>
      </c>
      <c r="AN18" s="51">
        <f t="shared" ca="1" si="6"/>
        <v>-2315981.6895671533</v>
      </c>
      <c r="AO18" s="51">
        <f t="shared" ca="1" si="6"/>
        <v>-2044186.2335222149</v>
      </c>
      <c r="AP18" s="51">
        <f t="shared" ca="1" si="6"/>
        <v>-1827675.3345078365</v>
      </c>
      <c r="AQ18" s="51">
        <f t="shared" ca="1" si="6"/>
        <v>-1649402.3899303121</v>
      </c>
      <c r="AR18" s="51">
        <f t="shared" ca="1" si="6"/>
        <v>-1469924.9314477507</v>
      </c>
      <c r="AS18" s="51">
        <f t="shared" ca="1" si="6"/>
        <v>-1290609.6017442627</v>
      </c>
      <c r="AT18" s="51">
        <f t="shared" ca="1" si="6"/>
        <v>-1138720.9558358085</v>
      </c>
      <c r="AU18" s="51">
        <f t="shared" ca="1" si="6"/>
        <v>-1030476.4842899599</v>
      </c>
      <c r="AV18" s="51">
        <f t="shared" ca="1" si="6"/>
        <v>-916255.84962619876</v>
      </c>
      <c r="AW18" s="51">
        <f t="shared" ca="1" si="6"/>
        <v>-741873.69076659041</v>
      </c>
      <c r="AX18" s="51">
        <f t="shared" ca="1" si="6"/>
        <v>-669480.30497487809</v>
      </c>
      <c r="AY18" s="51">
        <f t="shared" ca="1" si="6"/>
        <v>-605911.5560167873</v>
      </c>
      <c r="AZ18" s="51">
        <f t="shared" ca="1" si="6"/>
        <v>-545741.21660680708</v>
      </c>
      <c r="BA18" s="51">
        <f t="shared" ca="1" si="6"/>
        <v>-499205.4493279162</v>
      </c>
      <c r="BB18" s="51">
        <f t="shared" ca="1" si="6"/>
        <v>-446599.47670700558</v>
      </c>
      <c r="BC18" s="51">
        <f t="shared" ca="1" si="6"/>
        <v>-416868.21388404456</v>
      </c>
      <c r="BD18" s="51">
        <f t="shared" ca="1" si="6"/>
        <v>-393673.1469032215</v>
      </c>
      <c r="BE18" s="51">
        <f t="shared" ca="1" si="6"/>
        <v>-374192.75676684454</v>
      </c>
      <c r="BF18" s="51">
        <f t="shared" ca="1" si="6"/>
        <v>-337741.12909392541</v>
      </c>
      <c r="BG18" s="51">
        <f t="shared" ca="1" si="6"/>
        <v>-317019.49144287605</v>
      </c>
      <c r="BH18" s="51">
        <f t="shared" ca="1" si="6"/>
        <v>-303901.74988740153</v>
      </c>
      <c r="BI18" s="51">
        <f t="shared" ca="1" si="6"/>
        <v>-196225.85750326148</v>
      </c>
      <c r="BJ18" s="51">
        <f t="shared" ca="1" si="6"/>
        <v>0</v>
      </c>
      <c r="BK18" s="51">
        <f t="shared" ca="1" si="6"/>
        <v>0</v>
      </c>
      <c r="BL18" s="51">
        <f t="shared" ca="1" si="6"/>
        <v>0</v>
      </c>
      <c r="BM18" s="51">
        <f ca="1">BM19*BM9*BM11</f>
        <v>0</v>
      </c>
      <c r="BN18" s="51">
        <f ca="1">BN19*BN9*BN11</f>
        <v>0</v>
      </c>
      <c r="BO18" s="51">
        <f ca="1">BO19*BO9*BO11</f>
        <v>0</v>
      </c>
      <c r="BP18" s="51">
        <f ca="1">BP19*BP9*BP11</f>
        <v>0</v>
      </c>
      <c r="BQ18" s="51">
        <f ca="1">BQ19*BQ9*BQ11</f>
        <v>0</v>
      </c>
      <c r="BR18" s="51">
        <f t="shared" ref="BR18:BW18" ca="1" si="7">BR19*BR9*BR11</f>
        <v>0</v>
      </c>
      <c r="BS18" s="51">
        <f t="shared" ca="1" si="7"/>
        <v>0</v>
      </c>
      <c r="BT18" s="51">
        <f t="shared" ca="1" si="7"/>
        <v>0</v>
      </c>
      <c r="BU18" s="51">
        <f t="shared" ca="1" si="7"/>
        <v>0</v>
      </c>
      <c r="BV18" s="51">
        <f t="shared" ca="1" si="7"/>
        <v>0</v>
      </c>
      <c r="BW18" s="51">
        <f t="shared" ca="1" si="7"/>
        <v>0</v>
      </c>
    </row>
    <row r="19" spans="1:75" x14ac:dyDescent="0.3">
      <c r="A19" s="47" t="s">
        <v>535</v>
      </c>
      <c r="B19" s="47"/>
      <c r="C19" s="53"/>
      <c r="D19" s="53"/>
      <c r="E19" s="53"/>
      <c r="F19" s="53"/>
      <c r="G19" s="53"/>
      <c r="H19" s="53"/>
      <c r="I19" s="53"/>
      <c r="J19" s="53"/>
      <c r="K19" s="53"/>
      <c r="L19" s="53"/>
      <c r="M19" s="53"/>
      <c r="N19" s="53"/>
      <c r="O19" s="53"/>
      <c r="P19" s="53"/>
      <c r="Q19" s="53"/>
      <c r="R19" s="100">
        <f t="shared" ref="R19:AE19" si="8">R18/R9/R11</f>
        <v>-9.220444784159568</v>
      </c>
      <c r="S19" s="100">
        <f t="shared" si="8"/>
        <v>-12.358124779696864</v>
      </c>
      <c r="T19" s="100">
        <f t="shared" si="8"/>
        <v>-14.431775125509141</v>
      </c>
      <c r="U19" s="100">
        <f t="shared" si="8"/>
        <v>-15.000145167377987</v>
      </c>
      <c r="V19" s="100">
        <f t="shared" si="8"/>
        <v>-13.168152799309908</v>
      </c>
      <c r="W19" s="100">
        <f t="shared" si="8"/>
        <v>-13.608348941226856</v>
      </c>
      <c r="X19" s="100">
        <f t="shared" si="8"/>
        <v>-17.457229099011808</v>
      </c>
      <c r="Y19" s="100">
        <f t="shared" si="8"/>
        <v>-11.622326637123196</v>
      </c>
      <c r="Z19" s="100">
        <f t="shared" si="8"/>
        <v>-10.818163606340329</v>
      </c>
      <c r="AA19" s="100">
        <f t="shared" si="8"/>
        <v>-13.565724888476211</v>
      </c>
      <c r="AB19" s="100">
        <f t="shared" si="8"/>
        <v>-12.525415182420014</v>
      </c>
      <c r="AC19" s="100">
        <f t="shared" si="8"/>
        <v>-2.7947991145144711</v>
      </c>
      <c r="AD19" s="100">
        <f t="shared" si="8"/>
        <v>-9.7429544712893321</v>
      </c>
      <c r="AE19" s="100">
        <f t="shared" si="8"/>
        <v>-3.889994822500745</v>
      </c>
      <c r="AF19" s="100">
        <f>AF18/AF9/AF11</f>
        <v>-7.4350869815822174</v>
      </c>
      <c r="AG19" s="100">
        <f>AF19*(1+AG7)</f>
        <v>-7.6358343300849363</v>
      </c>
      <c r="AH19" s="100">
        <f t="shared" ref="AH19:BW19" si="9">AG19*(1+AH7)</f>
        <v>-7.7885510166866352</v>
      </c>
      <c r="AI19" s="100">
        <f t="shared" si="9"/>
        <v>-7.9443220370203678</v>
      </c>
      <c r="AJ19" s="100">
        <f t="shared" si="9"/>
        <v>-8.1032084777607754</v>
      </c>
      <c r="AK19" s="100">
        <f t="shared" si="9"/>
        <v>-8.2652726473159905</v>
      </c>
      <c r="AL19" s="100">
        <f t="shared" si="9"/>
        <v>-8.430578100262311</v>
      </c>
      <c r="AM19" s="100">
        <f t="shared" si="9"/>
        <v>-8.5991896622675572</v>
      </c>
      <c r="AN19" s="100">
        <f t="shared" si="9"/>
        <v>-8.7711734555129084</v>
      </c>
      <c r="AO19" s="100">
        <f t="shared" si="9"/>
        <v>-8.9465969246231669</v>
      </c>
      <c r="AP19" s="100">
        <f t="shared" si="9"/>
        <v>-9.1255288631156297</v>
      </c>
      <c r="AQ19" s="100">
        <f t="shared" si="9"/>
        <v>-9.308039440377943</v>
      </c>
      <c r="AR19" s="100">
        <f t="shared" si="9"/>
        <v>-9.4942002291855019</v>
      </c>
      <c r="AS19" s="100">
        <f t="shared" si="9"/>
        <v>-9.6840842337692123</v>
      </c>
      <c r="AT19" s="100">
        <f t="shared" si="9"/>
        <v>-9.8777659184445969</v>
      </c>
      <c r="AU19" s="100">
        <f t="shared" si="9"/>
        <v>-10.075321236813489</v>
      </c>
      <c r="AV19" s="100">
        <f t="shared" si="9"/>
        <v>-10.276827661549758</v>
      </c>
      <c r="AW19" s="100">
        <f t="shared" si="9"/>
        <v>-10.482364214780754</v>
      </c>
      <c r="AX19" s="100">
        <f t="shared" si="9"/>
        <v>-10.692011499076369</v>
      </c>
      <c r="AY19" s="100">
        <f t="shared" si="9"/>
        <v>-10.905851729057897</v>
      </c>
      <c r="AZ19" s="100">
        <f t="shared" si="9"/>
        <v>-11.123968763639056</v>
      </c>
      <c r="BA19" s="100">
        <f t="shared" si="9"/>
        <v>-11.346448138911837</v>
      </c>
      <c r="BB19" s="100">
        <f t="shared" si="9"/>
        <v>-11.573377101690074</v>
      </c>
      <c r="BC19" s="100">
        <f t="shared" si="9"/>
        <v>-11.804844643723875</v>
      </c>
      <c r="BD19" s="100">
        <f t="shared" si="9"/>
        <v>-12.040941536598353</v>
      </c>
      <c r="BE19" s="100">
        <f t="shared" si="9"/>
        <v>-12.281760367330321</v>
      </c>
      <c r="BF19" s="100">
        <f t="shared" si="9"/>
        <v>-12.527395574676929</v>
      </c>
      <c r="BG19" s="100">
        <f t="shared" si="9"/>
        <v>-12.777943486170468</v>
      </c>
      <c r="BH19" s="100">
        <f t="shared" si="9"/>
        <v>-13.033502355893878</v>
      </c>
      <c r="BI19" s="100">
        <f t="shared" si="9"/>
        <v>-13.294172403011757</v>
      </c>
      <c r="BJ19" s="100">
        <f t="shared" si="9"/>
        <v>-13.560055851071992</v>
      </c>
      <c r="BK19" s="100">
        <f t="shared" si="9"/>
        <v>-13.831256968093431</v>
      </c>
      <c r="BL19" s="100">
        <f t="shared" si="9"/>
        <v>-14.1078821074553</v>
      </c>
      <c r="BM19" s="100">
        <f t="shared" si="9"/>
        <v>-14.390039749604407</v>
      </c>
      <c r="BN19" s="100">
        <f t="shared" si="9"/>
        <v>-14.677840544596496</v>
      </c>
      <c r="BO19" s="100">
        <f t="shared" si="9"/>
        <v>-14.971397355488426</v>
      </c>
      <c r="BP19" s="100">
        <f t="shared" si="9"/>
        <v>-15.270825302598194</v>
      </c>
      <c r="BQ19" s="100">
        <f t="shared" si="9"/>
        <v>-15.576241808650158</v>
      </c>
      <c r="BR19" s="100">
        <f t="shared" si="9"/>
        <v>-15.887766644823161</v>
      </c>
      <c r="BS19" s="100">
        <f t="shared" si="9"/>
        <v>-16.205521977719624</v>
      </c>
      <c r="BT19" s="100">
        <f t="shared" si="9"/>
        <v>-16.529632417274016</v>
      </c>
      <c r="BU19" s="100">
        <f t="shared" si="9"/>
        <v>-16.860225065619495</v>
      </c>
      <c r="BV19" s="100">
        <f t="shared" si="9"/>
        <v>-17.197429566931884</v>
      </c>
      <c r="BW19" s="100">
        <f t="shared" si="9"/>
        <v>-17.541378158270522</v>
      </c>
    </row>
    <row r="20" spans="1:75" x14ac:dyDescent="0.3">
      <c r="A20" s="42" t="s">
        <v>288</v>
      </c>
      <c r="B20" s="42"/>
      <c r="C20" s="51">
        <f>-'Fluxo de Caixa Planilhado'!C7-C37</f>
        <v>-26164</v>
      </c>
      <c r="D20" s="51">
        <f>-('Fluxo de Caixa Planilhado'!D7-'Fluxo de Caixa Planilhado'!C7)-D37</f>
        <v>-45001</v>
      </c>
      <c r="E20" s="51">
        <f>-('Fluxo de Caixa Planilhado'!E7-'Fluxo de Caixa Planilhado'!D7)-E37</f>
        <v>5971</v>
      </c>
      <c r="F20" s="51">
        <f>-('Fluxo de Caixa Planilhado'!F7-'Fluxo de Caixa Planilhado'!E7)-F37</f>
        <v>-4938</v>
      </c>
      <c r="G20" s="51">
        <f>SUM(C20:F20)</f>
        <v>-70132</v>
      </c>
      <c r="H20" s="51">
        <f>-'Fluxo de Caixa Planilhado'!H7-H37</f>
        <v>-31240</v>
      </c>
      <c r="I20" s="51">
        <f>-('Fluxo de Caixa Planilhado'!I7-'Fluxo de Caixa Planilhado'!H7)-I37</f>
        <v>-88477</v>
      </c>
      <c r="J20" s="51">
        <f>-('Fluxo de Caixa Planilhado'!J7-'Fluxo de Caixa Planilhado'!I7)-J37</f>
        <v>-117076</v>
      </c>
      <c r="K20" s="51">
        <f>-('Fluxo de Caixa Planilhado'!K7-'Fluxo de Caixa Planilhado'!J7)-K37</f>
        <v>-146085</v>
      </c>
      <c r="L20" s="51">
        <f>SUM(H20:K20)</f>
        <v>-382878</v>
      </c>
      <c r="M20" s="51">
        <f>-'Fluxo de Caixa Planilhado'!M7-M37</f>
        <v>-90084</v>
      </c>
      <c r="N20" s="51">
        <f>-('Fluxo de Caixa Planilhado'!N7-'Fluxo de Caixa Planilhado'!M7)-N37</f>
        <v>-172968</v>
      </c>
      <c r="O20" s="51">
        <f>-('Fluxo de Caixa Planilhado'!O7-'Fluxo de Caixa Planilhado'!N7)-O37</f>
        <v>-149689</v>
      </c>
      <c r="P20" s="51">
        <f>-('Fluxo de Caixa Planilhado'!P7-'Fluxo de Caixa Planilhado'!O7)-P37</f>
        <v>-237543</v>
      </c>
      <c r="Q20" s="51">
        <f>SUM(M20:P20)</f>
        <v>-650284</v>
      </c>
      <c r="R20" s="51">
        <f>-'Fluxo de Caixa Planilhado'!R7-R37</f>
        <v>-101958</v>
      </c>
      <c r="S20" s="51">
        <f>-('Fluxo de Caixa Planilhado'!S7-'Fluxo de Caixa Planilhado'!R7)-S37</f>
        <v>-211062</v>
      </c>
      <c r="T20" s="51">
        <f>-('Fluxo de Caixa Planilhado'!T7-'Fluxo de Caixa Planilhado'!S7)-T37</f>
        <v>-179665</v>
      </c>
      <c r="U20" s="51">
        <f>-('Fluxo de Caixa Planilhado'!U7-'Fluxo de Caixa Planilhado'!T7)-U37</f>
        <v>-277613</v>
      </c>
      <c r="V20" s="51">
        <f>SUM(R20:U20)</f>
        <v>-770298</v>
      </c>
      <c r="W20" s="51">
        <f>-'Fluxo de Caixa Planilhado'!W7-W37</f>
        <v>-161605</v>
      </c>
      <c r="X20" s="51">
        <f>-('Fluxo de Caixa Planilhado'!X7-'Fluxo de Caixa Planilhado'!W7)-X37</f>
        <v>-187321</v>
      </c>
      <c r="Y20" s="51">
        <f>-('Fluxo de Caixa Planilhado'!Y7-'Fluxo de Caixa Planilhado'!X7)-Y37</f>
        <v>-225964</v>
      </c>
      <c r="Z20" s="51">
        <f>-('Fluxo de Caixa Planilhado'!Z7-'Fluxo de Caixa Planilhado'!Y7)-Z37</f>
        <v>-166839</v>
      </c>
      <c r="AA20" s="51">
        <f>SUM(W20:Z20)</f>
        <v>-741729</v>
      </c>
      <c r="AB20" s="51">
        <f>-'Fluxo de Caixa Planilhado'!AB7-AB37</f>
        <v>-281605</v>
      </c>
      <c r="AC20" s="51">
        <f>-('Fluxo de Caixa Planilhado'!AC7-'Fluxo de Caixa Planilhado'!AB7)-AC37</f>
        <v>-521715</v>
      </c>
      <c r="AD20" s="51">
        <f>-('Fluxo de Caixa Planilhado'!AD7-'Fluxo de Caixa Planilhado'!AC7)-AD37</f>
        <v>-830135</v>
      </c>
      <c r="AE20" s="51">
        <f>-('Fluxo de Caixa Planilhado'!AE7-'Fluxo de Caixa Planilhado'!AD7)-AE37</f>
        <v>-283940</v>
      </c>
      <c r="AF20" s="51">
        <f>SUM(AB20:AE20)</f>
        <v>-1917395</v>
      </c>
      <c r="AG20" s="51">
        <f ca="1">IF(AG16=0,0,-('CAPEX, D&amp;A, Imob&amp;Intang'!AG23+'CAPEX, D&amp;A, Imob&amp;Intang'!AG62)-AG37)</f>
        <v>-1454588.6591202796</v>
      </c>
      <c r="AH20" s="51">
        <f ca="1">IF(AH16=0,0,-('CAPEX, D&amp;A, Imob&amp;Intang'!AH23+'CAPEX, D&amp;A, Imob&amp;Intang'!AH62)-AH37)</f>
        <v>-1743870.5749592229</v>
      </c>
      <c r="AI20" s="51">
        <f ca="1">IF(AI16=0,0,-('CAPEX, D&amp;A, Imob&amp;Intang'!AI23+'CAPEX, D&amp;A, Imob&amp;Intang'!AI62)-AI37)</f>
        <v>-2066946.3989314819</v>
      </c>
      <c r="AJ20" s="51">
        <f ca="1">IF(AJ16=0,0,-('CAPEX, D&amp;A, Imob&amp;Intang'!AJ23+'CAPEX, D&amp;A, Imob&amp;Intang'!AJ62)-AJ37)</f>
        <v>-2234480.4205217087</v>
      </c>
      <c r="AK20" s="51">
        <f ca="1">IF(AK16=0,0,-('CAPEX, D&amp;A, Imob&amp;Intang'!AK23+'CAPEX, D&amp;A, Imob&amp;Intang'!AK62)-AK37)</f>
        <v>-2491976.4158356702</v>
      </c>
      <c r="AL20" s="51">
        <f ca="1">IF(AL16=0,0,-('CAPEX, D&amp;A, Imob&amp;Intang'!AL23+'CAPEX, D&amp;A, Imob&amp;Intang'!AL62)-AL37)</f>
        <v>-2419422.4394556619</v>
      </c>
      <c r="AM20" s="51">
        <f ca="1">IF(AM16=0,0,-('CAPEX, D&amp;A, Imob&amp;Intang'!AM23+'CAPEX, D&amp;A, Imob&amp;Intang'!AM62)-AM37)</f>
        <v>-2195688.6035963404</v>
      </c>
      <c r="AN20" s="51">
        <f ca="1">IF(AN16=0,0,-('CAPEX, D&amp;A, Imob&amp;Intang'!AN23+'CAPEX, D&amp;A, Imob&amp;Intang'!AN62)-AN37)</f>
        <v>-1886203.1035170413</v>
      </c>
      <c r="AO20" s="51">
        <f ca="1">IF(AO16=0,0,-('CAPEX, D&amp;A, Imob&amp;Intang'!AO23+'CAPEX, D&amp;A, Imob&amp;Intang'!AO62)-AO37)</f>
        <v>-1644257.9714802823</v>
      </c>
      <c r="AP20" s="51">
        <f ca="1">IF(AP16=0,0,-('CAPEX, D&amp;A, Imob&amp;Intang'!AP23+'CAPEX, D&amp;A, Imob&amp;Intang'!AP62)-AP37)</f>
        <v>-1449959.2686089179</v>
      </c>
      <c r="AQ20" s="51">
        <f ca="1">IF(AQ16=0,0,-('CAPEX, D&amp;A, Imob&amp;Intang'!AQ23+'CAPEX, D&amp;A, Imob&amp;Intang'!AQ62)-AQ37)</f>
        <v>-1262606.9413922257</v>
      </c>
      <c r="AR20" s="51">
        <f ca="1">IF(AR16=0,0,-('CAPEX, D&amp;A, Imob&amp;Intang'!AR23+'CAPEX, D&amp;A, Imob&amp;Intang'!AR62)-AR37)</f>
        <v>-1082189.9848170404</v>
      </c>
      <c r="AS20" s="51">
        <f ca="1">IF(AS16=0,0,-('CAPEX, D&amp;A, Imob&amp;Intang'!AS23+'CAPEX, D&amp;A, Imob&amp;Intang'!AS62)-AS37)</f>
        <v>-934038.44719600189</v>
      </c>
      <c r="AT20" s="51">
        <f ca="1">IF(AT16=0,0,-('CAPEX, D&amp;A, Imob&amp;Intang'!AT23+'CAPEX, D&amp;A, Imob&amp;Intang'!AT62)-AT37)</f>
        <v>-833452.70884805429</v>
      </c>
      <c r="AU20" s="51">
        <f ca="1">IF(AU16=0,0,-('CAPEX, D&amp;A, Imob&amp;Intang'!AU23+'CAPEX, D&amp;A, Imob&amp;Intang'!AU62)-AU37)</f>
        <v>-713027.79465752095</v>
      </c>
      <c r="AV20" s="51">
        <f ca="1">IF(AV16=0,0,-('CAPEX, D&amp;A, Imob&amp;Intang'!AV23+'CAPEX, D&amp;A, Imob&amp;Intang'!AV62)-AV37)</f>
        <v>-535655.86130219791</v>
      </c>
      <c r="AW20" s="51">
        <f ca="1">IF(AW16=0,0,-('CAPEX, D&amp;A, Imob&amp;Intang'!AW23+'CAPEX, D&amp;A, Imob&amp;Intang'!AW62)-AW37)</f>
        <v>-463764.40559287829</v>
      </c>
      <c r="AX20" s="51">
        <f ca="1">IF(AX16=0,0,-('CAPEX, D&amp;A, Imob&amp;Intang'!AX23+'CAPEX, D&amp;A, Imob&amp;Intang'!AX62)-AX37)</f>
        <v>-403261.46226653631</v>
      </c>
      <c r="AY20" s="51">
        <f ca="1">IF(AY16=0,0,-('CAPEX, D&amp;A, Imob&amp;Intang'!AY23+'CAPEX, D&amp;A, Imob&amp;Intang'!AY62)-AY37)</f>
        <v>-348277.75378055882</v>
      </c>
      <c r="AZ20" s="51">
        <f ca="1">IF(AZ16=0,0,-('CAPEX, D&amp;A, Imob&amp;Intang'!AZ23+'CAPEX, D&amp;A, Imob&amp;Intang'!AZ62)-AZ37)</f>
        <v>-309822.6608631959</v>
      </c>
      <c r="BA20" s="51">
        <f ca="1">IF(BA16=0,0,-('CAPEX, D&amp;A, Imob&amp;Intang'!BA23+'CAPEX, D&amp;A, Imob&amp;Intang'!BA62)-BA37)</f>
        <v>-266376.7628654546</v>
      </c>
      <c r="BB20" s="51">
        <f ca="1">IF(BB16=0,0,-('CAPEX, D&amp;A, Imob&amp;Intang'!BB23+'CAPEX, D&amp;A, Imob&amp;Intang'!BB62)-BB37)</f>
        <v>-251805.82625056704</v>
      </c>
      <c r="BC20" s="51">
        <f ca="1">IF(BC16=0,0,-('CAPEX, D&amp;A, Imob&amp;Intang'!BC23+'CAPEX, D&amp;A, Imob&amp;Intang'!BC62)-BC37)</f>
        <v>-250138.07615077274</v>
      </c>
      <c r="BD20" s="51">
        <f ca="1">IF(BD16=0,0,-('CAPEX, D&amp;A, Imob&amp;Intang'!BD23+'CAPEX, D&amp;A, Imob&amp;Intang'!BD62)-BD37)</f>
        <v>-261356.63205431489</v>
      </c>
      <c r="BE20" s="51">
        <f ca="1">IF(BE16=0,0,-('CAPEX, D&amp;A, Imob&amp;Intang'!BE23+'CAPEX, D&amp;A, Imob&amp;Intang'!BE62)-BE37)</f>
        <v>-258626.95971540228</v>
      </c>
      <c r="BF20" s="51">
        <f ca="1">IF(BF16=0,0,-('CAPEX, D&amp;A, Imob&amp;Intang'!BF23+'CAPEX, D&amp;A, Imob&amp;Intang'!BF62)-BF37)</f>
        <v>-299157.19802295323</v>
      </c>
      <c r="BG20" s="51">
        <f ca="1">IF(BG16=0,0,-('CAPEX, D&amp;A, Imob&amp;Intang'!BG23+'CAPEX, D&amp;A, Imob&amp;Intang'!BG62)-BG37)</f>
        <v>-404281.2072960019</v>
      </c>
      <c r="BH20" s="51">
        <f ca="1">IF(BH16=0,0,-('CAPEX, D&amp;A, Imob&amp;Intang'!BH23+'CAPEX, D&amp;A, Imob&amp;Intang'!BH62)-BH37)</f>
        <v>-131039.36890126672</v>
      </c>
      <c r="BI20" s="51">
        <f ca="1">IF(BI16=0,0,-('CAPEX, D&amp;A, Imob&amp;Intang'!BI23+'CAPEX, D&amp;A, Imob&amp;Intang'!BI62)-BI37)</f>
        <v>321933.56622643222</v>
      </c>
      <c r="BJ20" s="51">
        <f ca="1">IF(BJ16=0,0,-('CAPEX, D&amp;A, Imob&amp;Intang'!BJ23+'CAPEX, D&amp;A, Imob&amp;Intang'!BJ62)-BJ37)</f>
        <v>0</v>
      </c>
      <c r="BK20" s="51">
        <f ca="1">IF(BK16=0,0,-('CAPEX, D&amp;A, Imob&amp;Intang'!BK23+'CAPEX, D&amp;A, Imob&amp;Intang'!BK62)-BK37)</f>
        <v>0</v>
      </c>
      <c r="BL20" s="51">
        <f ca="1">IF(BL16=0,0,-('CAPEX, D&amp;A, Imob&amp;Intang'!BL23+'CAPEX, D&amp;A, Imob&amp;Intang'!BL62)-BL37)</f>
        <v>0</v>
      </c>
      <c r="BM20" s="51">
        <f ca="1">IF(BM16=0,0,-('CAPEX, D&amp;A, Imob&amp;Intang'!BM23+'CAPEX, D&amp;A, Imob&amp;Intang'!BM62)-BM37)</f>
        <v>0</v>
      </c>
      <c r="BN20" s="51">
        <f ca="1">IF(BN16=0,0,-('CAPEX, D&amp;A, Imob&amp;Intang'!BN23+'CAPEX, D&amp;A, Imob&amp;Intang'!BN62)-BN37)</f>
        <v>0</v>
      </c>
      <c r="BO20" s="51">
        <f ca="1">IF(BO16=0,0,-('CAPEX, D&amp;A, Imob&amp;Intang'!BO23+'CAPEX, D&amp;A, Imob&amp;Intang'!BO62)-BO37)</f>
        <v>0</v>
      </c>
      <c r="BP20" s="51">
        <f ca="1">IF(BP16=0,0,-('CAPEX, D&amp;A, Imob&amp;Intang'!BP23+'CAPEX, D&amp;A, Imob&amp;Intang'!BP62)-BP37)</f>
        <v>0</v>
      </c>
      <c r="BQ20" s="51">
        <f ca="1">IF(BQ16=0,0,-('CAPEX, D&amp;A, Imob&amp;Intang'!BQ23+'CAPEX, D&amp;A, Imob&amp;Intang'!BQ62)-BQ37)</f>
        <v>0</v>
      </c>
      <c r="BR20" s="51">
        <f ca="1">IF(BR16=0,0,-('CAPEX, D&amp;A, Imob&amp;Intang'!BR23+'CAPEX, D&amp;A, Imob&amp;Intang'!BR62)-BR37)</f>
        <v>0</v>
      </c>
      <c r="BS20" s="51">
        <f ca="1">IF(BS16=0,0,-('CAPEX, D&amp;A, Imob&amp;Intang'!BS23+'CAPEX, D&amp;A, Imob&amp;Intang'!BS62)-BS37)</f>
        <v>0</v>
      </c>
      <c r="BT20" s="51">
        <f ca="1">IF(BT16=0,0,-('CAPEX, D&amp;A, Imob&amp;Intang'!BT23+'CAPEX, D&amp;A, Imob&amp;Intang'!BT62)-BT37)</f>
        <v>0</v>
      </c>
      <c r="BU20" s="51">
        <f ca="1">IF(BU16=0,0,-('CAPEX, D&amp;A, Imob&amp;Intang'!BU23+'CAPEX, D&amp;A, Imob&amp;Intang'!BU62)-BU37)</f>
        <v>0</v>
      </c>
      <c r="BV20" s="51">
        <f ca="1">IF(BV16=0,0,-('CAPEX, D&amp;A, Imob&amp;Intang'!BV23+'CAPEX, D&amp;A, Imob&amp;Intang'!BV62)-BV37)</f>
        <v>0</v>
      </c>
      <c r="BW20" s="51">
        <f ca="1">IF(BW16=0,0,-('CAPEX, D&amp;A, Imob&amp;Intang'!BW23+'CAPEX, D&amp;A, Imob&amp;Intang'!BW62)-BW37)</f>
        <v>0</v>
      </c>
    </row>
    <row r="21" spans="1:75" x14ac:dyDescent="0.3">
      <c r="A21" s="47" t="s">
        <v>376</v>
      </c>
      <c r="B21" s="47"/>
      <c r="C21" s="74">
        <f>C20/'Balanço Planilhado'!C31</f>
        <v>-0.45026502374888139</v>
      </c>
      <c r="D21" s="74">
        <f>D20/'Balanço Planilhado'!D31</f>
        <v>-0.74031849439015562</v>
      </c>
      <c r="E21" s="74">
        <f>E20/'Balanço Planilhado'!E31</f>
        <v>9.8959196526235541E-2</v>
      </c>
      <c r="F21" s="74">
        <f>F20/'Balanço Planilhado'!F31</f>
        <v>-1.8265414448837974E-2</v>
      </c>
      <c r="G21" s="74">
        <f>G20/'Balanço Planilhado'!G31</f>
        <v>-0.2594147521518641</v>
      </c>
      <c r="H21" s="74">
        <f>H20/'Balanço Planilhado'!H31</f>
        <v>-1.2099415052927194E-2</v>
      </c>
      <c r="I21" s="74">
        <f>I20/'Balanço Planilhado'!I31</f>
        <v>-3.508193861245594E-2</v>
      </c>
      <c r="J21" s="74">
        <f>J20/'Balanço Planilhado'!J31</f>
        <v>-4.2186022646034639E-2</v>
      </c>
      <c r="K21" s="74">
        <f>K20/'Balanço Planilhado'!K31</f>
        <v>-4.7824748984315407E-2</v>
      </c>
      <c r="L21" s="74">
        <f>L20/'Balanço Planilhado'!L31</f>
        <v>-0.12534513633580938</v>
      </c>
      <c r="M21" s="74">
        <f>M20/'Balanço Planilhado'!M31</f>
        <v>-2.1419614150203607E-2</v>
      </c>
      <c r="N21" s="74">
        <f>N20/'Balanço Planilhado'!N31</f>
        <v>-4.1330535080942789E-2</v>
      </c>
      <c r="O21" s="74">
        <f>O20/'Balanço Planilhado'!O31</f>
        <v>-3.665472749725314E-2</v>
      </c>
      <c r="P21" s="74">
        <f>P20/'Balanço Planilhado'!P31</f>
        <v>-6.3704108157772013E-2</v>
      </c>
      <c r="Q21" s="74">
        <f>Q20/'Balanço Planilhado'!Q31</f>
        <v>-0.17439268793131607</v>
      </c>
      <c r="R21" s="74">
        <f>R20/'Balanço Planilhado'!R31</f>
        <v>-2.6846616604310342E-2</v>
      </c>
      <c r="S21" s="74">
        <f>S20/'Balanço Planilhado'!S31</f>
        <v>-5.6198108570543054E-2</v>
      </c>
      <c r="T21" s="74">
        <f>T20/'Balanço Planilhado'!T31</f>
        <v>-4.5434533077447714E-2</v>
      </c>
      <c r="U21" s="74">
        <f>U20/'Balanço Planilhado'!U31</f>
        <v>-7.8221887859973596E-2</v>
      </c>
      <c r="V21" s="74">
        <f>V20/'Balanço Planilhado'!V31</f>
        <v>-0.21704373993567283</v>
      </c>
      <c r="W21" s="74">
        <f>W20/'Balanço Planilhado'!W31</f>
        <v>-4.6552284865819207E-2</v>
      </c>
      <c r="X21" s="74">
        <f>X20/'Balanço Planilhado'!X31</f>
        <v>-5.2395782402584981E-2</v>
      </c>
      <c r="Y21" s="74">
        <f>Y20/'Balanço Planilhado'!Y31</f>
        <v>-5.5604141741297179E-2</v>
      </c>
      <c r="Z21" s="74">
        <f>Z20/'Balanço Planilhado'!Z31</f>
        <v>-3.5762407919393058E-2</v>
      </c>
      <c r="AA21" s="74">
        <f>AA20/'Balanço Planilhado'!AA31</f>
        <v>-0.15899169297132859</v>
      </c>
      <c r="AB21" s="74">
        <f>AB20/'Balanço Planilhado'!AB31</f>
        <v>-3.9723161563332561E-2</v>
      </c>
      <c r="AC21" s="74">
        <f>AC20/'Balanço Planilhado'!AC31</f>
        <v>-6.8342559160724584E-2</v>
      </c>
      <c r="AD21" s="74">
        <f>AD20/'Balanço Planilhado'!AD31</f>
        <v>-9.6082752918125805E-2</v>
      </c>
      <c r="AE21" s="74">
        <f>AE20/'Balanço Planilhado'!AE31</f>
        <v>-3.012588277409365E-2</v>
      </c>
      <c r="AF21" s="74">
        <f>AF20/'Balanço Planilhado'!AF31</f>
        <v>-0.20343458829905367</v>
      </c>
      <c r="AG21" s="74">
        <f ca="1">AG20/'Balanço Planilhado'!AG31</f>
        <v>-0.13578584748967126</v>
      </c>
      <c r="AH21" s="74">
        <f ca="1">AH20/'Balanço Planilhado'!AH31</f>
        <v>-0.14829514383682174</v>
      </c>
      <c r="AI21" s="74">
        <f ca="1">AI20/'Balanço Planilhado'!AI31</f>
        <v>-0.17008868055674545</v>
      </c>
      <c r="AJ21" s="74">
        <f ca="1">AJ20/'Balanço Planilhado'!AJ31</f>
        <v>-0.18078571640564356</v>
      </c>
      <c r="AK21" s="74">
        <f ca="1">AK20/'Balanço Planilhado'!AK31</f>
        <v>-0.20746391239702075</v>
      </c>
      <c r="AL21" s="74">
        <f ca="1">AL20/'Balanço Planilhado'!AL31</f>
        <v>-0.20698018871284649</v>
      </c>
      <c r="AM21" s="74">
        <f ca="1">AM20/'Balanço Planilhado'!AM31</f>
        <v>-0.21288021089181919</v>
      </c>
      <c r="AN21" s="74">
        <f ca="1">AN20/'Balanço Planilhado'!AN31</f>
        <v>-0.20629052355421024</v>
      </c>
      <c r="AO21" s="74">
        <f ca="1">AO20/'Balanço Planilhado'!AO31</f>
        <v>-0.20220027499157556</v>
      </c>
      <c r="AP21" s="74">
        <f ca="1">AP20/'Balanço Planilhado'!AP31</f>
        <v>-0.20006357690667684</v>
      </c>
      <c r="AQ21" s="74">
        <f ca="1">AQ20/'Balanço Planilhado'!AQ31</f>
        <v>-0.19464410278345293</v>
      </c>
      <c r="AR21" s="74">
        <f ca="1">AR20/'Balanço Planilhado'!AR31</f>
        <v>-0.18511108364121887</v>
      </c>
      <c r="AS21" s="74">
        <f ca="1">AS20/'Balanço Planilhado'!AS31</f>
        <v>-0.17609216302715622</v>
      </c>
      <c r="AT21" s="74">
        <f ca="1">AT20/'Balanço Planilhado'!AT31</f>
        <v>-0.17672703386878211</v>
      </c>
      <c r="AU21" s="74">
        <f ca="1">AU20/'Balanço Planilhado'!AU31</f>
        <v>-0.16935945280780429</v>
      </c>
      <c r="AV21" s="74">
        <f ca="1">AV20/'Balanço Planilhado'!AV31</f>
        <v>-0.13984123322214673</v>
      </c>
      <c r="AW21" s="74">
        <f ca="1">AW20/'Balanço Planilhado'!AW31</f>
        <v>-0.13255161830791348</v>
      </c>
      <c r="AX21" s="74">
        <f ca="1">AX20/'Balanço Planilhado'!AX31</f>
        <v>-0.12575180496124458</v>
      </c>
      <c r="AY21" s="74">
        <f ca="1">AY20/'Balanço Planilhado'!AY31</f>
        <v>-0.11802551263501786</v>
      </c>
      <c r="AZ21" s="74">
        <f ca="1">AZ20/'Balanço Planilhado'!AZ31</f>
        <v>-0.11397772410562422</v>
      </c>
      <c r="BA21" s="74">
        <f ca="1">BA20/'Balanço Planilhado'!BA31</f>
        <v>-0.10598283263857824</v>
      </c>
      <c r="BB21" s="74">
        <f ca="1">BB20/'Balanço Planilhado'!BB31</f>
        <v>-0.10887490663669021</v>
      </c>
      <c r="BC21" s="74">
        <f ca="1">BC20/'Balanço Planilhado'!BC31</f>
        <v>-0.11881241323965741</v>
      </c>
      <c r="BD21" s="74">
        <f ca="1">BD20/'Balanço Planilhado'!BD31</f>
        <v>-0.1390874188242297</v>
      </c>
      <c r="BE21" s="74">
        <f ca="1">BE20/'Balanço Planilhado'!BE31</f>
        <v>-0.15721267781170609</v>
      </c>
      <c r="BF21" s="74">
        <f ca="1">BF20/'Balanço Planilhado'!BF31</f>
        <v>-0.21942820752138623</v>
      </c>
      <c r="BG21" s="74">
        <f ca="1">BG20/'Balanço Planilhado'!BG31</f>
        <v>-0.56891089945832063</v>
      </c>
      <c r="BH21" s="74">
        <f ca="1">BH20/'Balanço Planilhado'!BH31</f>
        <v>-0.43470984007240793</v>
      </c>
      <c r="BI21" s="74">
        <f ca="1">BI20/'Balanço Planilhado'!BI31</f>
        <v>1.0679820138150822</v>
      </c>
      <c r="BJ21" s="74">
        <f ca="1">BJ20/'Balanço Planilhado'!BJ31</f>
        <v>0</v>
      </c>
      <c r="BK21" s="74">
        <f ca="1">BK20/'Balanço Planilhado'!BK31</f>
        <v>0</v>
      </c>
      <c r="BL21" s="74">
        <f ca="1">IFERROR(BL20/'Balanço Planilhado'!BL31,0)</f>
        <v>0</v>
      </c>
      <c r="BM21" s="74">
        <f ca="1">IFERROR(BM20/'Balanço Planilhado'!BM31,0)</f>
        <v>0</v>
      </c>
      <c r="BN21" s="74">
        <f ca="1">IFERROR(BN20/'Balanço Planilhado'!BN31,0)</f>
        <v>0</v>
      </c>
      <c r="BO21" s="74">
        <f ca="1">IFERROR(BO20/'Balanço Planilhado'!BO31,0)</f>
        <v>0</v>
      </c>
      <c r="BP21" s="74">
        <f ca="1">IFERROR(BP20/'Balanço Planilhado'!BP31,0)</f>
        <v>0</v>
      </c>
      <c r="BQ21" s="74">
        <f ca="1">IFERROR(BQ20/'Balanço Planilhado'!BQ31,0)</f>
        <v>0</v>
      </c>
      <c r="BR21" s="74">
        <f ca="1">IFERROR(BR20/'Balanço Planilhado'!BR31,0)</f>
        <v>0</v>
      </c>
      <c r="BS21" s="74">
        <f ca="1">IFERROR(BS20/'Balanço Planilhado'!BS31,0)</f>
        <v>0</v>
      </c>
      <c r="BT21" s="74">
        <f ca="1">IFERROR(BT20/'Balanço Planilhado'!BT31,0)</f>
        <v>0</v>
      </c>
      <c r="BU21" s="74">
        <f ca="1">IFERROR(BU20/'Balanço Planilhado'!BU31,0)</f>
        <v>0</v>
      </c>
      <c r="BV21" s="74">
        <f ca="1">IFERROR(BV20/'Balanço Planilhado'!BV31,0)</f>
        <v>0</v>
      </c>
      <c r="BW21" s="74">
        <f ca="1">IFERROR(BW20/'Balanço Planilhado'!BW31,0)</f>
        <v>0</v>
      </c>
    </row>
    <row r="22" spans="1:75" ht="13.8" customHeight="1" x14ac:dyDescent="0.3">
      <c r="A22" s="42" t="s">
        <v>377</v>
      </c>
      <c r="B22" s="42"/>
      <c r="C22" s="53"/>
      <c r="D22" s="53"/>
      <c r="E22" s="53"/>
      <c r="F22" s="53"/>
      <c r="G22" s="53"/>
      <c r="H22" s="53"/>
      <c r="I22" s="53"/>
      <c r="J22" s="53"/>
      <c r="K22" s="53"/>
      <c r="L22" s="53"/>
      <c r="M22" s="53"/>
      <c r="N22" s="53"/>
      <c r="O22" s="53"/>
      <c r="P22" s="53"/>
      <c r="Q22" s="53"/>
      <c r="R22" s="50">
        <v>-33244</v>
      </c>
      <c r="S22" s="50">
        <v>-82201</v>
      </c>
      <c r="T22" s="50">
        <v>-78575</v>
      </c>
      <c r="U22" s="50">
        <f>-321092-T22-S22-R22</f>
        <v>-127072</v>
      </c>
      <c r="V22" s="51">
        <f>SUM(R22:U22)</f>
        <v>-321092</v>
      </c>
      <c r="W22" s="50">
        <v>-120009</v>
      </c>
      <c r="X22" s="50">
        <v>-157418</v>
      </c>
      <c r="Y22" s="50">
        <v>-144460</v>
      </c>
      <c r="Z22" s="50">
        <f>-498385-Y22-X22-W22</f>
        <v>-76498</v>
      </c>
      <c r="AA22" s="51">
        <f>SUM(W22:Z22)</f>
        <v>-498385</v>
      </c>
      <c r="AB22" s="50">
        <v>-238251</v>
      </c>
      <c r="AC22" s="50">
        <v>-225559</v>
      </c>
      <c r="AD22" s="50">
        <v>-318566</v>
      </c>
      <c r="AE22" s="50">
        <v>-352238</v>
      </c>
      <c r="AF22" s="51">
        <f>SUM(AB22:AE22)</f>
        <v>-1134614</v>
      </c>
      <c r="AG22" s="51">
        <f t="shared" ref="AG22:BL22" ca="1" si="10">AG23*AG16</f>
        <v>-1718458.5343124596</v>
      </c>
      <c r="AH22" s="51">
        <f t="shared" ca="1" si="10"/>
        <v>-1957131.7119903355</v>
      </c>
      <c r="AI22" s="51">
        <f t="shared" ca="1" si="10"/>
        <v>-2083761.0287662295</v>
      </c>
      <c r="AJ22" s="51">
        <f t="shared" ca="1" si="10"/>
        <v>-2313045.5803894126</v>
      </c>
      <c r="AK22" s="51">
        <f t="shared" ca="1" si="10"/>
        <v>-2287575.238296486</v>
      </c>
      <c r="AL22" s="51">
        <f t="shared" ca="1" si="10"/>
        <v>-2419615.374726675</v>
      </c>
      <c r="AM22" s="51">
        <f t="shared" ca="1" si="10"/>
        <v>-2105769.3922011373</v>
      </c>
      <c r="AN22" s="51">
        <f t="shared" ca="1" si="10"/>
        <v>-1601229.7877366652</v>
      </c>
      <c r="AO22" s="51">
        <f t="shared" ca="1" si="10"/>
        <v>-1326705.2763365104</v>
      </c>
      <c r="AP22" s="51">
        <f t="shared" ca="1" si="10"/>
        <v>-1328528.0139624595</v>
      </c>
      <c r="AQ22" s="51">
        <f t="shared" ca="1" si="10"/>
        <v>-1150648.1003857467</v>
      </c>
      <c r="AR22" s="51">
        <f t="shared" ca="1" si="10"/>
        <v>-1008917.5571220231</v>
      </c>
      <c r="AS22" s="51">
        <f t="shared" ca="1" si="10"/>
        <v>-859077.95404918201</v>
      </c>
      <c r="AT22" s="51">
        <f t="shared" ca="1" si="10"/>
        <v>-730321.45967157523</v>
      </c>
      <c r="AU22" s="51">
        <f t="shared" ca="1" si="10"/>
        <v>-643649.10007206653</v>
      </c>
      <c r="AV22" s="51">
        <f t="shared" ca="1" si="10"/>
        <v>-590875.53415728011</v>
      </c>
      <c r="AW22" s="51">
        <f t="shared" ca="1" si="10"/>
        <v>-480736.82631208375</v>
      </c>
      <c r="AX22" s="51">
        <f t="shared" ca="1" si="10"/>
        <v>-433840.79743399646</v>
      </c>
      <c r="AY22" s="51">
        <f t="shared" ca="1" si="10"/>
        <v>-392738.88656793954</v>
      </c>
      <c r="AZ22" s="51">
        <f t="shared" ca="1" si="10"/>
        <v>-353847.59848216397</v>
      </c>
      <c r="BA22" s="51">
        <f t="shared" ca="1" si="10"/>
        <v>-323786.38182463375</v>
      </c>
      <c r="BB22" s="51">
        <f t="shared" ca="1" si="10"/>
        <v>-289805.88645094726</v>
      </c>
      <c r="BC22" s="51">
        <f t="shared" ca="1" si="10"/>
        <v>-270538.35201857373</v>
      </c>
      <c r="BD22" s="51">
        <f t="shared" ca="1" si="10"/>
        <v>-255479.58122891723</v>
      </c>
      <c r="BE22" s="51">
        <f t="shared" ca="1" si="10"/>
        <v>-242838.34733815485</v>
      </c>
      <c r="BF22" s="51">
        <f t="shared" ca="1" si="10"/>
        <v>-219215.5551145247</v>
      </c>
      <c r="BG22" s="51">
        <f t="shared" ca="1" si="10"/>
        <v>-205886.39518518621</v>
      </c>
      <c r="BH22" s="51">
        <f t="shared" ca="1" si="10"/>
        <v>-197453.03974273696</v>
      </c>
      <c r="BI22" s="51">
        <f t="shared" ca="1" si="10"/>
        <v>-127731.35351757334</v>
      </c>
      <c r="BJ22" s="51">
        <f t="shared" ca="1" si="10"/>
        <v>0</v>
      </c>
      <c r="BK22" s="51">
        <f t="shared" ca="1" si="10"/>
        <v>0</v>
      </c>
      <c r="BL22" s="51">
        <f t="shared" ca="1" si="10"/>
        <v>0</v>
      </c>
      <c r="BM22" s="51">
        <f ca="1">BM23*BM16</f>
        <v>0</v>
      </c>
      <c r="BN22" s="51">
        <f ca="1">BN23*BN16</f>
        <v>0</v>
      </c>
      <c r="BO22" s="51">
        <f ca="1">BO23*BO16</f>
        <v>0</v>
      </c>
      <c r="BP22" s="51">
        <f ca="1">BP23*BP16</f>
        <v>0</v>
      </c>
      <c r="BQ22" s="51">
        <f ca="1">BQ23*BQ16</f>
        <v>0</v>
      </c>
      <c r="BR22" s="51">
        <f t="shared" ref="BR22:BW22" ca="1" si="11">BR23*BR16</f>
        <v>0</v>
      </c>
      <c r="BS22" s="51">
        <f t="shared" ca="1" si="11"/>
        <v>0</v>
      </c>
      <c r="BT22" s="51">
        <f t="shared" ca="1" si="11"/>
        <v>0</v>
      </c>
      <c r="BU22" s="51">
        <f t="shared" ca="1" si="11"/>
        <v>0</v>
      </c>
      <c r="BV22" s="51">
        <f t="shared" ca="1" si="11"/>
        <v>0</v>
      </c>
      <c r="BW22" s="51">
        <f t="shared" ca="1" si="11"/>
        <v>0</v>
      </c>
    </row>
    <row r="23" spans="1:75" x14ac:dyDescent="0.3">
      <c r="A23" s="47" t="s">
        <v>378</v>
      </c>
      <c r="B23" s="47"/>
      <c r="C23" s="53"/>
      <c r="D23" s="53"/>
      <c r="E23" s="53"/>
      <c r="F23" s="53"/>
      <c r="G23" s="53"/>
      <c r="H23" s="53"/>
      <c r="I23" s="53"/>
      <c r="J23" s="53"/>
      <c r="K23" s="53"/>
      <c r="L23" s="53"/>
      <c r="M23" s="53"/>
      <c r="N23" s="53"/>
      <c r="O23" s="53"/>
      <c r="P23" s="53"/>
      <c r="Q23" s="53"/>
      <c r="R23" s="74">
        <f t="shared" ref="R23:AD23" si="12">R22/R16</f>
        <v>-5.0728330896916689E-2</v>
      </c>
      <c r="S23" s="74">
        <f t="shared" si="12"/>
        <v>-8.0365688765658652E-2</v>
      </c>
      <c r="T23" s="74">
        <f t="shared" si="12"/>
        <v>-8.3633398863458566E-2</v>
      </c>
      <c r="U23" s="74">
        <f t="shared" si="12"/>
        <v>-7.1456406767080066E-2</v>
      </c>
      <c r="V23" s="74">
        <f t="shared" si="12"/>
        <v>-7.3041806386392363E-2</v>
      </c>
      <c r="W23" s="74">
        <f t="shared" si="12"/>
        <v>-7.8437511233696841E-2</v>
      </c>
      <c r="X23" s="74">
        <f t="shared" si="12"/>
        <v>-8.4001739608374662E-2</v>
      </c>
      <c r="Y23" s="74">
        <f t="shared" si="12"/>
        <v>-7.2747013021544113E-2</v>
      </c>
      <c r="Z23" s="74">
        <f t="shared" si="12"/>
        <v>-7.8563513328930926E-2</v>
      </c>
      <c r="AA23" s="74">
        <f t="shared" si="12"/>
        <v>-7.831962881915934E-2</v>
      </c>
      <c r="AB23" s="74">
        <f t="shared" si="12"/>
        <v>-8.4637587456993096E-2</v>
      </c>
      <c r="AC23" s="74">
        <f t="shared" si="12"/>
        <v>-9.7593637261239374E-2</v>
      </c>
      <c r="AD23" s="74">
        <f t="shared" si="12"/>
        <v>-8.4194707694779852E-2</v>
      </c>
      <c r="AE23" s="74">
        <f>'CAPEX, Impostos e Abandono ($)'!AE71</f>
        <v>-8.880864413767077E-2</v>
      </c>
      <c r="AF23" s="74">
        <f>AF22/AF16</f>
        <v>-9.5305341661570092E-2</v>
      </c>
      <c r="AG23" s="74">
        <f ca="1">'CAPEX, Impostos e Abandono ($)'!AG71</f>
        <v>-0.1048455144644876</v>
      </c>
      <c r="AH23" s="74">
        <f ca="1">'CAPEX, Impostos e Abandono ($)'!AH71</f>
        <v>-9.6299652398529265E-2</v>
      </c>
      <c r="AI23" s="74">
        <f ca="1">'CAPEX, Impostos e Abandono ($)'!AI71</f>
        <v>-0.1005583723519704</v>
      </c>
      <c r="AJ23" s="74">
        <f ca="1">'CAPEX, Impostos e Abandono ($)'!AJ71</f>
        <v>-0.10847493160591691</v>
      </c>
      <c r="AK23" s="74">
        <f ca="1">'CAPEX, Impostos e Abandono ($)'!AK71</f>
        <v>-0.11129995854709392</v>
      </c>
      <c r="AL23" s="74">
        <f ca="1">'CAPEX, Impostos e Abandono ($)'!AL71</f>
        <v>-0.11643293981757732</v>
      </c>
      <c r="AM23" s="74">
        <f ca="1">'CAPEX, Impostos e Abandono ($)'!AM71</f>
        <v>-0.11105386530572317</v>
      </c>
      <c r="AN23" s="74">
        <f ca="1">'CAPEX, Impostos e Abandono ($)'!AN71</f>
        <v>-9.8691074842137516E-2</v>
      </c>
      <c r="AO23" s="74">
        <f ca="1">'CAPEX, Impostos e Abandono ($)'!AO71</f>
        <v>-9.1801269212573006E-2</v>
      </c>
      <c r="AP23" s="74">
        <f ca="1">'CAPEX, Impostos e Abandono ($)'!AP71</f>
        <v>-0.10213616313062882</v>
      </c>
      <c r="AQ23" s="74">
        <f ca="1">'CAPEX, Impostos e Abandono ($)'!AQ71</f>
        <v>-9.7527399615283908E-2</v>
      </c>
      <c r="AR23" s="74">
        <f ca="1">'CAPEX, Impostos e Abandono ($)'!AR71</f>
        <v>-9.544843736507555E-2</v>
      </c>
      <c r="AS23" s="74">
        <f ca="1">'CAPEX, Impostos e Abandono ($)'!AS71</f>
        <v>-9.2060515241005308E-2</v>
      </c>
      <c r="AT23" s="74">
        <f ca="1">'CAPEX, Impostos e Abandono ($)'!AT71</f>
        <v>-8.8254751539578014E-2</v>
      </c>
      <c r="AU23" s="74">
        <f ca="1">'CAPEX, Impostos e Abandono ($)'!AU71</f>
        <v>-8.5642200906578619E-2</v>
      </c>
      <c r="AV23" s="74">
        <f ca="1">'CAPEX, Impostos e Abandono ($)'!AV71</f>
        <v>-8.6126478523207803E-2</v>
      </c>
      <c r="AW23" s="74">
        <f ca="1">'CAPEX, Impostos e Abandono ($)'!AW71</f>
        <v>-8.6328376138738699E-2</v>
      </c>
      <c r="AX23" s="74">
        <f ca="1">'CAPEX, Impostos e Abandono ($)'!AX71</f>
        <v>-8.6325262476328851E-2</v>
      </c>
      <c r="AY23" s="74">
        <f ca="1">'CAPEX, Impostos e Abandono ($)'!AY71</f>
        <v>-8.6331495528463559E-2</v>
      </c>
      <c r="AZ23" s="74">
        <f ca="1">'CAPEX, Impostos e Abandono ($)'!AZ71</f>
        <v>-8.6335553029435269E-2</v>
      </c>
      <c r="BA23" s="74">
        <f ca="1">'CAPEX, Impostos e Abandono ($)'!BA71</f>
        <v>-8.6347199803266272E-2</v>
      </c>
      <c r="BB23" s="74">
        <f ca="1">'CAPEX, Impostos e Abandono ($)'!BB71</f>
        <v>-8.6359618052122555E-2</v>
      </c>
      <c r="BC23" s="74">
        <f ca="1">'CAPEX, Impostos e Abandono ($)'!BC71</f>
        <v>-8.6370866040618027E-2</v>
      </c>
      <c r="BD23" s="74">
        <f ca="1">'CAPEX, Impostos e Abandono ($)'!BD71</f>
        <v>-8.6375456137106524E-2</v>
      </c>
      <c r="BE23" s="74">
        <f ca="1">'CAPEX, Impostos e Abandono ($)'!BE71</f>
        <v>-8.6399952723578685E-2</v>
      </c>
      <c r="BF23" s="74">
        <f ca="1">'CAPEX, Impostos e Abandono ($)'!BF71</f>
        <v>-8.6411369064822108E-2</v>
      </c>
      <c r="BG23" s="74">
        <f ca="1">'CAPEX, Impostos e Abandono ($)'!BG71</f>
        <v>-8.6416242864443313E-2</v>
      </c>
      <c r="BH23" s="74">
        <f ca="1">'CAPEX, Impostos e Abandono ($)'!BH71</f>
        <v>-8.6411281369354789E-2</v>
      </c>
      <c r="BI23" s="74">
        <f ca="1">'CAPEX, Impostos e Abandono ($)'!BI71</f>
        <v>-8.6506084238310313E-2</v>
      </c>
      <c r="BJ23" s="74">
        <f ca="1">'CAPEX, Impostos e Abandono ($)'!BJ71</f>
        <v>0</v>
      </c>
      <c r="BK23" s="74">
        <f ca="1">'CAPEX, Impostos e Abandono ($)'!BK71</f>
        <v>0</v>
      </c>
      <c r="BL23" s="74">
        <f ca="1">'CAPEX, Impostos e Abandono ($)'!BL71</f>
        <v>0</v>
      </c>
      <c r="BM23" s="74">
        <f ca="1">'CAPEX, Impostos e Abandono ($)'!BM71</f>
        <v>0</v>
      </c>
      <c r="BN23" s="74">
        <f ca="1">'CAPEX, Impostos e Abandono ($)'!BN71</f>
        <v>0</v>
      </c>
      <c r="BO23" s="74">
        <f ca="1">'CAPEX, Impostos e Abandono ($)'!BO71</f>
        <v>0</v>
      </c>
      <c r="BP23" s="74">
        <f ca="1">'CAPEX, Impostos e Abandono ($)'!BP71</f>
        <v>0</v>
      </c>
      <c r="BQ23" s="74">
        <f ca="1">'CAPEX, Impostos e Abandono ($)'!BQ71</f>
        <v>0</v>
      </c>
      <c r="BR23" s="74">
        <f ca="1">'CAPEX, Impostos e Abandono ($)'!BR71</f>
        <v>0</v>
      </c>
      <c r="BS23" s="74">
        <f ca="1">'CAPEX, Impostos e Abandono ($)'!BS71</f>
        <v>0</v>
      </c>
      <c r="BT23" s="74">
        <f ca="1">'CAPEX, Impostos e Abandono ($)'!BT71</f>
        <v>0</v>
      </c>
      <c r="BU23" s="74">
        <f ca="1">'CAPEX, Impostos e Abandono ($)'!BU71</f>
        <v>0</v>
      </c>
      <c r="BV23" s="74">
        <f ca="1">'CAPEX, Impostos e Abandono ($)'!BV71</f>
        <v>0</v>
      </c>
      <c r="BW23" s="74">
        <f ca="1">'CAPEX, Impostos e Abandono ($)'!BW71</f>
        <v>0</v>
      </c>
    </row>
    <row r="24" spans="1:75" x14ac:dyDescent="0.3">
      <c r="A24" s="42" t="s">
        <v>1190</v>
      </c>
      <c r="B24" s="47"/>
      <c r="C24" s="53"/>
      <c r="D24" s="53"/>
      <c r="E24" s="53"/>
      <c r="F24" s="53"/>
      <c r="G24" s="53"/>
      <c r="H24" s="53"/>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1">
        <f ca="1">AG16*-AG25</f>
        <v>0</v>
      </c>
      <c r="AH24" s="51">
        <f t="shared" ref="AH24:BL24" ca="1" si="13">AH16*-AH25</f>
        <v>0</v>
      </c>
      <c r="AI24" s="51">
        <f t="shared" ca="1" si="13"/>
        <v>0</v>
      </c>
      <c r="AJ24" s="51">
        <f t="shared" ca="1" si="13"/>
        <v>0</v>
      </c>
      <c r="AK24" s="51">
        <f t="shared" ca="1" si="13"/>
        <v>0</v>
      </c>
      <c r="AL24" s="51">
        <f t="shared" ca="1" si="13"/>
        <v>0</v>
      </c>
      <c r="AM24" s="51">
        <f t="shared" ca="1" si="13"/>
        <v>0</v>
      </c>
      <c r="AN24" s="51">
        <f t="shared" ca="1" si="13"/>
        <v>0</v>
      </c>
      <c r="AO24" s="51">
        <f t="shared" ca="1" si="13"/>
        <v>0</v>
      </c>
      <c r="AP24" s="51">
        <f t="shared" ca="1" si="13"/>
        <v>0</v>
      </c>
      <c r="AQ24" s="51">
        <f t="shared" ca="1" si="13"/>
        <v>0</v>
      </c>
      <c r="AR24" s="51">
        <f t="shared" ca="1" si="13"/>
        <v>0</v>
      </c>
      <c r="AS24" s="51">
        <f t="shared" ca="1" si="13"/>
        <v>0</v>
      </c>
      <c r="AT24" s="51">
        <f t="shared" ca="1" si="13"/>
        <v>0</v>
      </c>
      <c r="AU24" s="51">
        <f t="shared" ca="1" si="13"/>
        <v>0</v>
      </c>
      <c r="AV24" s="51">
        <f t="shared" ca="1" si="13"/>
        <v>0</v>
      </c>
      <c r="AW24" s="51">
        <f t="shared" ca="1" si="13"/>
        <v>0</v>
      </c>
      <c r="AX24" s="51">
        <f t="shared" ca="1" si="13"/>
        <v>0</v>
      </c>
      <c r="AY24" s="51">
        <f t="shared" ca="1" si="13"/>
        <v>0</v>
      </c>
      <c r="AZ24" s="51">
        <f t="shared" ca="1" si="13"/>
        <v>0</v>
      </c>
      <c r="BA24" s="51">
        <f t="shared" ca="1" si="13"/>
        <v>0</v>
      </c>
      <c r="BB24" s="51">
        <f t="shared" ca="1" si="13"/>
        <v>0</v>
      </c>
      <c r="BC24" s="51">
        <f t="shared" ca="1" si="13"/>
        <v>0</v>
      </c>
      <c r="BD24" s="51">
        <f t="shared" ca="1" si="13"/>
        <v>0</v>
      </c>
      <c r="BE24" s="51">
        <f t="shared" ca="1" si="13"/>
        <v>0</v>
      </c>
      <c r="BF24" s="51">
        <f t="shared" ca="1" si="13"/>
        <v>0</v>
      </c>
      <c r="BG24" s="51">
        <f t="shared" ca="1" si="13"/>
        <v>0</v>
      </c>
      <c r="BH24" s="51">
        <f t="shared" ca="1" si="13"/>
        <v>0</v>
      </c>
      <c r="BI24" s="51">
        <f t="shared" ca="1" si="13"/>
        <v>0</v>
      </c>
      <c r="BJ24" s="51">
        <f t="shared" ca="1" si="13"/>
        <v>0</v>
      </c>
      <c r="BK24" s="51">
        <f t="shared" ca="1" si="13"/>
        <v>0</v>
      </c>
      <c r="BL24" s="51">
        <f t="shared" ca="1" si="13"/>
        <v>0</v>
      </c>
      <c r="BM24" s="51">
        <f ca="1">BM16*-BM25</f>
        <v>0</v>
      </c>
      <c r="BN24" s="51">
        <f ca="1">BN16*-BN25</f>
        <v>0</v>
      </c>
      <c r="BO24" s="51">
        <f ca="1">BO16*-BO25</f>
        <v>0</v>
      </c>
      <c r="BP24" s="51">
        <f ca="1">BP16*-BP25</f>
        <v>0</v>
      </c>
      <c r="BQ24" s="51">
        <f ca="1">BQ16*-BQ25</f>
        <v>0</v>
      </c>
      <c r="BR24" s="51">
        <f t="shared" ref="BR24:BW24" ca="1" si="14">BR16*-BR25</f>
        <v>0</v>
      </c>
      <c r="BS24" s="51">
        <f t="shared" ca="1" si="14"/>
        <v>0</v>
      </c>
      <c r="BT24" s="51">
        <f t="shared" ca="1" si="14"/>
        <v>0</v>
      </c>
      <c r="BU24" s="51">
        <f t="shared" ca="1" si="14"/>
        <v>0</v>
      </c>
      <c r="BV24" s="51">
        <f t="shared" ca="1" si="14"/>
        <v>0</v>
      </c>
      <c r="BW24" s="51">
        <f t="shared" ca="1" si="14"/>
        <v>0</v>
      </c>
    </row>
    <row r="25" spans="1:75" x14ac:dyDescent="0.3">
      <c r="A25" s="47" t="s">
        <v>378</v>
      </c>
      <c r="B25" s="47"/>
      <c r="C25" s="53"/>
      <c r="D25" s="53"/>
      <c r="E25" s="53"/>
      <c r="F25" s="53"/>
      <c r="G25" s="53"/>
      <c r="H25" s="53"/>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74">
        <f>'Avaliação e Simulações'!$B$35</f>
        <v>0</v>
      </c>
      <c r="AH25" s="74">
        <f>'Avaliação e Simulações'!$B$35</f>
        <v>0</v>
      </c>
      <c r="AI25" s="74">
        <f>'Avaliação e Simulações'!$B$35</f>
        <v>0</v>
      </c>
      <c r="AJ25" s="74">
        <f>'Avaliação e Simulações'!$B$35</f>
        <v>0</v>
      </c>
      <c r="AK25" s="74">
        <f>'Avaliação e Simulações'!$B$35</f>
        <v>0</v>
      </c>
      <c r="AL25" s="74">
        <f>'Avaliação e Simulações'!$B$35</f>
        <v>0</v>
      </c>
      <c r="AM25" s="74">
        <f>'Avaliação e Simulações'!$B$35</f>
        <v>0</v>
      </c>
      <c r="AN25" s="74">
        <f>'Avaliação e Simulações'!$B$35</f>
        <v>0</v>
      </c>
      <c r="AO25" s="74">
        <f>'Avaliação e Simulações'!$B$35</f>
        <v>0</v>
      </c>
      <c r="AP25" s="74">
        <f>'Avaliação e Simulações'!$B$35</f>
        <v>0</v>
      </c>
      <c r="AQ25" s="74">
        <f>'Avaliação e Simulações'!$B$35</f>
        <v>0</v>
      </c>
      <c r="AR25" s="74">
        <f>'Avaliação e Simulações'!$B$35</f>
        <v>0</v>
      </c>
      <c r="AS25" s="74">
        <f>'Avaliação e Simulações'!$B$35</f>
        <v>0</v>
      </c>
      <c r="AT25" s="74">
        <f>'Avaliação e Simulações'!$B$35</f>
        <v>0</v>
      </c>
      <c r="AU25" s="74">
        <f>'Avaliação e Simulações'!$B$35</f>
        <v>0</v>
      </c>
      <c r="AV25" s="74">
        <f>'Avaliação e Simulações'!$B$35</f>
        <v>0</v>
      </c>
      <c r="AW25" s="74">
        <f>'Avaliação e Simulações'!$B$35</f>
        <v>0</v>
      </c>
      <c r="AX25" s="74">
        <f>'Avaliação e Simulações'!$B$35</f>
        <v>0</v>
      </c>
      <c r="AY25" s="74">
        <f>'Avaliação e Simulações'!$B$35</f>
        <v>0</v>
      </c>
      <c r="AZ25" s="74">
        <f>'Avaliação e Simulações'!$B$35</f>
        <v>0</v>
      </c>
      <c r="BA25" s="74">
        <f>'Avaliação e Simulações'!$B$35</f>
        <v>0</v>
      </c>
      <c r="BB25" s="74">
        <f>'Avaliação e Simulações'!$B$35</f>
        <v>0</v>
      </c>
      <c r="BC25" s="74">
        <f>'Avaliação e Simulações'!$B$35</f>
        <v>0</v>
      </c>
      <c r="BD25" s="74">
        <f>'Avaliação e Simulações'!$B$35</f>
        <v>0</v>
      </c>
      <c r="BE25" s="74">
        <f>'Avaliação e Simulações'!$B$35</f>
        <v>0</v>
      </c>
      <c r="BF25" s="74">
        <f>'Avaliação e Simulações'!$B$35</f>
        <v>0</v>
      </c>
      <c r="BG25" s="74">
        <f>'Avaliação e Simulações'!$B$35</f>
        <v>0</v>
      </c>
      <c r="BH25" s="74">
        <f>'Avaliação e Simulações'!$B$35</f>
        <v>0</v>
      </c>
      <c r="BI25" s="74">
        <f>'Avaliação e Simulações'!$B$35</f>
        <v>0</v>
      </c>
      <c r="BJ25" s="74">
        <f>'Avaliação e Simulações'!$B$35</f>
        <v>0</v>
      </c>
      <c r="BK25" s="74">
        <f>'Avaliação e Simulações'!$B$35</f>
        <v>0</v>
      </c>
      <c r="BL25" s="74">
        <f>'Avaliação e Simulações'!$B$35</f>
        <v>0</v>
      </c>
      <c r="BM25" s="74">
        <f>'Avaliação e Simulações'!$B$35</f>
        <v>0</v>
      </c>
      <c r="BN25" s="74">
        <f>'Avaliação e Simulações'!$B$35</f>
        <v>0</v>
      </c>
      <c r="BO25" s="74">
        <f>'Avaliação e Simulações'!$B$35</f>
        <v>0</v>
      </c>
      <c r="BP25" s="74">
        <f>'Avaliação e Simulações'!$B$35</f>
        <v>0</v>
      </c>
      <c r="BQ25" s="74">
        <f>'Avaliação e Simulações'!$B$35</f>
        <v>0</v>
      </c>
      <c r="BR25" s="74">
        <f>'Avaliação e Simulações'!$B$35</f>
        <v>0</v>
      </c>
      <c r="BS25" s="74">
        <f>'Avaliação e Simulações'!$B$35</f>
        <v>0</v>
      </c>
      <c r="BT25" s="74">
        <f>'Avaliação e Simulações'!$B$35</f>
        <v>0</v>
      </c>
      <c r="BU25" s="74">
        <f>'Avaliação e Simulações'!$B$35</f>
        <v>0</v>
      </c>
      <c r="BV25" s="74">
        <f>'Avaliação e Simulações'!$B$35</f>
        <v>0</v>
      </c>
      <c r="BW25" s="74">
        <f>'Avaliação e Simulações'!$B$35</f>
        <v>0</v>
      </c>
    </row>
    <row r="26" spans="1:75" x14ac:dyDescent="0.3">
      <c r="A26" s="38" t="s">
        <v>179</v>
      </c>
      <c r="B26" s="38"/>
      <c r="C26" s="48">
        <f>C17+C16</f>
        <v>23463</v>
      </c>
      <c r="D26" s="48">
        <f t="shared" ref="D26:BO26" si="15">D17+D16</f>
        <v>91938</v>
      </c>
      <c r="E26" s="48">
        <f t="shared" si="15"/>
        <v>107640</v>
      </c>
      <c r="F26" s="48">
        <f t="shared" si="15"/>
        <v>97070</v>
      </c>
      <c r="G26" s="48">
        <f t="shared" si="15"/>
        <v>320111</v>
      </c>
      <c r="H26" s="48">
        <f t="shared" si="15"/>
        <v>42902</v>
      </c>
      <c r="I26" s="48">
        <f t="shared" si="15"/>
        <v>279424</v>
      </c>
      <c r="J26" s="48">
        <f t="shared" si="15"/>
        <v>166670</v>
      </c>
      <c r="K26" s="48">
        <f t="shared" si="15"/>
        <v>214971</v>
      </c>
      <c r="L26" s="48">
        <f t="shared" si="15"/>
        <v>703967</v>
      </c>
      <c r="M26" s="48">
        <f t="shared" si="15"/>
        <v>16336</v>
      </c>
      <c r="N26" s="48">
        <f t="shared" si="15"/>
        <v>86557</v>
      </c>
      <c r="O26" s="48">
        <f t="shared" si="15"/>
        <v>169385</v>
      </c>
      <c r="P26" s="48">
        <f t="shared" si="15"/>
        <v>344981</v>
      </c>
      <c r="Q26" s="48">
        <f t="shared" si="15"/>
        <v>617259</v>
      </c>
      <c r="R26" s="48">
        <f t="shared" si="15"/>
        <v>418803</v>
      </c>
      <c r="S26" s="48">
        <f t="shared" si="15"/>
        <v>554274</v>
      </c>
      <c r="T26" s="48">
        <f t="shared" si="15"/>
        <v>486261</v>
      </c>
      <c r="U26" s="48">
        <f t="shared" si="15"/>
        <v>1053307</v>
      </c>
      <c r="V26" s="48">
        <f t="shared" si="15"/>
        <v>2512645</v>
      </c>
      <c r="W26" s="48">
        <f t="shared" si="15"/>
        <v>1067900</v>
      </c>
      <c r="X26" s="48">
        <f t="shared" si="15"/>
        <v>1216649</v>
      </c>
      <c r="Y26" s="48">
        <f t="shared" si="15"/>
        <v>1373475</v>
      </c>
      <c r="Z26" s="48">
        <f t="shared" si="15"/>
        <v>599148</v>
      </c>
      <c r="AA26" s="48">
        <f t="shared" si="15"/>
        <v>4257172</v>
      </c>
      <c r="AB26" s="48">
        <f>AB17+AB16</f>
        <v>1833069</v>
      </c>
      <c r="AC26" s="48">
        <f t="shared" si="15"/>
        <v>1468134</v>
      </c>
      <c r="AD26" s="48">
        <f t="shared" si="15"/>
        <v>2156084</v>
      </c>
      <c r="AE26" s="48">
        <f t="shared" si="15"/>
        <v>2201617</v>
      </c>
      <c r="AF26" s="48">
        <f t="shared" si="15"/>
        <v>7658904</v>
      </c>
      <c r="AG26" s="48">
        <f t="shared" ca="1" si="15"/>
        <v>11578088.857977621</v>
      </c>
      <c r="AH26" s="48">
        <f t="shared" ca="1" si="15"/>
        <v>14393336.790879887</v>
      </c>
      <c r="AI26" s="48">
        <f t="shared" ca="1" si="15"/>
        <v>14107516.802544788</v>
      </c>
      <c r="AJ26" s="48">
        <f t="shared" ca="1" si="15"/>
        <v>14090361.028951639</v>
      </c>
      <c r="AK26" s="48">
        <f t="shared" ca="1" si="15"/>
        <v>13027496.505615907</v>
      </c>
      <c r="AL26" s="48">
        <f t="shared" ca="1" si="15"/>
        <v>13065639.784258712</v>
      </c>
      <c r="AM26" s="48">
        <f t="shared" ca="1" si="15"/>
        <v>11984512.935742488</v>
      </c>
      <c r="AN26" s="48">
        <f t="shared" ca="1" si="15"/>
        <v>10421252.039721387</v>
      </c>
      <c r="AO26" s="48">
        <f t="shared" ca="1" si="15"/>
        <v>9436777.9017609004</v>
      </c>
      <c r="AP26" s="48">
        <f t="shared" ca="1" si="15"/>
        <v>8401257.8032797873</v>
      </c>
      <c r="AQ26" s="48">
        <f t="shared" ca="1" si="15"/>
        <v>7735545.9954794133</v>
      </c>
      <c r="AR26" s="48">
        <f t="shared" ca="1" si="15"/>
        <v>7009256.4173895651</v>
      </c>
      <c r="AS26" s="48">
        <f t="shared" ca="1" si="15"/>
        <v>6247939.7149375174</v>
      </c>
      <c r="AT26" s="48">
        <f t="shared" ca="1" si="15"/>
        <v>5572656.6032437393</v>
      </c>
      <c r="AU26" s="48">
        <f t="shared" ca="1" si="15"/>
        <v>5128406.628297179</v>
      </c>
      <c r="AV26" s="48">
        <f t="shared" ca="1" si="15"/>
        <v>4817768.8148960583</v>
      </c>
      <c r="AW26" s="48">
        <f t="shared" ca="1" si="15"/>
        <v>3882325.0554154851</v>
      </c>
      <c r="AX26" s="48">
        <f t="shared" ca="1" si="15"/>
        <v>3519070.2394844308</v>
      </c>
      <c r="AY26" s="48">
        <f t="shared" ca="1" si="15"/>
        <v>3202267.7160170414</v>
      </c>
      <c r="AZ26" s="48">
        <f t="shared" ca="1" si="15"/>
        <v>2889103.9799171323</v>
      </c>
      <c r="BA26" s="48">
        <f t="shared" ca="1" si="15"/>
        <v>2660450.538071393</v>
      </c>
      <c r="BB26" s="48">
        <f t="shared" ca="1" si="15"/>
        <v>2367592.0550666265</v>
      </c>
      <c r="BC26" s="48">
        <f t="shared" ca="1" si="15"/>
        <v>2194742.4869345985</v>
      </c>
      <c r="BD26" s="48">
        <f t="shared" ca="1" si="15"/>
        <v>2047270.4612409009</v>
      </c>
      <c r="BE26" s="48">
        <f t="shared" ca="1" si="15"/>
        <v>1934972.4942202149</v>
      </c>
      <c r="BF26" s="48">
        <f t="shared" ca="1" si="15"/>
        <v>1680769.3715228403</v>
      </c>
      <c r="BG26" s="48">
        <f t="shared" ca="1" si="15"/>
        <v>1455309.3947065459</v>
      </c>
      <c r="BH26" s="48">
        <f t="shared" ca="1" si="15"/>
        <v>1652643.5890139334</v>
      </c>
      <c r="BI26" s="48">
        <f t="shared" ca="1" si="15"/>
        <v>1474535.543408985</v>
      </c>
      <c r="BJ26" s="48">
        <f t="shared" ca="1" si="15"/>
        <v>0</v>
      </c>
      <c r="BK26" s="48">
        <f t="shared" ca="1" si="15"/>
        <v>0</v>
      </c>
      <c r="BL26" s="48">
        <f t="shared" ca="1" si="15"/>
        <v>0</v>
      </c>
      <c r="BM26" s="48">
        <f t="shared" ca="1" si="15"/>
        <v>0</v>
      </c>
      <c r="BN26" s="48">
        <f t="shared" ca="1" si="15"/>
        <v>0</v>
      </c>
      <c r="BO26" s="48">
        <f t="shared" ca="1" si="15"/>
        <v>0</v>
      </c>
      <c r="BP26" s="48">
        <f t="shared" ref="BP26:BW26" ca="1" si="16">BP17+BP16</f>
        <v>0</v>
      </c>
      <c r="BQ26" s="48">
        <f t="shared" ca="1" si="16"/>
        <v>0</v>
      </c>
      <c r="BR26" s="48">
        <f t="shared" ca="1" si="16"/>
        <v>0</v>
      </c>
      <c r="BS26" s="48">
        <f t="shared" ca="1" si="16"/>
        <v>0</v>
      </c>
      <c r="BT26" s="48">
        <f t="shared" ca="1" si="16"/>
        <v>0</v>
      </c>
      <c r="BU26" s="48">
        <f t="shared" ca="1" si="16"/>
        <v>0</v>
      </c>
      <c r="BV26" s="48">
        <f t="shared" ca="1" si="16"/>
        <v>0</v>
      </c>
      <c r="BW26" s="48">
        <f t="shared" ca="1" si="16"/>
        <v>0</v>
      </c>
    </row>
    <row r="27" spans="1:75" x14ac:dyDescent="0.3">
      <c r="A27" s="1" t="s">
        <v>180</v>
      </c>
      <c r="C27" s="48">
        <f>C28+C30+C38+C39+C40+C41</f>
        <v>-25578</v>
      </c>
      <c r="D27" s="48">
        <f>D28+D30+D38+D39+D40+D41</f>
        <v>-33229</v>
      </c>
      <c r="E27" s="48">
        <f>E28+E30+E38+E39+E40+E41</f>
        <v>-39569</v>
      </c>
      <c r="F27" s="48">
        <f t="shared" ref="F27:BQ27" si="17">F28+F30+F38+F39+F40+F41</f>
        <v>-51435</v>
      </c>
      <c r="G27" s="48">
        <f t="shared" si="17"/>
        <v>-149811</v>
      </c>
      <c r="H27" s="48">
        <f t="shared" si="17"/>
        <v>-21686</v>
      </c>
      <c r="I27" s="48">
        <f t="shared" si="17"/>
        <v>-66542</v>
      </c>
      <c r="J27" s="48">
        <f t="shared" si="17"/>
        <v>-168981</v>
      </c>
      <c r="K27" s="48">
        <f t="shared" si="17"/>
        <v>431498</v>
      </c>
      <c r="L27" s="48">
        <f t="shared" si="17"/>
        <v>174289</v>
      </c>
      <c r="M27" s="48">
        <f t="shared" si="17"/>
        <v>34576</v>
      </c>
      <c r="N27" s="48">
        <f t="shared" si="17"/>
        <v>15333</v>
      </c>
      <c r="O27" s="48">
        <f t="shared" si="17"/>
        <v>-61362</v>
      </c>
      <c r="P27" s="48">
        <f t="shared" si="17"/>
        <v>336943</v>
      </c>
      <c r="Q27" s="48">
        <f t="shared" si="17"/>
        <v>325490</v>
      </c>
      <c r="R27" s="48">
        <f t="shared" si="17"/>
        <v>-102030</v>
      </c>
      <c r="S27" s="48">
        <f t="shared" si="17"/>
        <v>-132854</v>
      </c>
      <c r="T27" s="48">
        <f t="shared" si="17"/>
        <v>-54533</v>
      </c>
      <c r="U27" s="48">
        <f t="shared" si="17"/>
        <v>-101785</v>
      </c>
      <c r="V27" s="48">
        <f t="shared" si="17"/>
        <v>-391202</v>
      </c>
      <c r="W27" s="48">
        <f t="shared" si="17"/>
        <v>-117187</v>
      </c>
      <c r="X27" s="48">
        <f t="shared" si="17"/>
        <v>-194006</v>
      </c>
      <c r="Y27" s="48">
        <f t="shared" si="17"/>
        <v>-95883</v>
      </c>
      <c r="Z27" s="48">
        <f t="shared" si="17"/>
        <v>66117</v>
      </c>
      <c r="AA27" s="48">
        <f t="shared" si="17"/>
        <v>-340959</v>
      </c>
      <c r="AB27" s="48">
        <f t="shared" si="17"/>
        <v>-313226</v>
      </c>
      <c r="AC27" s="48">
        <f t="shared" si="17"/>
        <v>-286945</v>
      </c>
      <c r="AD27" s="48">
        <f t="shared" si="17"/>
        <v>76240</v>
      </c>
      <c r="AE27" s="48">
        <f t="shared" si="17"/>
        <v>20889</v>
      </c>
      <c r="AF27" s="48">
        <f t="shared" si="17"/>
        <v>-503042</v>
      </c>
      <c r="AG27" s="48">
        <f t="shared" ca="1" si="17"/>
        <v>-781164.10743644612</v>
      </c>
      <c r="AH27" s="48">
        <f t="shared" ca="1" si="17"/>
        <v>-968608.8050036123</v>
      </c>
      <c r="AI27" s="48">
        <f t="shared" ca="1" si="17"/>
        <v>-1002510.1131787386</v>
      </c>
      <c r="AJ27" s="48">
        <f t="shared" ca="1" si="17"/>
        <v>-1037597.9671399944</v>
      </c>
      <c r="AK27" s="48">
        <f t="shared" ca="1" si="17"/>
        <v>-1073913.8959898942</v>
      </c>
      <c r="AL27" s="48">
        <f t="shared" ca="1" si="17"/>
        <v>-1106131.3128695909</v>
      </c>
      <c r="AM27" s="48">
        <f t="shared" ca="1" si="17"/>
        <v>-1139315.2522556786</v>
      </c>
      <c r="AN27" s="48">
        <f t="shared" ca="1" si="17"/>
        <v>-1173494.709823349</v>
      </c>
      <c r="AO27" s="48">
        <f t="shared" ca="1" si="17"/>
        <v>-1208699.5511180495</v>
      </c>
      <c r="AP27" s="48">
        <f t="shared" ca="1" si="17"/>
        <v>-1244960.537651591</v>
      </c>
      <c r="AQ27" s="48">
        <f t="shared" ca="1" si="17"/>
        <v>-1282309.3537811388</v>
      </c>
      <c r="AR27" s="48">
        <f t="shared" ca="1" si="17"/>
        <v>-1320778.634394573</v>
      </c>
      <c r="AS27" s="48">
        <f t="shared" ca="1" si="17"/>
        <v>-1360401.9934264102</v>
      </c>
      <c r="AT27" s="48">
        <f t="shared" ca="1" si="17"/>
        <v>-1401214.0532292025</v>
      </c>
      <c r="AU27" s="48">
        <f t="shared" ca="1" si="17"/>
        <v>-1333830.9869013072</v>
      </c>
      <c r="AV27" s="48">
        <f t="shared" ca="1" si="17"/>
        <v>-1217583.5534901533</v>
      </c>
      <c r="AW27" s="48">
        <f t="shared" ca="1" si="17"/>
        <v>-988310.1964854151</v>
      </c>
      <c r="AX27" s="48">
        <f t="shared" ca="1" si="17"/>
        <v>-891932.39533312456</v>
      </c>
      <c r="AY27" s="48">
        <f t="shared" ca="1" si="17"/>
        <v>-807372.76630257571</v>
      </c>
      <c r="AZ27" s="48">
        <f t="shared" ca="1" si="17"/>
        <v>-727387.834041683</v>
      </c>
      <c r="BA27" s="48">
        <f t="shared" ca="1" si="17"/>
        <v>-665502.63038108987</v>
      </c>
      <c r="BB27" s="48">
        <f t="shared" ca="1" si="17"/>
        <v>-595574.29507145693</v>
      </c>
      <c r="BC27" s="48">
        <f t="shared" ca="1" si="17"/>
        <v>-555905.56504756841</v>
      </c>
      <c r="BD27" s="48">
        <f t="shared" ca="1" si="17"/>
        <v>-524934.71869167662</v>
      </c>
      <c r="BE27" s="48">
        <f t="shared" ca="1" si="17"/>
        <v>-498819.26661440573</v>
      </c>
      <c r="BF27" s="48">
        <f t="shared" ca="1" si="17"/>
        <v>-450235.70974274317</v>
      </c>
      <c r="BG27" s="48">
        <f t="shared" ca="1" si="17"/>
        <v>-422835.77532815811</v>
      </c>
      <c r="BH27" s="48">
        <f t="shared" ca="1" si="17"/>
        <v>-405539.19481022301</v>
      </c>
      <c r="BI27" s="48">
        <f t="shared" ca="1" si="17"/>
        <v>-262053.71220536355</v>
      </c>
      <c r="BJ27" s="48">
        <f t="shared" ca="1" si="17"/>
        <v>0</v>
      </c>
      <c r="BK27" s="48">
        <f t="shared" ca="1" si="17"/>
        <v>0</v>
      </c>
      <c r="BL27" s="48">
        <f t="shared" ca="1" si="17"/>
        <v>0</v>
      </c>
      <c r="BM27" s="48">
        <f t="shared" ca="1" si="17"/>
        <v>0</v>
      </c>
      <c r="BN27" s="48">
        <f t="shared" ca="1" si="17"/>
        <v>0</v>
      </c>
      <c r="BO27" s="48">
        <f t="shared" ca="1" si="17"/>
        <v>0</v>
      </c>
      <c r="BP27" s="48">
        <f t="shared" ca="1" si="17"/>
        <v>0</v>
      </c>
      <c r="BQ27" s="48">
        <f t="shared" ca="1" si="17"/>
        <v>0</v>
      </c>
      <c r="BR27" s="48">
        <f t="shared" ref="BR27:BW27" ca="1" si="18">BR28+BR30+BR38+BR39+BR40+BR41</f>
        <v>0</v>
      </c>
      <c r="BS27" s="48">
        <f t="shared" ca="1" si="18"/>
        <v>0</v>
      </c>
      <c r="BT27" s="48">
        <f t="shared" ca="1" si="18"/>
        <v>0</v>
      </c>
      <c r="BU27" s="48">
        <f t="shared" ca="1" si="18"/>
        <v>0</v>
      </c>
      <c r="BV27" s="48">
        <f t="shared" ca="1" si="18"/>
        <v>0</v>
      </c>
      <c r="BW27" s="48">
        <f t="shared" ca="1" si="18"/>
        <v>0</v>
      </c>
    </row>
    <row r="28" spans="1:75" x14ac:dyDescent="0.3">
      <c r="A28" s="42" t="s">
        <v>181</v>
      </c>
      <c r="B28" s="42"/>
      <c r="C28" s="53"/>
      <c r="D28" s="53"/>
      <c r="E28" s="53"/>
      <c r="F28" s="53"/>
      <c r="G28" s="53"/>
      <c r="H28" s="53"/>
      <c r="I28" s="53"/>
      <c r="J28" s="53"/>
      <c r="K28" s="53"/>
      <c r="L28" s="53"/>
      <c r="M28" s="53"/>
      <c r="N28" s="53"/>
      <c r="O28" s="53"/>
      <c r="P28" s="53"/>
      <c r="Q28" s="53"/>
      <c r="R28" s="53"/>
      <c r="S28" s="53"/>
      <c r="T28" s="53"/>
      <c r="U28" s="53"/>
      <c r="V28" s="53"/>
      <c r="W28" s="53"/>
      <c r="X28" s="53"/>
      <c r="Y28" s="53"/>
      <c r="Z28" s="53"/>
      <c r="AA28" s="53"/>
      <c r="AB28" s="51">
        <f>-('DRE - Economática'!BC197-'DRE - Economática'!BB197)</f>
        <v>-96642</v>
      </c>
      <c r="AC28" s="51">
        <f>-('DRE - Economática'!BD197-'DRE - Economática'!BC197)</f>
        <v>-165166</v>
      </c>
      <c r="AD28" s="51">
        <f>-('DRE - Economática'!BE197-'DRE - Economática'!BD197)</f>
        <v>261808</v>
      </c>
      <c r="AE28" s="51">
        <f>-('DRE - Economática'!BF197-'DRE - Economática'!BE197)</f>
        <v>0</v>
      </c>
      <c r="AF28" s="53"/>
      <c r="AG28" s="51">
        <f ca="1">AG29*AG16</f>
        <v>0</v>
      </c>
      <c r="AH28" s="51">
        <f t="shared" ref="AH28:BK28" ca="1" si="19">AH29*AH16</f>
        <v>0</v>
      </c>
      <c r="AI28" s="51">
        <f t="shared" ca="1" si="19"/>
        <v>0</v>
      </c>
      <c r="AJ28" s="51">
        <f t="shared" ca="1" si="19"/>
        <v>0</v>
      </c>
      <c r="AK28" s="51">
        <f t="shared" ca="1" si="19"/>
        <v>0</v>
      </c>
      <c r="AL28" s="51">
        <f t="shared" ca="1" si="19"/>
        <v>0</v>
      </c>
      <c r="AM28" s="51">
        <f t="shared" ca="1" si="19"/>
        <v>0</v>
      </c>
      <c r="AN28" s="51">
        <f t="shared" ca="1" si="19"/>
        <v>0</v>
      </c>
      <c r="AO28" s="51">
        <f t="shared" ca="1" si="19"/>
        <v>0</v>
      </c>
      <c r="AP28" s="51">
        <f t="shared" ca="1" si="19"/>
        <v>0</v>
      </c>
      <c r="AQ28" s="51">
        <f t="shared" ca="1" si="19"/>
        <v>0</v>
      </c>
      <c r="AR28" s="51">
        <f t="shared" ca="1" si="19"/>
        <v>0</v>
      </c>
      <c r="AS28" s="51">
        <f t="shared" ca="1" si="19"/>
        <v>0</v>
      </c>
      <c r="AT28" s="51">
        <f t="shared" ca="1" si="19"/>
        <v>0</v>
      </c>
      <c r="AU28" s="51">
        <f t="shared" ca="1" si="19"/>
        <v>0</v>
      </c>
      <c r="AV28" s="51">
        <f t="shared" ca="1" si="19"/>
        <v>0</v>
      </c>
      <c r="AW28" s="51">
        <f t="shared" ca="1" si="19"/>
        <v>0</v>
      </c>
      <c r="AX28" s="51">
        <f t="shared" ca="1" si="19"/>
        <v>0</v>
      </c>
      <c r="AY28" s="51">
        <f t="shared" ca="1" si="19"/>
        <v>0</v>
      </c>
      <c r="AZ28" s="51">
        <f t="shared" ca="1" si="19"/>
        <v>0</v>
      </c>
      <c r="BA28" s="51">
        <f t="shared" ca="1" si="19"/>
        <v>0</v>
      </c>
      <c r="BB28" s="51">
        <f t="shared" ca="1" si="19"/>
        <v>0</v>
      </c>
      <c r="BC28" s="51">
        <f t="shared" ca="1" si="19"/>
        <v>0</v>
      </c>
      <c r="BD28" s="51">
        <f t="shared" ca="1" si="19"/>
        <v>0</v>
      </c>
      <c r="BE28" s="51">
        <f t="shared" ca="1" si="19"/>
        <v>0</v>
      </c>
      <c r="BF28" s="51">
        <f t="shared" ca="1" si="19"/>
        <v>0</v>
      </c>
      <c r="BG28" s="51">
        <f t="shared" ca="1" si="19"/>
        <v>0</v>
      </c>
      <c r="BH28" s="51">
        <f t="shared" ca="1" si="19"/>
        <v>0</v>
      </c>
      <c r="BI28" s="51">
        <f t="shared" ca="1" si="19"/>
        <v>0</v>
      </c>
      <c r="BJ28" s="51">
        <f t="shared" ca="1" si="19"/>
        <v>0</v>
      </c>
      <c r="BK28" s="51">
        <f t="shared" ca="1" si="19"/>
        <v>0</v>
      </c>
      <c r="BL28" s="51">
        <f t="shared" ref="BL28:BW28" ca="1" si="20">BL29*BL16</f>
        <v>0</v>
      </c>
      <c r="BM28" s="51">
        <f t="shared" ca="1" si="20"/>
        <v>0</v>
      </c>
      <c r="BN28" s="51">
        <f t="shared" ca="1" si="20"/>
        <v>0</v>
      </c>
      <c r="BO28" s="51">
        <f t="shared" ca="1" si="20"/>
        <v>0</v>
      </c>
      <c r="BP28" s="51">
        <f t="shared" ca="1" si="20"/>
        <v>0</v>
      </c>
      <c r="BQ28" s="51">
        <f t="shared" ca="1" si="20"/>
        <v>0</v>
      </c>
      <c r="BR28" s="51">
        <f t="shared" ca="1" si="20"/>
        <v>0</v>
      </c>
      <c r="BS28" s="51">
        <f t="shared" ca="1" si="20"/>
        <v>0</v>
      </c>
      <c r="BT28" s="51">
        <f t="shared" ca="1" si="20"/>
        <v>0</v>
      </c>
      <c r="BU28" s="51">
        <f t="shared" ca="1" si="20"/>
        <v>0</v>
      </c>
      <c r="BV28" s="51">
        <f t="shared" ca="1" si="20"/>
        <v>0</v>
      </c>
      <c r="BW28" s="51">
        <f t="shared" ca="1" si="20"/>
        <v>0</v>
      </c>
    </row>
    <row r="29" spans="1:75" s="279" customFormat="1" x14ac:dyDescent="0.3">
      <c r="A29" s="278" t="s">
        <v>378</v>
      </c>
      <c r="C29" s="280">
        <f t="shared" ref="C29:AA29" si="21">C28/C16</f>
        <v>0</v>
      </c>
      <c r="D29" s="280">
        <f t="shared" si="21"/>
        <v>0</v>
      </c>
      <c r="E29" s="280">
        <f t="shared" si="21"/>
        <v>0</v>
      </c>
      <c r="F29" s="280">
        <f t="shared" si="21"/>
        <v>0</v>
      </c>
      <c r="G29" s="280">
        <f t="shared" si="21"/>
        <v>0</v>
      </c>
      <c r="H29" s="280">
        <f t="shared" si="21"/>
        <v>0</v>
      </c>
      <c r="I29" s="280">
        <f t="shared" si="21"/>
        <v>0</v>
      </c>
      <c r="J29" s="280">
        <f t="shared" si="21"/>
        <v>0</v>
      </c>
      <c r="K29" s="280">
        <f t="shared" si="21"/>
        <v>0</v>
      </c>
      <c r="L29" s="280">
        <f t="shared" si="21"/>
        <v>0</v>
      </c>
      <c r="M29" s="280">
        <f t="shared" si="21"/>
        <v>0</v>
      </c>
      <c r="N29" s="280">
        <f t="shared" si="21"/>
        <v>0</v>
      </c>
      <c r="O29" s="280">
        <f t="shared" si="21"/>
        <v>0</v>
      </c>
      <c r="P29" s="280">
        <f t="shared" si="21"/>
        <v>0</v>
      </c>
      <c r="Q29" s="280">
        <f t="shared" si="21"/>
        <v>0</v>
      </c>
      <c r="R29" s="280">
        <f t="shared" si="21"/>
        <v>0</v>
      </c>
      <c r="S29" s="280">
        <f t="shared" si="21"/>
        <v>0</v>
      </c>
      <c r="T29" s="280">
        <f t="shared" si="21"/>
        <v>0</v>
      </c>
      <c r="U29" s="280">
        <f t="shared" si="21"/>
        <v>0</v>
      </c>
      <c r="V29" s="280">
        <f t="shared" si="21"/>
        <v>0</v>
      </c>
      <c r="W29" s="280">
        <f t="shared" si="21"/>
        <v>0</v>
      </c>
      <c r="X29" s="280">
        <f t="shared" si="21"/>
        <v>0</v>
      </c>
      <c r="Y29" s="280">
        <f t="shared" si="21"/>
        <v>0</v>
      </c>
      <c r="Z29" s="280">
        <f t="shared" si="21"/>
        <v>0</v>
      </c>
      <c r="AA29" s="280">
        <f t="shared" si="21"/>
        <v>0</v>
      </c>
      <c r="AB29" s="280">
        <f>AB28/AB16</f>
        <v>-3.4331632299628233E-2</v>
      </c>
      <c r="AC29" s="280">
        <f>AC28/AC16</f>
        <v>-7.1463123581368346E-2</v>
      </c>
      <c r="AD29" s="280">
        <f>AD28/AD16</f>
        <v>6.9193975603658017E-2</v>
      </c>
      <c r="AE29" s="280">
        <f>AVERAGE(AB29:AD29)</f>
        <v>-1.2200260092446185E-2</v>
      </c>
      <c r="AF29" s="280">
        <f>AF28/AF16</f>
        <v>0</v>
      </c>
      <c r="AG29" s="280">
        <v>0</v>
      </c>
      <c r="AH29" s="280">
        <f>AG29</f>
        <v>0</v>
      </c>
      <c r="AI29" s="280">
        <f t="shared" ref="AI29:BW29" si="22">AH29</f>
        <v>0</v>
      </c>
      <c r="AJ29" s="280">
        <f t="shared" si="22"/>
        <v>0</v>
      </c>
      <c r="AK29" s="280">
        <f t="shared" si="22"/>
        <v>0</v>
      </c>
      <c r="AL29" s="280">
        <f t="shared" si="22"/>
        <v>0</v>
      </c>
      <c r="AM29" s="280">
        <f t="shared" si="22"/>
        <v>0</v>
      </c>
      <c r="AN29" s="280">
        <f t="shared" si="22"/>
        <v>0</v>
      </c>
      <c r="AO29" s="280">
        <f t="shared" si="22"/>
        <v>0</v>
      </c>
      <c r="AP29" s="280">
        <f t="shared" si="22"/>
        <v>0</v>
      </c>
      <c r="AQ29" s="280">
        <f t="shared" si="22"/>
        <v>0</v>
      </c>
      <c r="AR29" s="280">
        <f t="shared" si="22"/>
        <v>0</v>
      </c>
      <c r="AS29" s="280">
        <f t="shared" si="22"/>
        <v>0</v>
      </c>
      <c r="AT29" s="280">
        <f t="shared" si="22"/>
        <v>0</v>
      </c>
      <c r="AU29" s="280">
        <f t="shared" si="22"/>
        <v>0</v>
      </c>
      <c r="AV29" s="280">
        <f t="shared" si="22"/>
        <v>0</v>
      </c>
      <c r="AW29" s="280">
        <f t="shared" si="22"/>
        <v>0</v>
      </c>
      <c r="AX29" s="280">
        <f t="shared" si="22"/>
        <v>0</v>
      </c>
      <c r="AY29" s="280">
        <f t="shared" si="22"/>
        <v>0</v>
      </c>
      <c r="AZ29" s="280">
        <f t="shared" si="22"/>
        <v>0</v>
      </c>
      <c r="BA29" s="280">
        <f t="shared" si="22"/>
        <v>0</v>
      </c>
      <c r="BB29" s="280">
        <f t="shared" si="22"/>
        <v>0</v>
      </c>
      <c r="BC29" s="280">
        <f t="shared" si="22"/>
        <v>0</v>
      </c>
      <c r="BD29" s="280">
        <f t="shared" si="22"/>
        <v>0</v>
      </c>
      <c r="BE29" s="280">
        <f t="shared" si="22"/>
        <v>0</v>
      </c>
      <c r="BF29" s="280">
        <f t="shared" si="22"/>
        <v>0</v>
      </c>
      <c r="BG29" s="280">
        <f t="shared" si="22"/>
        <v>0</v>
      </c>
      <c r="BH29" s="280">
        <f t="shared" si="22"/>
        <v>0</v>
      </c>
      <c r="BI29" s="280">
        <f t="shared" si="22"/>
        <v>0</v>
      </c>
      <c r="BJ29" s="280">
        <f t="shared" si="22"/>
        <v>0</v>
      </c>
      <c r="BK29" s="280">
        <f t="shared" si="22"/>
        <v>0</v>
      </c>
      <c r="BL29" s="280">
        <f t="shared" si="22"/>
        <v>0</v>
      </c>
      <c r="BM29" s="280">
        <f t="shared" si="22"/>
        <v>0</v>
      </c>
      <c r="BN29" s="280">
        <f t="shared" si="22"/>
        <v>0</v>
      </c>
      <c r="BO29" s="280">
        <f t="shared" si="22"/>
        <v>0</v>
      </c>
      <c r="BP29" s="280">
        <f t="shared" si="22"/>
        <v>0</v>
      </c>
      <c r="BQ29" s="280">
        <f t="shared" si="22"/>
        <v>0</v>
      </c>
      <c r="BR29" s="280">
        <f t="shared" si="22"/>
        <v>0</v>
      </c>
      <c r="BS29" s="280">
        <f t="shared" si="22"/>
        <v>0</v>
      </c>
      <c r="BT29" s="280">
        <f t="shared" si="22"/>
        <v>0</v>
      </c>
      <c r="BU29" s="280">
        <f t="shared" si="22"/>
        <v>0</v>
      </c>
      <c r="BV29" s="280">
        <f t="shared" si="22"/>
        <v>0</v>
      </c>
      <c r="BW29" s="280">
        <f t="shared" si="22"/>
        <v>0</v>
      </c>
    </row>
    <row r="30" spans="1:75" x14ac:dyDescent="0.3">
      <c r="A30" s="42" t="s">
        <v>182</v>
      </c>
      <c r="B30" s="42"/>
      <c r="C30" s="51">
        <f>-'DRE - Economática'!AI198</f>
        <v>-29111</v>
      </c>
      <c r="D30" s="51">
        <f>-('DRE - Economática'!AJ198-'DRE - Economática'!AI198)</f>
        <v>-26336</v>
      </c>
      <c r="E30" s="51">
        <f>-('DRE - Economática'!AK198-'DRE - Economática'!AJ198)</f>
        <v>-23666</v>
      </c>
      <c r="F30" s="51">
        <f>-('DRE - Economática'!AL198-'DRE - Economática'!AK198)</f>
        <v>-38858</v>
      </c>
      <c r="G30" s="51">
        <f t="shared" ref="G30:G49" si="23">SUM(C30:F30)</f>
        <v>-117971</v>
      </c>
      <c r="H30" s="51">
        <f>-'DRE - Economática'!AM198</f>
        <v>-21992</v>
      </c>
      <c r="I30" s="51">
        <f>-('DRE - Economática'!AN198-'DRE - Economática'!AM198)</f>
        <v>-33971</v>
      </c>
      <c r="J30" s="51">
        <f>-('DRE - Economática'!AO198-'DRE - Economática'!AN198)</f>
        <v>-103435</v>
      </c>
      <c r="K30" s="51">
        <f>-('DRE - Economática'!AP198-'DRE - Economática'!AO198)</f>
        <v>-86318</v>
      </c>
      <c r="L30" s="51">
        <f>SUM(H30:K30)</f>
        <v>-245716</v>
      </c>
      <c r="M30" s="51">
        <f>-'DRE - Economática'!AQ198</f>
        <v>-80528</v>
      </c>
      <c r="N30" s="51">
        <f>-('DRE - Economática'!AR198-'DRE - Economática'!AQ198)</f>
        <v>-74270</v>
      </c>
      <c r="O30" s="51">
        <f>-('DRE - Economática'!AS198-'DRE - Economática'!AR198)</f>
        <v>-89867</v>
      </c>
      <c r="P30" s="51">
        <f>-('DRE - Economática'!AT198-'DRE - Economática'!AS198)</f>
        <v>-93282</v>
      </c>
      <c r="Q30" s="51">
        <f t="shared" ref="Q30:Q49" si="24">SUM(M30:P30)</f>
        <v>-337947</v>
      </c>
      <c r="R30" s="51">
        <f>-'DRE - Economática'!AU198</f>
        <v>-81780</v>
      </c>
      <c r="S30" s="51">
        <f>-('DRE - Economática'!AV198-'DRE - Economática'!AU198)</f>
        <v>-70667</v>
      </c>
      <c r="T30" s="51">
        <f>-('DRE - Economática'!AW198-'DRE - Economática'!AV198)</f>
        <v>-70309</v>
      </c>
      <c r="U30" s="51">
        <f>-('DRE - Economática'!AX198-'DRE - Economática'!AW198)</f>
        <v>-92884</v>
      </c>
      <c r="V30" s="51">
        <f t="shared" ref="V30:V49" si="25">SUM(R30:U30)</f>
        <v>-315640</v>
      </c>
      <c r="W30" s="51">
        <f>-'DRE - Economática'!AY198</f>
        <v>-90184</v>
      </c>
      <c r="X30" s="51">
        <f>-('DRE - Economática'!AZ198-'DRE - Economática'!AY198)</f>
        <v>-84814</v>
      </c>
      <c r="Y30" s="51">
        <f>-('DRE - Economática'!BA198-'DRE - Economática'!AZ198)</f>
        <v>-99121</v>
      </c>
      <c r="Z30" s="51">
        <f>-('DRE - Economática'!BB198-'DRE - Economática'!BA198)</f>
        <v>-93410</v>
      </c>
      <c r="AA30" s="51">
        <f t="shared" ref="AA30:AA49" si="26">SUM(W30:Z30)</f>
        <v>-367529</v>
      </c>
      <c r="AB30" s="51">
        <f>-'DRE - Economática'!BC198</f>
        <v>-83634</v>
      </c>
      <c r="AC30" s="51">
        <f>-('DRE - Economática'!BD198-'DRE - Economática'!BC198)</f>
        <v>-104501</v>
      </c>
      <c r="AD30" s="51">
        <f>-('DRE - Economática'!BE198-'DRE - Economática'!BD198)</f>
        <v>-132419</v>
      </c>
      <c r="AE30" s="51">
        <f>-('DRE - Economática'!BF198-'DRE - Economática'!BE198)</f>
        <v>-246839</v>
      </c>
      <c r="AF30" s="51">
        <f>SUM(AB30:AE30)</f>
        <v>-567393</v>
      </c>
      <c r="AG30" s="51">
        <f ca="1">IF(AG$11=0,0,MIN(MAX(AF30*(1+AG$6),AG16*$Q31),$AF31*AG16))</f>
        <v>-781164.10743644612</v>
      </c>
      <c r="AH30" s="51">
        <f t="shared" ref="AH30:BW30" ca="1" si="27">IF(AH$11=0,0,MIN(MAX(AG30*(1+AH6),AH16*$Q$31),$AF$31*AH16))</f>
        <v>-968608.8050036123</v>
      </c>
      <c r="AI30" s="51">
        <f t="shared" ca="1" si="27"/>
        <v>-1002510.1131787386</v>
      </c>
      <c r="AJ30" s="51">
        <f t="shared" ca="1" si="27"/>
        <v>-1037597.9671399944</v>
      </c>
      <c r="AK30" s="51">
        <f t="shared" ca="1" si="27"/>
        <v>-1073913.8959898942</v>
      </c>
      <c r="AL30" s="51">
        <f t="shared" ca="1" si="27"/>
        <v>-1106131.3128695909</v>
      </c>
      <c r="AM30" s="51">
        <f t="shared" ca="1" si="27"/>
        <v>-1139315.2522556786</v>
      </c>
      <c r="AN30" s="51">
        <f t="shared" ca="1" si="27"/>
        <v>-1173494.709823349</v>
      </c>
      <c r="AO30" s="51">
        <f t="shared" ca="1" si="27"/>
        <v>-1208699.5511180495</v>
      </c>
      <c r="AP30" s="51">
        <f t="shared" ca="1" si="27"/>
        <v>-1244960.537651591</v>
      </c>
      <c r="AQ30" s="51">
        <f t="shared" ca="1" si="27"/>
        <v>-1282309.3537811388</v>
      </c>
      <c r="AR30" s="51">
        <f t="shared" ca="1" si="27"/>
        <v>-1320778.634394573</v>
      </c>
      <c r="AS30" s="51">
        <f t="shared" ca="1" si="27"/>
        <v>-1360401.9934264102</v>
      </c>
      <c r="AT30" s="51">
        <f t="shared" ca="1" si="27"/>
        <v>-1401214.0532292025</v>
      </c>
      <c r="AU30" s="51">
        <f t="shared" ca="1" si="27"/>
        <v>-1333830.9869013072</v>
      </c>
      <c r="AV30" s="51">
        <f t="shared" ca="1" si="27"/>
        <v>-1217583.5534901533</v>
      </c>
      <c r="AW30" s="51">
        <f t="shared" ca="1" si="27"/>
        <v>-988310.1964854151</v>
      </c>
      <c r="AX30" s="51">
        <f t="shared" ca="1" si="27"/>
        <v>-891932.39533312456</v>
      </c>
      <c r="AY30" s="51">
        <f t="shared" ca="1" si="27"/>
        <v>-807372.76630257571</v>
      </c>
      <c r="AZ30" s="51">
        <f t="shared" ca="1" si="27"/>
        <v>-727387.834041683</v>
      </c>
      <c r="BA30" s="51">
        <f t="shared" ca="1" si="27"/>
        <v>-665502.63038108987</v>
      </c>
      <c r="BB30" s="51">
        <f t="shared" ca="1" si="27"/>
        <v>-595574.29507145693</v>
      </c>
      <c r="BC30" s="51">
        <f t="shared" ca="1" si="27"/>
        <v>-555905.56504756841</v>
      </c>
      <c r="BD30" s="51">
        <f t="shared" ca="1" si="27"/>
        <v>-524934.71869167662</v>
      </c>
      <c r="BE30" s="51">
        <f t="shared" ca="1" si="27"/>
        <v>-498819.26661440573</v>
      </c>
      <c r="BF30" s="51">
        <f t="shared" ca="1" si="27"/>
        <v>-450235.70974274317</v>
      </c>
      <c r="BG30" s="51">
        <f t="shared" ca="1" si="27"/>
        <v>-422835.77532815811</v>
      </c>
      <c r="BH30" s="51">
        <f t="shared" ca="1" si="27"/>
        <v>-405539.19481022301</v>
      </c>
      <c r="BI30" s="51">
        <f t="shared" ca="1" si="27"/>
        <v>-262053.71220536355</v>
      </c>
      <c r="BJ30" s="51">
        <f t="shared" ca="1" si="27"/>
        <v>0</v>
      </c>
      <c r="BK30" s="51">
        <f t="shared" ca="1" si="27"/>
        <v>0</v>
      </c>
      <c r="BL30" s="51">
        <f t="shared" ca="1" si="27"/>
        <v>0</v>
      </c>
      <c r="BM30" s="51">
        <f t="shared" ca="1" si="27"/>
        <v>0</v>
      </c>
      <c r="BN30" s="51">
        <f t="shared" ca="1" si="27"/>
        <v>0</v>
      </c>
      <c r="BO30" s="51">
        <f t="shared" ca="1" si="27"/>
        <v>0</v>
      </c>
      <c r="BP30" s="51">
        <f t="shared" ca="1" si="27"/>
        <v>0</v>
      </c>
      <c r="BQ30" s="51">
        <f t="shared" ca="1" si="27"/>
        <v>0</v>
      </c>
      <c r="BR30" s="51">
        <f t="shared" ca="1" si="27"/>
        <v>0</v>
      </c>
      <c r="BS30" s="51">
        <f t="shared" ca="1" si="27"/>
        <v>0</v>
      </c>
      <c r="BT30" s="51">
        <f t="shared" ca="1" si="27"/>
        <v>0</v>
      </c>
      <c r="BU30" s="51">
        <f t="shared" ca="1" si="27"/>
        <v>0</v>
      </c>
      <c r="BV30" s="51">
        <f t="shared" ca="1" si="27"/>
        <v>0</v>
      </c>
      <c r="BW30" s="51">
        <f t="shared" ca="1" si="27"/>
        <v>0</v>
      </c>
    </row>
    <row r="31" spans="1:75" s="279" customFormat="1" x14ac:dyDescent="0.3">
      <c r="A31" s="278" t="s">
        <v>378</v>
      </c>
      <c r="C31" s="280">
        <f t="shared" ref="C31:AE31" si="28">C30/C16</f>
        <v>-0.24848277922410481</v>
      </c>
      <c r="D31" s="280">
        <f t="shared" si="28"/>
        <v>-0.11000605668219127</v>
      </c>
      <c r="E31" s="280">
        <f t="shared" si="28"/>
        <v>-0.10535688051748009</v>
      </c>
      <c r="F31" s="280">
        <f t="shared" si="28"/>
        <v>-0.14513713288985669</v>
      </c>
      <c r="G31" s="280">
        <f t="shared" si="28"/>
        <v>-0.13896598030438675</v>
      </c>
      <c r="H31" s="280">
        <f t="shared" si="28"/>
        <v>-0.15772676090682847</v>
      </c>
      <c r="I31" s="280">
        <f t="shared" si="28"/>
        <v>-6.2005019393109741E-2</v>
      </c>
      <c r="J31" s="280">
        <f t="shared" si="28"/>
        <v>-0.25920635517297547</v>
      </c>
      <c r="K31" s="280">
        <f t="shared" si="28"/>
        <v>-0.15469314241167034</v>
      </c>
      <c r="L31" s="280">
        <f t="shared" si="28"/>
        <v>-0.14943083754878839</v>
      </c>
      <c r="M31" s="280">
        <f t="shared" si="28"/>
        <v>-0.36084996549591775</v>
      </c>
      <c r="N31" s="280">
        <f t="shared" si="28"/>
        <v>-0.23782153298344824</v>
      </c>
      <c r="O31" s="280">
        <f t="shared" si="28"/>
        <v>-0.18389179344990228</v>
      </c>
      <c r="P31" s="280">
        <f t="shared" si="28"/>
        <v>-0.10599805689546439</v>
      </c>
      <c r="Q31" s="280">
        <f t="shared" si="28"/>
        <v>-0.17747592802169956</v>
      </c>
      <c r="R31" s="280">
        <f t="shared" si="28"/>
        <v>-0.12479132778094834</v>
      </c>
      <c r="S31" s="280">
        <f t="shared" si="28"/>
        <v>-6.9089209717677402E-2</v>
      </c>
      <c r="T31" s="280">
        <f t="shared" si="28"/>
        <v>-7.4835261096925329E-2</v>
      </c>
      <c r="U31" s="280">
        <f t="shared" si="28"/>
        <v>-5.2231466303776328E-2</v>
      </c>
      <c r="V31" s="280">
        <f t="shared" si="28"/>
        <v>-7.1801588852418885E-2</v>
      </c>
      <c r="W31" s="280">
        <f t="shared" si="28"/>
        <v>-5.8943983477070187E-2</v>
      </c>
      <c r="X31" s="280">
        <f t="shared" si="28"/>
        <v>-4.5258633340181487E-2</v>
      </c>
      <c r="Y31" s="280">
        <f t="shared" si="28"/>
        <v>-4.9915247665156266E-2</v>
      </c>
      <c r="Z31" s="280">
        <f t="shared" si="28"/>
        <v>-9.5932152213854441E-2</v>
      </c>
      <c r="AA31" s="280">
        <f t="shared" si="28"/>
        <v>-5.7756021670549502E-2</v>
      </c>
      <c r="AB31" s="280">
        <f t="shared" si="28"/>
        <v>-2.9710599281338422E-2</v>
      </c>
      <c r="AC31" s="280">
        <f t="shared" si="28"/>
        <v>-4.5214922425781172E-2</v>
      </c>
      <c r="AD31" s="280">
        <f t="shared" si="28"/>
        <v>-3.4997391429829459E-2</v>
      </c>
      <c r="AE31" s="280">
        <f t="shared" si="28"/>
        <v>-8.2411580135937593E-2</v>
      </c>
      <c r="AF31" s="280">
        <f>AF30/AF16</f>
        <v>-4.7659894661429558E-2</v>
      </c>
      <c r="AG31" s="280">
        <f ca="1">AG30/AG16</f>
        <v>-4.7659894661429558E-2</v>
      </c>
      <c r="AH31" s="280">
        <f t="shared" ref="AH31:BW31" ca="1" si="29">AH30/AH16</f>
        <v>-4.7659894661429558E-2</v>
      </c>
      <c r="AI31" s="280">
        <f ca="1">AI30/AI16</f>
        <v>-4.8379244959453185E-2</v>
      </c>
      <c r="AJ31" s="280">
        <f t="shared" ca="1" si="29"/>
        <v>-4.866024667832114E-2</v>
      </c>
      <c r="AK31" s="280">
        <f t="shared" ca="1" si="29"/>
        <v>-5.2250334811209331E-2</v>
      </c>
      <c r="AL31" s="280">
        <f t="shared" ca="1" si="29"/>
        <v>-5.3227517863756048E-2</v>
      </c>
      <c r="AM31" s="280">
        <f t="shared" ca="1" si="29"/>
        <v>-6.0085099077493292E-2</v>
      </c>
      <c r="AN31" s="280">
        <f ca="1">AN30/AN16</f>
        <v>-7.2327816482686505E-2</v>
      </c>
      <c r="AO31" s="280">
        <f t="shared" ca="1" si="29"/>
        <v>-8.3635872162733355E-2</v>
      </c>
      <c r="AP31" s="280">
        <f t="shared" ca="1" si="29"/>
        <v>-9.5711562893976962E-2</v>
      </c>
      <c r="AQ31" s="280">
        <f t="shared" ca="1" si="29"/>
        <v>-0.1086868319990308</v>
      </c>
      <c r="AR31" s="280">
        <f t="shared" ca="1" si="29"/>
        <v>-0.124951990247597</v>
      </c>
      <c r="AS31" s="280">
        <f t="shared" ca="1" si="29"/>
        <v>-0.14578340400824222</v>
      </c>
      <c r="AT31" s="280">
        <f t="shared" ca="1" si="29"/>
        <v>-0.16932789867234602</v>
      </c>
      <c r="AU31" s="280">
        <f t="shared" ca="1" si="29"/>
        <v>-0.17747592802169956</v>
      </c>
      <c r="AV31" s="280">
        <f t="shared" ca="1" si="29"/>
        <v>-0.17747592802169956</v>
      </c>
      <c r="AW31" s="280">
        <f t="shared" ca="1" si="29"/>
        <v>-0.17747592802169956</v>
      </c>
      <c r="AX31" s="280">
        <f t="shared" ca="1" si="29"/>
        <v>-0.17747592802169956</v>
      </c>
      <c r="AY31" s="280">
        <f t="shared" ca="1" si="29"/>
        <v>-0.17747592802169956</v>
      </c>
      <c r="AZ31" s="280">
        <f t="shared" ca="1" si="29"/>
        <v>-0.17747592802169956</v>
      </c>
      <c r="BA31" s="280">
        <f t="shared" ca="1" si="29"/>
        <v>-0.17747592802169956</v>
      </c>
      <c r="BB31" s="280">
        <f t="shared" ca="1" si="29"/>
        <v>-0.17747592802169956</v>
      </c>
      <c r="BC31" s="280">
        <f t="shared" ca="1" si="29"/>
        <v>-0.17747592802169954</v>
      </c>
      <c r="BD31" s="280">
        <f t="shared" ca="1" si="29"/>
        <v>-0.17747592802169959</v>
      </c>
      <c r="BE31" s="280">
        <f t="shared" ca="1" si="29"/>
        <v>-0.17747592802169956</v>
      </c>
      <c r="BF31" s="280">
        <f t="shared" ca="1" si="29"/>
        <v>-0.17747592802169956</v>
      </c>
      <c r="BG31" s="280">
        <f t="shared" ca="1" si="29"/>
        <v>-0.17747592802169956</v>
      </c>
      <c r="BH31" s="280">
        <f t="shared" ca="1" si="29"/>
        <v>-0.17747592802169956</v>
      </c>
      <c r="BI31" s="280">
        <f t="shared" ca="1" si="29"/>
        <v>-0.17747592802169956</v>
      </c>
      <c r="BJ31" s="280" t="e">
        <f t="shared" ca="1" si="29"/>
        <v>#DIV/0!</v>
      </c>
      <c r="BK31" s="280" t="e">
        <f t="shared" ca="1" si="29"/>
        <v>#DIV/0!</v>
      </c>
      <c r="BL31" s="280" t="e">
        <f t="shared" ca="1" si="29"/>
        <v>#DIV/0!</v>
      </c>
      <c r="BM31" s="280" t="e">
        <f t="shared" ca="1" si="29"/>
        <v>#DIV/0!</v>
      </c>
      <c r="BN31" s="280" t="e">
        <f t="shared" ca="1" si="29"/>
        <v>#DIV/0!</v>
      </c>
      <c r="BO31" s="280" t="e">
        <f t="shared" ca="1" si="29"/>
        <v>#DIV/0!</v>
      </c>
      <c r="BP31" s="280" t="e">
        <f t="shared" ca="1" si="29"/>
        <v>#DIV/0!</v>
      </c>
      <c r="BQ31" s="280" t="e">
        <f t="shared" ca="1" si="29"/>
        <v>#DIV/0!</v>
      </c>
      <c r="BR31" s="280" t="e">
        <f t="shared" ca="1" si="29"/>
        <v>#DIV/0!</v>
      </c>
      <c r="BS31" s="280" t="e">
        <f t="shared" ca="1" si="29"/>
        <v>#DIV/0!</v>
      </c>
      <c r="BT31" s="280" t="e">
        <f t="shared" ca="1" si="29"/>
        <v>#DIV/0!</v>
      </c>
      <c r="BU31" s="280" t="e">
        <f t="shared" ca="1" si="29"/>
        <v>#DIV/0!</v>
      </c>
      <c r="BV31" s="280" t="e">
        <f t="shared" ca="1" si="29"/>
        <v>#DIV/0!</v>
      </c>
      <c r="BW31" s="280" t="e">
        <f t="shared" ca="1" si="29"/>
        <v>#DIV/0!</v>
      </c>
    </row>
    <row r="32" spans="1:75" x14ac:dyDescent="0.3">
      <c r="A32" s="47" t="s">
        <v>183</v>
      </c>
      <c r="B32" s="47"/>
      <c r="C32" s="53"/>
      <c r="D32" s="54">
        <v>-148</v>
      </c>
      <c r="E32" s="49">
        <v>-980</v>
      </c>
      <c r="F32" s="49">
        <v>1128</v>
      </c>
      <c r="G32" s="51">
        <f t="shared" si="23"/>
        <v>0</v>
      </c>
      <c r="H32" s="49">
        <v>0</v>
      </c>
      <c r="I32" s="49">
        <v>-67</v>
      </c>
      <c r="J32" s="49">
        <v>-199</v>
      </c>
      <c r="K32" s="49">
        <v>266</v>
      </c>
      <c r="L32" s="51">
        <f t="shared" ref="L32:L49" si="30">SUM(H32:K32)</f>
        <v>0</v>
      </c>
      <c r="M32" s="49">
        <v>0</v>
      </c>
      <c r="N32" s="49" t="s">
        <v>233</v>
      </c>
      <c r="O32" s="49">
        <v>-254</v>
      </c>
      <c r="P32" s="49">
        <v>-149</v>
      </c>
      <c r="Q32" s="51">
        <f t="shared" si="24"/>
        <v>-403</v>
      </c>
      <c r="R32" s="49">
        <v>-6900</v>
      </c>
      <c r="S32" s="49">
        <v>-937</v>
      </c>
      <c r="T32" s="49">
        <v>-914</v>
      </c>
      <c r="U32" s="49">
        <v>-1511</v>
      </c>
      <c r="V32" s="51">
        <f t="shared" si="25"/>
        <v>-10262</v>
      </c>
      <c r="W32" s="49">
        <v>-6955</v>
      </c>
      <c r="X32" s="49">
        <v>-7168</v>
      </c>
      <c r="Y32" s="49">
        <v>-298</v>
      </c>
      <c r="Z32" s="49">
        <v>-438</v>
      </c>
      <c r="AA32" s="51">
        <f>SUM(W32:Z32)</f>
        <v>-14859</v>
      </c>
      <c r="AB32" s="49">
        <v>0</v>
      </c>
      <c r="AC32" s="49">
        <v>-1108</v>
      </c>
      <c r="AD32" s="49">
        <v>-1279</v>
      </c>
      <c r="AE32" s="49">
        <v>-21975</v>
      </c>
      <c r="AF32" s="51">
        <f t="shared" ref="AF32:AF41" si="31">SUM(AB32:AE32)</f>
        <v>-24362</v>
      </c>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row>
    <row r="33" spans="1:75" x14ac:dyDescent="0.3">
      <c r="A33" s="47" t="s">
        <v>184</v>
      </c>
      <c r="B33" s="47"/>
      <c r="C33" s="53"/>
      <c r="D33" s="54">
        <v>-9176</v>
      </c>
      <c r="E33" s="49">
        <v>-8635</v>
      </c>
      <c r="F33" s="49">
        <v>17811</v>
      </c>
      <c r="G33" s="51">
        <f t="shared" si="23"/>
        <v>0</v>
      </c>
      <c r="H33" s="49">
        <v>0</v>
      </c>
      <c r="I33" s="49">
        <v>-10863</v>
      </c>
      <c r="J33" s="49">
        <v>-15999</v>
      </c>
      <c r="K33" s="49">
        <v>26862</v>
      </c>
      <c r="L33" s="51">
        <f t="shared" si="30"/>
        <v>0</v>
      </c>
      <c r="M33" s="49">
        <v>0</v>
      </c>
      <c r="N33" s="49">
        <v>-4626</v>
      </c>
      <c r="O33" s="49">
        <v>-22406</v>
      </c>
      <c r="P33" s="49">
        <v>-10821</v>
      </c>
      <c r="Q33" s="51">
        <f t="shared" si="24"/>
        <v>-37853</v>
      </c>
      <c r="R33" s="49">
        <v>-23634</v>
      </c>
      <c r="S33" s="49">
        <v>-28057</v>
      </c>
      <c r="T33" s="49">
        <v>-27050</v>
      </c>
      <c r="U33" s="49">
        <v>-36104</v>
      </c>
      <c r="V33" s="51">
        <f t="shared" si="25"/>
        <v>-114845</v>
      </c>
      <c r="W33" s="49">
        <v>-18842</v>
      </c>
      <c r="X33" s="49">
        <v>-36471</v>
      </c>
      <c r="Y33" s="49">
        <v>-25677</v>
      </c>
      <c r="Z33" s="49">
        <v>-39533</v>
      </c>
      <c r="AA33" s="51">
        <f t="shared" si="26"/>
        <v>-120523</v>
      </c>
      <c r="AB33" s="49">
        <v>-29798</v>
      </c>
      <c r="AC33" s="49">
        <v>-43125</v>
      </c>
      <c r="AD33" s="49">
        <v>-51311</v>
      </c>
      <c r="AE33" s="49">
        <v>-110463</v>
      </c>
      <c r="AF33" s="51">
        <f t="shared" si="31"/>
        <v>-234697</v>
      </c>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row>
    <row r="34" spans="1:75" x14ac:dyDescent="0.3">
      <c r="A34" s="47" t="s">
        <v>182</v>
      </c>
      <c r="B34" s="47"/>
      <c r="C34" s="53"/>
      <c r="D34" s="54">
        <v>-5823</v>
      </c>
      <c r="E34" s="49">
        <v>-5696</v>
      </c>
      <c r="F34" s="49">
        <v>-7786</v>
      </c>
      <c r="G34" s="51">
        <f t="shared" si="23"/>
        <v>-19305</v>
      </c>
      <c r="H34" s="49">
        <v>-2950</v>
      </c>
      <c r="I34" s="49">
        <v>-11175</v>
      </c>
      <c r="J34" s="49">
        <v>-188</v>
      </c>
      <c r="K34" s="49">
        <v>-10834</v>
      </c>
      <c r="L34" s="51">
        <f t="shared" si="30"/>
        <v>-25147</v>
      </c>
      <c r="M34" s="49">
        <v>-9495</v>
      </c>
      <c r="N34" s="49">
        <v>-9320</v>
      </c>
      <c r="O34" s="49">
        <v>-9949</v>
      </c>
      <c r="P34" s="49">
        <v>-14723</v>
      </c>
      <c r="Q34" s="51">
        <f t="shared" si="24"/>
        <v>-43487</v>
      </c>
      <c r="R34" s="49">
        <v>-3364</v>
      </c>
      <c r="S34" s="49">
        <v>-7360</v>
      </c>
      <c r="T34" s="49">
        <v>-6671</v>
      </c>
      <c r="U34" s="49">
        <v>-7757</v>
      </c>
      <c r="V34" s="51">
        <f t="shared" si="25"/>
        <v>-25152</v>
      </c>
      <c r="W34" s="49">
        <v>-22589</v>
      </c>
      <c r="X34" s="49">
        <v>-12671</v>
      </c>
      <c r="Y34" s="49">
        <v>-11493</v>
      </c>
      <c r="Z34" s="49">
        <v>27</v>
      </c>
      <c r="AA34" s="51">
        <f t="shared" si="26"/>
        <v>-46726</v>
      </c>
      <c r="AB34" s="49">
        <v>-20677</v>
      </c>
      <c r="AC34" s="49">
        <v>-14936</v>
      </c>
      <c r="AD34" s="49">
        <v>-23593</v>
      </c>
      <c r="AE34" s="49">
        <v>-9779</v>
      </c>
      <c r="AF34" s="51">
        <f t="shared" si="31"/>
        <v>-68985</v>
      </c>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row>
    <row r="35" spans="1:75" x14ac:dyDescent="0.3">
      <c r="A35" s="47" t="s">
        <v>185</v>
      </c>
      <c r="B35" s="47"/>
      <c r="C35" s="53"/>
      <c r="D35" s="54">
        <v>-9095</v>
      </c>
      <c r="E35" s="49">
        <v>-4761</v>
      </c>
      <c r="F35" s="49">
        <v>-19895</v>
      </c>
      <c r="G35" s="51">
        <f t="shared" si="23"/>
        <v>-33751</v>
      </c>
      <c r="H35" s="49">
        <v>-6791</v>
      </c>
      <c r="I35" s="49">
        <v>-6871</v>
      </c>
      <c r="J35" s="49">
        <v>-12711</v>
      </c>
      <c r="K35" s="49">
        <v>-8146</v>
      </c>
      <c r="L35" s="51">
        <f t="shared" si="30"/>
        <v>-34519</v>
      </c>
      <c r="M35" s="49">
        <v>-16461</v>
      </c>
      <c r="N35" s="49">
        <v>-11797</v>
      </c>
      <c r="O35" s="49">
        <v>-5632</v>
      </c>
      <c r="P35" s="49">
        <v>-12352</v>
      </c>
      <c r="Q35" s="51">
        <f t="shared" si="24"/>
        <v>-46242</v>
      </c>
      <c r="R35" s="49">
        <v>-12131</v>
      </c>
      <c r="S35" s="49">
        <v>-11779</v>
      </c>
      <c r="T35" s="49">
        <v>-6965</v>
      </c>
      <c r="U35" s="49">
        <v>-16838</v>
      </c>
      <c r="V35" s="51">
        <f t="shared" si="25"/>
        <v>-47713</v>
      </c>
      <c r="W35" s="49">
        <v>-15685</v>
      </c>
      <c r="X35" s="49">
        <v>-2021</v>
      </c>
      <c r="Y35" s="49">
        <v>-20206</v>
      </c>
      <c r="Z35" s="49">
        <v>-23252</v>
      </c>
      <c r="AA35" s="51">
        <f t="shared" si="26"/>
        <v>-61164</v>
      </c>
      <c r="AB35" s="49">
        <v>-7083</v>
      </c>
      <c r="AC35" s="49">
        <v>-17802</v>
      </c>
      <c r="AD35" s="49">
        <v>-30062</v>
      </c>
      <c r="AE35" s="49">
        <v>-18068</v>
      </c>
      <c r="AF35" s="51">
        <f t="shared" si="31"/>
        <v>-73015</v>
      </c>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row>
    <row r="36" spans="1:75" x14ac:dyDescent="0.3">
      <c r="A36" s="47" t="s">
        <v>186</v>
      </c>
      <c r="B36" s="47"/>
      <c r="C36" s="53"/>
      <c r="D36" s="54">
        <v>-1496</v>
      </c>
      <c r="E36" s="49">
        <v>-2929</v>
      </c>
      <c r="F36" s="49">
        <v>-1122</v>
      </c>
      <c r="G36" s="51">
        <f t="shared" si="23"/>
        <v>-5547</v>
      </c>
      <c r="H36" s="49">
        <v>-699</v>
      </c>
      <c r="I36" s="49">
        <v>-3151</v>
      </c>
      <c r="J36" s="49">
        <v>509</v>
      </c>
      <c r="K36" s="49">
        <v>-7789</v>
      </c>
      <c r="L36" s="51">
        <f t="shared" si="30"/>
        <v>-11130</v>
      </c>
      <c r="M36" s="49">
        <v>-2296</v>
      </c>
      <c r="N36" s="49">
        <v>-1503</v>
      </c>
      <c r="O36" s="49">
        <v>-7753</v>
      </c>
      <c r="P36" s="49">
        <v>-4826</v>
      </c>
      <c r="Q36" s="51">
        <f t="shared" si="24"/>
        <v>-16378</v>
      </c>
      <c r="R36" s="49">
        <v>-5759</v>
      </c>
      <c r="S36" s="49">
        <v>2578</v>
      </c>
      <c r="T36" s="49">
        <v>-270</v>
      </c>
      <c r="U36" s="49">
        <v>-3244</v>
      </c>
      <c r="V36" s="51">
        <f t="shared" si="25"/>
        <v>-6695</v>
      </c>
      <c r="W36" s="49">
        <v>-3463</v>
      </c>
      <c r="X36" s="49">
        <v>-5742</v>
      </c>
      <c r="Y36" s="49">
        <v>-2310</v>
      </c>
      <c r="Z36" s="49">
        <v>-215</v>
      </c>
      <c r="AA36" s="51">
        <f t="shared" si="26"/>
        <v>-11730</v>
      </c>
      <c r="AB36" s="49">
        <v>-4738</v>
      </c>
      <c r="AC36" s="49">
        <v>-6839</v>
      </c>
      <c r="AD36" s="49">
        <v>-10089</v>
      </c>
      <c r="AE36" s="49">
        <v>-7478</v>
      </c>
      <c r="AF36" s="51">
        <f t="shared" si="31"/>
        <v>-29144</v>
      </c>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row>
    <row r="37" spans="1:75" x14ac:dyDescent="0.3">
      <c r="A37" s="47" t="s">
        <v>187</v>
      </c>
      <c r="B37" s="47"/>
      <c r="C37" s="53"/>
      <c r="D37" s="54">
        <v>-598</v>
      </c>
      <c r="E37" s="49">
        <v>-665</v>
      </c>
      <c r="F37" s="49">
        <v>-1067</v>
      </c>
      <c r="G37" s="51">
        <f t="shared" si="23"/>
        <v>-2330</v>
      </c>
      <c r="H37" s="49">
        <v>0</v>
      </c>
      <c r="I37" s="49">
        <v>-2066</v>
      </c>
      <c r="J37" s="49">
        <v>-39507</v>
      </c>
      <c r="K37" s="49">
        <v>-84507</v>
      </c>
      <c r="L37" s="51">
        <f t="shared" si="30"/>
        <v>-126080</v>
      </c>
      <c r="M37" s="49">
        <v>-41571</v>
      </c>
      <c r="N37" s="49">
        <v>-46956</v>
      </c>
      <c r="O37" s="49">
        <v>-54578</v>
      </c>
      <c r="P37" s="49">
        <v>-50411</v>
      </c>
      <c r="Q37" s="51">
        <f t="shared" si="24"/>
        <v>-193516</v>
      </c>
      <c r="R37" s="49">
        <v>-29992</v>
      </c>
      <c r="S37" s="49">
        <v>-25112</v>
      </c>
      <c r="T37" s="49">
        <v>-28439</v>
      </c>
      <c r="U37" s="49">
        <v>-27430</v>
      </c>
      <c r="V37" s="51">
        <f t="shared" si="25"/>
        <v>-110973</v>
      </c>
      <c r="W37" s="49">
        <v>-22650</v>
      </c>
      <c r="X37" s="49">
        <v>-20741</v>
      </c>
      <c r="Y37" s="49">
        <v>-39137</v>
      </c>
      <c r="Z37" s="49">
        <v>-29999</v>
      </c>
      <c r="AA37" s="51">
        <f t="shared" si="26"/>
        <v>-112527</v>
      </c>
      <c r="AB37" s="49">
        <v>-21338</v>
      </c>
      <c r="AC37" s="49">
        <v>-20691</v>
      </c>
      <c r="AD37" s="49">
        <v>-16085</v>
      </c>
      <c r="AE37" s="49">
        <v>-79076</v>
      </c>
      <c r="AF37" s="51">
        <f t="shared" si="31"/>
        <v>-137190</v>
      </c>
      <c r="AG37" s="51">
        <f ca="1">IF(AG$11=0,0,AF37*(1+AG$6))</f>
        <v>-142364.53242</v>
      </c>
      <c r="AH37" s="51">
        <f t="shared" ref="AH37:BW37" ca="1" si="32">IF(AH$11=0,0,AG37*(1+AH$6))</f>
        <v>-147354.40928132102</v>
      </c>
      <c r="AI37" s="51">
        <f t="shared" ca="1" si="32"/>
        <v>-152511.81360616724</v>
      </c>
      <c r="AJ37" s="51">
        <f t="shared" ca="1" si="32"/>
        <v>-157849.72708238309</v>
      </c>
      <c r="AK37" s="51">
        <f t="shared" ca="1" si="32"/>
        <v>-163374.4675302665</v>
      </c>
      <c r="AL37" s="51">
        <f t="shared" ca="1" si="32"/>
        <v>-168275.70155617449</v>
      </c>
      <c r="AM37" s="51">
        <f t="shared" ca="1" si="32"/>
        <v>-173323.97260285972</v>
      </c>
      <c r="AN37" s="51">
        <f t="shared" ca="1" si="32"/>
        <v>-178523.69178094552</v>
      </c>
      <c r="AO37" s="51">
        <f t="shared" ca="1" si="32"/>
        <v>-183879.40253437389</v>
      </c>
      <c r="AP37" s="51">
        <f t="shared" ca="1" si="32"/>
        <v>-189395.7846104051</v>
      </c>
      <c r="AQ37" s="51">
        <f t="shared" ca="1" si="32"/>
        <v>-195077.65814871725</v>
      </c>
      <c r="AR37" s="51">
        <f t="shared" ca="1" si="32"/>
        <v>-200929.98789317877</v>
      </c>
      <c r="AS37" s="51">
        <f t="shared" ca="1" si="32"/>
        <v>-206957.88752997413</v>
      </c>
      <c r="AT37" s="51">
        <f t="shared" ca="1" si="32"/>
        <v>-213166.62415587337</v>
      </c>
      <c r="AU37" s="51">
        <f t="shared" ca="1" si="32"/>
        <v>-219561.62288054958</v>
      </c>
      <c r="AV37" s="51">
        <f t="shared" ca="1" si="32"/>
        <v>-226148.47156696607</v>
      </c>
      <c r="AW37" s="51">
        <f t="shared" ca="1" si="32"/>
        <v>-232932.92571397504</v>
      </c>
      <c r="AX37" s="51">
        <f t="shared" ca="1" si="32"/>
        <v>-239920.9134853943</v>
      </c>
      <c r="AY37" s="51">
        <f t="shared" ca="1" si="32"/>
        <v>-247118.54088995614</v>
      </c>
      <c r="AZ37" s="51">
        <f t="shared" ca="1" si="32"/>
        <v>-254532.09711665483</v>
      </c>
      <c r="BA37" s="51">
        <f t="shared" ca="1" si="32"/>
        <v>-262168.06003015448</v>
      </c>
      <c r="BB37" s="51">
        <f t="shared" ca="1" si="32"/>
        <v>-270033.10183105915</v>
      </c>
      <c r="BC37" s="51">
        <f t="shared" ca="1" si="32"/>
        <v>-278134.09488599095</v>
      </c>
      <c r="BD37" s="51">
        <f t="shared" ca="1" si="32"/>
        <v>-286478.11773257068</v>
      </c>
      <c r="BE37" s="51">
        <f t="shared" ca="1" si="32"/>
        <v>-295072.46126454783</v>
      </c>
      <c r="BF37" s="51">
        <f t="shared" ca="1" si="32"/>
        <v>-303924.63510248426</v>
      </c>
      <c r="BG37" s="51">
        <f t="shared" ca="1" si="32"/>
        <v>-313042.37415555882</v>
      </c>
      <c r="BH37" s="51">
        <f t="shared" ca="1" si="32"/>
        <v>-322433.64538022561</v>
      </c>
      <c r="BI37" s="51">
        <f t="shared" ca="1" si="32"/>
        <v>-332106.6547416324</v>
      </c>
      <c r="BJ37" s="51">
        <f t="shared" ca="1" si="32"/>
        <v>0</v>
      </c>
      <c r="BK37" s="51">
        <f t="shared" ca="1" si="32"/>
        <v>0</v>
      </c>
      <c r="BL37" s="51">
        <f t="shared" ca="1" si="32"/>
        <v>0</v>
      </c>
      <c r="BM37" s="51">
        <f t="shared" ca="1" si="32"/>
        <v>0</v>
      </c>
      <c r="BN37" s="51">
        <f t="shared" ca="1" si="32"/>
        <v>0</v>
      </c>
      <c r="BO37" s="51">
        <f t="shared" ca="1" si="32"/>
        <v>0</v>
      </c>
      <c r="BP37" s="51">
        <f t="shared" ca="1" si="32"/>
        <v>0</v>
      </c>
      <c r="BQ37" s="51">
        <f t="shared" ca="1" si="32"/>
        <v>0</v>
      </c>
      <c r="BR37" s="51">
        <f t="shared" ca="1" si="32"/>
        <v>0</v>
      </c>
      <c r="BS37" s="51">
        <f t="shared" ca="1" si="32"/>
        <v>0</v>
      </c>
      <c r="BT37" s="51">
        <f t="shared" ca="1" si="32"/>
        <v>0</v>
      </c>
      <c r="BU37" s="51">
        <f t="shared" ca="1" si="32"/>
        <v>0</v>
      </c>
      <c r="BV37" s="51">
        <f t="shared" ca="1" si="32"/>
        <v>0</v>
      </c>
      <c r="BW37" s="51">
        <f t="shared" ca="1" si="32"/>
        <v>0</v>
      </c>
    </row>
    <row r="38" spans="1:75" x14ac:dyDescent="0.3">
      <c r="A38" s="42" t="s">
        <v>188</v>
      </c>
      <c r="B38" s="42"/>
      <c r="C38" s="51">
        <f>-'DRE - Economática'!AI199</f>
        <v>0</v>
      </c>
      <c r="D38" s="51">
        <f>-('DRE - Economática'!AJ199-'DRE - Economática'!AI199)</f>
        <v>0</v>
      </c>
      <c r="E38" s="51">
        <f>-('DRE - Economática'!AK199-'DRE - Economática'!AJ199)</f>
        <v>-64</v>
      </c>
      <c r="F38" s="51">
        <f>-('DRE - Economática'!AL199-'DRE - Economática'!AK199)</f>
        <v>-25</v>
      </c>
      <c r="G38" s="51">
        <f t="shared" si="23"/>
        <v>-89</v>
      </c>
      <c r="H38" s="51">
        <f>-'DRE - Economática'!AM199</f>
        <v>0</v>
      </c>
      <c r="I38" s="51">
        <f>-('DRE - Economática'!AN199-'DRE - Economática'!AM199)</f>
        <v>0</v>
      </c>
      <c r="J38" s="51">
        <f>-('DRE - Economática'!AO199-'DRE - Economática'!AN199)</f>
        <v>0</v>
      </c>
      <c r="K38" s="51">
        <f>-('DRE - Economática'!AP199-'DRE - Economática'!AO199)</f>
        <v>0</v>
      </c>
      <c r="L38" s="51">
        <f t="shared" si="30"/>
        <v>0</v>
      </c>
      <c r="M38" s="51">
        <f>-'DRE - Economática'!AQ199</f>
        <v>0</v>
      </c>
      <c r="N38" s="51">
        <f>-('DRE - Economática'!AR199-'DRE - Economática'!AQ199)</f>
        <v>0</v>
      </c>
      <c r="O38" s="51">
        <f>-('DRE - Economática'!AS199-'DRE - Economática'!AR199)</f>
        <v>0</v>
      </c>
      <c r="P38" s="51">
        <f>-('DRE - Economática'!AT199-'DRE - Economática'!AS199)</f>
        <v>0</v>
      </c>
      <c r="Q38" s="51">
        <f t="shared" si="24"/>
        <v>0</v>
      </c>
      <c r="R38" s="51">
        <f>-'DRE - Economática'!AU199</f>
        <v>0</v>
      </c>
      <c r="S38" s="51">
        <f>-('DRE - Economática'!AV199-'DRE - Economática'!AU199)</f>
        <v>0</v>
      </c>
      <c r="T38" s="51">
        <f>-('DRE - Economática'!AW199-'DRE - Economática'!AV199)</f>
        <v>0</v>
      </c>
      <c r="U38" s="51">
        <f>-('DRE - Economática'!AX199-'DRE - Economática'!AW199)</f>
        <v>0</v>
      </c>
      <c r="V38" s="51">
        <f t="shared" si="25"/>
        <v>0</v>
      </c>
      <c r="W38" s="51">
        <f>-'DRE - Economática'!AY199</f>
        <v>0</v>
      </c>
      <c r="X38" s="51">
        <f>-('DRE - Economática'!AZ199-'DRE - Economática'!AY199)</f>
        <v>0</v>
      </c>
      <c r="Y38" s="51">
        <f>-('DRE - Economática'!BA199-'DRE - Economática'!AZ199)</f>
        <v>0</v>
      </c>
      <c r="Z38" s="51">
        <f>-('DRE - Economática'!BB199-'DRE - Economática'!BA199)</f>
        <v>0</v>
      </c>
      <c r="AA38" s="51">
        <f t="shared" si="26"/>
        <v>0</v>
      </c>
      <c r="AB38" s="51">
        <f>-'DRE - Economática'!BC199</f>
        <v>0</v>
      </c>
      <c r="AC38" s="51">
        <f>-('DRE - Economática'!BD199-'DRE - Economática'!BC199)</f>
        <v>0</v>
      </c>
      <c r="AD38" s="51">
        <f>-('DRE - Economática'!BE199-'DRE - Economática'!BD199)</f>
        <v>0</v>
      </c>
      <c r="AE38" s="51">
        <f>-('DRE - Economática'!BF199-'DRE - Economática'!BE199)</f>
        <v>0</v>
      </c>
      <c r="AF38" s="51">
        <f t="shared" si="31"/>
        <v>0</v>
      </c>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row>
    <row r="39" spans="1:75" x14ac:dyDescent="0.3">
      <c r="A39" s="42" t="s">
        <v>189</v>
      </c>
      <c r="B39" s="42"/>
      <c r="C39" s="51">
        <f>'DRE - Economática'!AI200</f>
        <v>3533</v>
      </c>
      <c r="D39" s="51">
        <f>('DRE - Economática'!AJ200-'DRE - Economática'!AI200)</f>
        <v>-6893</v>
      </c>
      <c r="E39" s="51">
        <f>('DRE - Economática'!AK200-'DRE - Economática'!AJ200)</f>
        <v>-15839</v>
      </c>
      <c r="F39" s="51">
        <f>('DRE - Economática'!AL200-'DRE - Economática'!AK200)</f>
        <v>19199</v>
      </c>
      <c r="G39" s="51">
        <f t="shared" si="23"/>
        <v>0</v>
      </c>
      <c r="H39" s="51">
        <f>'DRE - Economática'!AM200</f>
        <v>306</v>
      </c>
      <c r="I39" s="51">
        <f>('DRE - Economática'!AN200-'DRE - Economática'!AM200)</f>
        <v>-32571</v>
      </c>
      <c r="J39" s="51">
        <f>('DRE - Economática'!AO200-'DRE - Economática'!AN200)</f>
        <v>32265</v>
      </c>
      <c r="K39" s="51">
        <f>('DRE - Economática'!AP200-'DRE - Economática'!AO200)</f>
        <v>0</v>
      </c>
      <c r="L39" s="51">
        <f t="shared" si="30"/>
        <v>0</v>
      </c>
      <c r="M39" s="51">
        <f>'DRE - Economática'!AQ200</f>
        <v>115104</v>
      </c>
      <c r="N39" s="51">
        <f>('DRE - Economática'!AR200-'DRE - Economática'!AQ200)</f>
        <v>89603</v>
      </c>
      <c r="O39" s="51">
        <f>('DRE - Economática'!AS200-'DRE - Economática'!AR200)</f>
        <v>28505</v>
      </c>
      <c r="P39" s="51">
        <f>('DRE - Economática'!AT200-'DRE - Economática'!AS200)</f>
        <v>-233212</v>
      </c>
      <c r="Q39" s="51">
        <f t="shared" si="24"/>
        <v>0</v>
      </c>
      <c r="R39" s="51">
        <f>'DRE - Economática'!AU200</f>
        <v>0</v>
      </c>
      <c r="S39" s="51">
        <f>('DRE - Economática'!AV200-'DRE - Economática'!AU200)</f>
        <v>0</v>
      </c>
      <c r="T39" s="51">
        <f>('DRE - Economática'!AW200-'DRE - Economática'!AV200)</f>
        <v>0</v>
      </c>
      <c r="U39" s="51">
        <f>('DRE - Economática'!AX200-'DRE - Economática'!AW200)</f>
        <v>0</v>
      </c>
      <c r="V39" s="51">
        <f t="shared" si="25"/>
        <v>0</v>
      </c>
      <c r="W39" s="51">
        <f>'DRE - Economática'!AY200</f>
        <v>0</v>
      </c>
      <c r="X39" s="51">
        <f>('DRE - Economática'!AZ200-'DRE - Economática'!AY200)</f>
        <v>0</v>
      </c>
      <c r="Y39" s="51">
        <f>('DRE - Economática'!BA200-'DRE - Economática'!AZ200)</f>
        <v>0</v>
      </c>
      <c r="Z39" s="51">
        <f>('DRE - Economática'!BB200-'DRE - Economática'!BA200)</f>
        <v>26570</v>
      </c>
      <c r="AA39" s="51">
        <f t="shared" si="26"/>
        <v>26570</v>
      </c>
      <c r="AB39" s="51">
        <f>'DRE - Economática'!BC200</f>
        <v>0</v>
      </c>
      <c r="AC39" s="51">
        <f>('DRE - Economática'!BD200-'DRE - Economática'!BC200)</f>
        <v>436607</v>
      </c>
      <c r="AD39" s="51">
        <f>('DRE - Economática'!BE200-'DRE - Economática'!BD200)</f>
        <v>-436607</v>
      </c>
      <c r="AE39" s="51">
        <f>('DRE - Economática'!BF200-'DRE - Economática'!BE200)</f>
        <v>64351</v>
      </c>
      <c r="AF39" s="51">
        <f t="shared" si="31"/>
        <v>64351</v>
      </c>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row>
    <row r="40" spans="1:75" x14ac:dyDescent="0.3">
      <c r="A40" s="42" t="s">
        <v>190</v>
      </c>
      <c r="B40" s="42"/>
      <c r="C40" s="51">
        <f>-'DRE - Economática'!AI201</f>
        <v>0</v>
      </c>
      <c r="D40" s="51">
        <f>-('DRE - Economática'!AJ201-'DRE - Economática'!AI201)</f>
        <v>0</v>
      </c>
      <c r="E40" s="51">
        <f>-('DRE - Economática'!AK201-'DRE - Economática'!AJ201)</f>
        <v>0</v>
      </c>
      <c r="F40" s="51">
        <f>-('DRE - Economática'!AL201-'DRE - Economática'!AK201)</f>
        <v>-31751</v>
      </c>
      <c r="G40" s="51">
        <f t="shared" si="23"/>
        <v>-31751</v>
      </c>
      <c r="H40" s="51">
        <f>-'DRE - Economática'!AM201</f>
        <v>0</v>
      </c>
      <c r="I40" s="51">
        <f>-('DRE - Economática'!AN201-'DRE - Economática'!AM201)</f>
        <v>0</v>
      </c>
      <c r="J40" s="51">
        <f>-('DRE - Economática'!AO201-'DRE - Economática'!AN201)</f>
        <v>-97811</v>
      </c>
      <c r="K40" s="51">
        <f>-('DRE - Economática'!AP201-'DRE - Economática'!AO201)</f>
        <v>517816</v>
      </c>
      <c r="L40" s="51">
        <f t="shared" si="30"/>
        <v>420005</v>
      </c>
      <c r="M40" s="51">
        <f>-'DRE - Economática'!AQ201</f>
        <v>0</v>
      </c>
      <c r="N40" s="51">
        <f>-('DRE - Economática'!AR201-'DRE - Economática'!AQ201)</f>
        <v>0</v>
      </c>
      <c r="O40" s="51">
        <f>-('DRE - Economática'!AS201-'DRE - Economática'!AR201)</f>
        <v>0</v>
      </c>
      <c r="P40" s="51">
        <f>-('DRE - Economática'!AT201-'DRE - Economática'!AS201)</f>
        <v>663437</v>
      </c>
      <c r="Q40" s="51">
        <f t="shared" si="24"/>
        <v>663437</v>
      </c>
      <c r="R40" s="51">
        <f>-'DRE - Economática'!AU201</f>
        <v>-20250</v>
      </c>
      <c r="S40" s="51">
        <f>-('DRE - Economática'!AV201-'DRE - Economática'!AU201)</f>
        <v>-62187</v>
      </c>
      <c r="T40" s="51">
        <f>-('DRE - Economática'!AW201-'DRE - Economática'!AV201)</f>
        <v>15776</v>
      </c>
      <c r="U40" s="51">
        <f>-('DRE - Economática'!AX201-'DRE - Economática'!AW201)</f>
        <v>-8901</v>
      </c>
      <c r="V40" s="51">
        <f t="shared" si="25"/>
        <v>-75562</v>
      </c>
      <c r="W40" s="51">
        <f>-'DRE - Economática'!AY201</f>
        <v>-27003</v>
      </c>
      <c r="X40" s="51">
        <f>-('DRE - Economática'!AZ201-'DRE - Economática'!AY201)</f>
        <v>-109192</v>
      </c>
      <c r="Y40" s="51">
        <f>-('DRE - Economática'!BA201-'DRE - Economática'!AZ201)</f>
        <v>3238</v>
      </c>
      <c r="Z40" s="51">
        <f>-('DRE - Economática'!BB201-'DRE - Economática'!BA201)</f>
        <v>132957</v>
      </c>
      <c r="AA40" s="51">
        <f>SUM(W40:Z40)</f>
        <v>0</v>
      </c>
      <c r="AB40" s="51">
        <f>-'DRE - Economática'!BC201</f>
        <v>-132950</v>
      </c>
      <c r="AC40" s="51">
        <f>-('DRE - Economática'!BD201-'DRE - Economática'!BC201)</f>
        <v>-453885</v>
      </c>
      <c r="AD40" s="51">
        <f>-('DRE - Economática'!BE201-'DRE - Economática'!BD201)</f>
        <v>383458</v>
      </c>
      <c r="AE40" s="51">
        <f>-('DRE - Economática'!BF201-'DRE - Economática'!BE201)</f>
        <v>203377</v>
      </c>
      <c r="AF40" s="51">
        <f t="shared" si="31"/>
        <v>0</v>
      </c>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row>
    <row r="41" spans="1:75" x14ac:dyDescent="0.3">
      <c r="A41" s="42" t="s">
        <v>191</v>
      </c>
      <c r="B41" s="42"/>
      <c r="C41" s="51">
        <f>'DRE - Economática'!AI202</f>
        <v>0</v>
      </c>
      <c r="D41" s="51">
        <f>('DRE - Economática'!AJ202-'DRE - Economática'!AI202)</f>
        <v>0</v>
      </c>
      <c r="E41" s="51">
        <f>('DRE - Economática'!AK202-'DRE - Economática'!AJ202)</f>
        <v>0</v>
      </c>
      <c r="F41" s="51">
        <f>('DRE - Economática'!AL202-'DRE - Economática'!AK202)</f>
        <v>0</v>
      </c>
      <c r="G41" s="51">
        <f t="shared" si="23"/>
        <v>0</v>
      </c>
      <c r="H41" s="51">
        <f>'DRE - Economática'!AM202</f>
        <v>0</v>
      </c>
      <c r="I41" s="51">
        <f>('DRE - Economática'!AN202-'DRE - Economática'!AM202)</f>
        <v>0</v>
      </c>
      <c r="J41" s="51">
        <f>('DRE - Economática'!AO202-'DRE - Economática'!AN202)</f>
        <v>0</v>
      </c>
      <c r="K41" s="51">
        <f>('DRE - Economática'!AP202-'DRE - Economática'!AO202)</f>
        <v>0</v>
      </c>
      <c r="L41" s="51">
        <f t="shared" si="30"/>
        <v>0</v>
      </c>
      <c r="M41" s="51">
        <f>'DRE - Economática'!AQ202</f>
        <v>0</v>
      </c>
      <c r="N41" s="51">
        <f>('DRE - Economática'!AR202-'DRE - Economática'!AQ202)</f>
        <v>0</v>
      </c>
      <c r="O41" s="51">
        <f>('DRE - Economática'!AS202-'DRE - Economática'!AR202)</f>
        <v>0</v>
      </c>
      <c r="P41" s="51">
        <f>('DRE - Economática'!AT202-'DRE - Economática'!AS202)</f>
        <v>0</v>
      </c>
      <c r="Q41" s="51">
        <f t="shared" si="24"/>
        <v>0</v>
      </c>
      <c r="R41" s="51">
        <f>'DRE - Economática'!AU202</f>
        <v>0</v>
      </c>
      <c r="S41" s="51">
        <f>('DRE - Economática'!AV202-'DRE - Economática'!AU202)</f>
        <v>0</v>
      </c>
      <c r="T41" s="51">
        <f>('DRE - Economática'!AW202-'DRE - Economática'!AV202)</f>
        <v>0</v>
      </c>
      <c r="U41" s="51">
        <f>('DRE - Economática'!AX202-'DRE - Economática'!AW202)</f>
        <v>0</v>
      </c>
      <c r="V41" s="51">
        <f t="shared" si="25"/>
        <v>0</v>
      </c>
      <c r="W41" s="51">
        <f>'DRE - Economática'!AY202</f>
        <v>0</v>
      </c>
      <c r="X41" s="51">
        <f>('DRE - Economática'!AZ202-'DRE - Economática'!AY202)</f>
        <v>0</v>
      </c>
      <c r="Y41" s="51">
        <f>('DRE - Economática'!BA202-'DRE - Economática'!AZ202)</f>
        <v>0</v>
      </c>
      <c r="Z41" s="51">
        <f>('DRE - Economática'!BB202-'DRE - Economática'!BA202)</f>
        <v>0</v>
      </c>
      <c r="AA41" s="51">
        <f t="shared" si="26"/>
        <v>0</v>
      </c>
      <c r="AB41" s="51">
        <f>'DRE - Economática'!BC202</f>
        <v>0</v>
      </c>
      <c r="AC41" s="51">
        <f>('DRE - Economática'!BD202-'DRE - Economática'!BC202)</f>
        <v>0</v>
      </c>
      <c r="AD41" s="51">
        <f>('DRE - Economática'!BE202-'DRE - Economática'!BD202)</f>
        <v>0</v>
      </c>
      <c r="AE41" s="51">
        <f>('DRE - Economática'!BF202-'DRE - Economática'!BE202)</f>
        <v>0</v>
      </c>
      <c r="AF41" s="51">
        <f t="shared" si="31"/>
        <v>0</v>
      </c>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row>
    <row r="42" spans="1:75" x14ac:dyDescent="0.3">
      <c r="A42" s="42" t="s">
        <v>1171</v>
      </c>
      <c r="C42" s="53"/>
      <c r="D42" s="53"/>
      <c r="E42" s="53"/>
      <c r="F42" s="53"/>
      <c r="G42" s="53"/>
      <c r="H42" s="51">
        <f>'Fluxo de Caixa Planilhado'!H11</f>
        <v>-52958</v>
      </c>
      <c r="I42" s="51">
        <f>'Fluxo de Caixa Planilhado'!I11-H42</f>
        <v>-41994</v>
      </c>
      <c r="J42" s="51">
        <f>'Fluxo de Caixa Planilhado'!J11-I42-H42</f>
        <v>-28366</v>
      </c>
      <c r="K42" s="51">
        <f>'Fluxo de Caixa Planilhado'!K11-J42-I42-H42</f>
        <v>-131890</v>
      </c>
      <c r="L42" s="51">
        <f>'Fluxo de Caixa Planilhado'!L11</f>
        <v>-255208</v>
      </c>
      <c r="M42" s="51">
        <f>'Fluxo de Caixa Planilhado'!M11</f>
        <v>-67841</v>
      </c>
      <c r="N42" s="51">
        <f>'Fluxo de Caixa Planilhado'!N11-M42</f>
        <v>-41064</v>
      </c>
      <c r="O42" s="51">
        <f>'Fluxo de Caixa Planilhado'!O11-N42-M42</f>
        <v>-59900</v>
      </c>
      <c r="P42" s="51">
        <f>'Fluxo de Caixa Planilhado'!P11-O42-N42-M42</f>
        <v>-75369</v>
      </c>
      <c r="Q42" s="51">
        <f>'Fluxo de Caixa Planilhado'!Q11</f>
        <v>-244174</v>
      </c>
      <c r="R42" s="51">
        <f>'Fluxo de Caixa Planilhado'!R11</f>
        <v>-67841</v>
      </c>
      <c r="S42" s="51">
        <f>'Fluxo de Caixa Planilhado'!S11-R42</f>
        <v>-69884</v>
      </c>
      <c r="T42" s="51">
        <f>'Fluxo de Caixa Planilhado'!T11-S42-R42</f>
        <v>-35214</v>
      </c>
      <c r="U42" s="51">
        <f>'Fluxo de Caixa Planilhado'!U11-T42-S42-R42</f>
        <v>-10983</v>
      </c>
      <c r="V42" s="51">
        <f>'Fluxo de Caixa Planilhado'!V11</f>
        <v>-183922</v>
      </c>
      <c r="W42" s="51">
        <f>'Fluxo de Caixa Planilhado'!W11</f>
        <v>-25609</v>
      </c>
      <c r="X42" s="51">
        <f>'Fluxo de Caixa Planilhado'!X11-W42</f>
        <v>-33478</v>
      </c>
      <c r="Y42" s="51">
        <f>'Fluxo de Caixa Planilhado'!Y11-X42-W42</f>
        <v>-44344</v>
      </c>
      <c r="Z42" s="51">
        <f>'Fluxo de Caixa Planilhado'!Z11-Y42-X42-W42</f>
        <v>-249328</v>
      </c>
      <c r="AA42" s="51">
        <f>'Fluxo de Caixa Planilhado'!AA11</f>
        <v>-352759</v>
      </c>
      <c r="AB42" s="51">
        <f>'Fluxo de Caixa Planilhado'!AB11</f>
        <v>-31283</v>
      </c>
      <c r="AC42" s="51">
        <f>'Fluxo de Caixa Planilhado'!AC11-AB42</f>
        <v>-29552</v>
      </c>
      <c r="AD42" s="51">
        <f>'Fluxo de Caixa Planilhado'!AD11-AC42-AB42</f>
        <v>-76545</v>
      </c>
      <c r="AE42" s="51">
        <f>'Fluxo de Caixa Planilhado'!AE11-AD42-AC42-AB42</f>
        <v>-84024</v>
      </c>
      <c r="AF42" s="51">
        <f>'Fluxo de Caixa Planilhado'!AF11</f>
        <v>-221404</v>
      </c>
      <c r="AG42" s="51">
        <f ca="1">AG43*AG16</f>
        <v>-606710.34994196042</v>
      </c>
      <c r="AH42" s="51">
        <f t="shared" ref="AH42:BW42" ca="1" si="33">AH43*AH16</f>
        <v>-752293.89246921707</v>
      </c>
      <c r="AI42" s="51">
        <f t="shared" ca="1" si="33"/>
        <v>-767046.82698240108</v>
      </c>
      <c r="AJ42" s="51">
        <f t="shared" ca="1" si="33"/>
        <v>-789308.91398239764</v>
      </c>
      <c r="AK42" s="51">
        <f t="shared" ca="1" si="33"/>
        <v>-760803.64708678343</v>
      </c>
      <c r="AL42" s="51">
        <f t="shared" ca="1" si="33"/>
        <v>-769241.44291782076</v>
      </c>
      <c r="AM42" s="51">
        <f t="shared" ca="1" si="33"/>
        <v>-701890.44657131168</v>
      </c>
      <c r="AN42" s="51">
        <f t="shared" ca="1" si="33"/>
        <v>-600576.0141382789</v>
      </c>
      <c r="AO42" s="51">
        <f t="shared" ca="1" si="33"/>
        <v>-534955.8882996582</v>
      </c>
      <c r="AP42" s="51">
        <f t="shared" ca="1" si="33"/>
        <v>-481485.68429685134</v>
      </c>
      <c r="AQ42" s="51">
        <f t="shared" ca="1" si="33"/>
        <v>-436725.02825553634</v>
      </c>
      <c r="AR42" s="51">
        <f t="shared" ca="1" si="33"/>
        <v>-391272.25962689403</v>
      </c>
      <c r="AS42" s="51">
        <f t="shared" ca="1" si="33"/>
        <v>-345423.09763379855</v>
      </c>
      <c r="AT42" s="51">
        <f t="shared" ca="1" si="33"/>
        <v>-306314.93128238519</v>
      </c>
      <c r="AU42" s="51">
        <f t="shared" ca="1" si="33"/>
        <v>-278197.7083890604</v>
      </c>
      <c r="AV42" s="51">
        <f t="shared" ca="1" si="33"/>
        <v>-253951.93070157155</v>
      </c>
      <c r="AW42" s="51">
        <f t="shared" ca="1" si="33"/>
        <v>-206132.2870287525</v>
      </c>
      <c r="AX42" s="51">
        <f t="shared" ca="1" si="33"/>
        <v>-186030.72717338259</v>
      </c>
      <c r="AY42" s="51">
        <f t="shared" ca="1" si="33"/>
        <v>-168394.08861156728</v>
      </c>
      <c r="AZ42" s="51">
        <f t="shared" ca="1" si="33"/>
        <v>-151711.59654236704</v>
      </c>
      <c r="BA42" s="51">
        <f t="shared" ca="1" si="33"/>
        <v>-138804.17273032662</v>
      </c>
      <c r="BB42" s="51">
        <f t="shared" ca="1" si="33"/>
        <v>-124219.1894560993</v>
      </c>
      <c r="BC42" s="51">
        <f t="shared" ca="1" si="33"/>
        <v>-115945.46520188339</v>
      </c>
      <c r="BD42" s="51">
        <f t="shared" ca="1" si="33"/>
        <v>-109485.8623228896</v>
      </c>
      <c r="BE42" s="51">
        <f t="shared" ca="1" si="33"/>
        <v>-104038.95113789804</v>
      </c>
      <c r="BF42" s="51">
        <f t="shared" ca="1" si="33"/>
        <v>-93905.857575208007</v>
      </c>
      <c r="BG42" s="51">
        <f t="shared" ca="1" si="33"/>
        <v>-88191.041351110107</v>
      </c>
      <c r="BH42" s="51">
        <f t="shared" ca="1" si="33"/>
        <v>-84583.486038397576</v>
      </c>
      <c r="BI42" s="51">
        <f t="shared" ca="1" si="33"/>
        <v>-54656.65659765686</v>
      </c>
      <c r="BJ42" s="51">
        <f t="shared" ca="1" si="33"/>
        <v>0</v>
      </c>
      <c r="BK42" s="51">
        <f t="shared" ca="1" si="33"/>
        <v>0</v>
      </c>
      <c r="BL42" s="51">
        <f t="shared" ca="1" si="33"/>
        <v>0</v>
      </c>
      <c r="BM42" s="51">
        <f t="shared" ca="1" si="33"/>
        <v>0</v>
      </c>
      <c r="BN42" s="51">
        <f t="shared" ca="1" si="33"/>
        <v>0</v>
      </c>
      <c r="BO42" s="51">
        <f t="shared" ca="1" si="33"/>
        <v>0</v>
      </c>
      <c r="BP42" s="51">
        <f t="shared" ca="1" si="33"/>
        <v>0</v>
      </c>
      <c r="BQ42" s="51">
        <f t="shared" ca="1" si="33"/>
        <v>0</v>
      </c>
      <c r="BR42" s="51">
        <f t="shared" ca="1" si="33"/>
        <v>0</v>
      </c>
      <c r="BS42" s="51">
        <f t="shared" ca="1" si="33"/>
        <v>0</v>
      </c>
      <c r="BT42" s="51">
        <f t="shared" ca="1" si="33"/>
        <v>0</v>
      </c>
      <c r="BU42" s="51">
        <f t="shared" ca="1" si="33"/>
        <v>0</v>
      </c>
      <c r="BV42" s="51">
        <f t="shared" ca="1" si="33"/>
        <v>0</v>
      </c>
      <c r="BW42" s="51">
        <f t="shared" ca="1" si="33"/>
        <v>0</v>
      </c>
    </row>
    <row r="43" spans="1:75" x14ac:dyDescent="0.3">
      <c r="A43" s="47" t="s">
        <v>378</v>
      </c>
      <c r="C43" s="53"/>
      <c r="D43" s="53"/>
      <c r="E43" s="53"/>
      <c r="F43" s="53"/>
      <c r="G43" s="53"/>
      <c r="H43" s="69">
        <f t="shared" ref="H43:AF43" si="34">H42/H16</f>
        <v>-0.37981510567951171</v>
      </c>
      <c r="I43" s="69">
        <f t="shared" si="34"/>
        <v>-7.6648870636550306E-2</v>
      </c>
      <c r="J43" s="69">
        <f t="shared" si="34"/>
        <v>-7.1084714756481093E-2</v>
      </c>
      <c r="K43" s="69">
        <f t="shared" si="34"/>
        <v>-0.23636412512656924</v>
      </c>
      <c r="L43" s="69">
        <f t="shared" si="34"/>
        <v>-0.15520334528134588</v>
      </c>
      <c r="M43" s="69">
        <f t="shared" si="34"/>
        <v>-0.303998888699689</v>
      </c>
      <c r="N43" s="69">
        <f t="shared" si="34"/>
        <v>-0.13149190023471546</v>
      </c>
      <c r="O43" s="69">
        <f t="shared" si="34"/>
        <v>-0.12257133795107378</v>
      </c>
      <c r="P43" s="69">
        <f t="shared" si="34"/>
        <v>-8.5643184646065212E-2</v>
      </c>
      <c r="Q43" s="69">
        <f t="shared" si="34"/>
        <v>-0.12823018771810513</v>
      </c>
      <c r="R43" s="69">
        <f t="shared" si="34"/>
        <v>-0.10352125786240299</v>
      </c>
      <c r="S43" s="69">
        <f t="shared" si="34"/>
        <v>-6.8323691849238935E-2</v>
      </c>
      <c r="T43" s="69">
        <f t="shared" si="34"/>
        <v>-3.7480960961855929E-2</v>
      </c>
      <c r="U43" s="69">
        <f t="shared" si="34"/>
        <v>-6.176071168493771E-3</v>
      </c>
      <c r="V43" s="69">
        <f t="shared" si="34"/>
        <v>-4.1838460983761837E-2</v>
      </c>
      <c r="W43" s="69">
        <f t="shared" si="34"/>
        <v>-1.6737963195958157E-2</v>
      </c>
      <c r="X43" s="69">
        <f t="shared" si="34"/>
        <v>-1.7864604038986438E-2</v>
      </c>
      <c r="Y43" s="69">
        <f t="shared" si="34"/>
        <v>-2.233070431557076E-2</v>
      </c>
      <c r="Z43" s="69">
        <f t="shared" si="34"/>
        <v>-0.25606007544348464</v>
      </c>
      <c r="AA43" s="69">
        <f t="shared" si="34"/>
        <v>-5.5434962815128525E-2</v>
      </c>
      <c r="AB43" s="69">
        <f t="shared" si="34"/>
        <v>-1.1113143904609487E-2</v>
      </c>
      <c r="AC43" s="69">
        <f t="shared" si="34"/>
        <v>-1.2786398096924289E-2</v>
      </c>
      <c r="AD43" s="69">
        <f t="shared" si="34"/>
        <v>-2.0230294194913845E-2</v>
      </c>
      <c r="AE43" s="69">
        <f t="shared" si="34"/>
        <v>-2.8052903347291231E-2</v>
      </c>
      <c r="AF43" s="69">
        <f t="shared" si="34"/>
        <v>-1.8597500000209995E-2</v>
      </c>
      <c r="AG43" s="69">
        <f>AVERAGE(AA43,AF43)</f>
        <v>-3.7016231407669256E-2</v>
      </c>
      <c r="AH43" s="69">
        <f>AG43</f>
        <v>-3.7016231407669256E-2</v>
      </c>
      <c r="AI43" s="69">
        <f t="shared" ref="AI43:BW43" si="35">AH43</f>
        <v>-3.7016231407669256E-2</v>
      </c>
      <c r="AJ43" s="69">
        <f t="shared" si="35"/>
        <v>-3.7016231407669256E-2</v>
      </c>
      <c r="AK43" s="69">
        <f t="shared" si="35"/>
        <v>-3.7016231407669256E-2</v>
      </c>
      <c r="AL43" s="69">
        <f t="shared" si="35"/>
        <v>-3.7016231407669256E-2</v>
      </c>
      <c r="AM43" s="69">
        <f t="shared" si="35"/>
        <v>-3.7016231407669256E-2</v>
      </c>
      <c r="AN43" s="69">
        <f t="shared" si="35"/>
        <v>-3.7016231407669256E-2</v>
      </c>
      <c r="AO43" s="69">
        <f t="shared" si="35"/>
        <v>-3.7016231407669256E-2</v>
      </c>
      <c r="AP43" s="69">
        <f t="shared" si="35"/>
        <v>-3.7016231407669256E-2</v>
      </c>
      <c r="AQ43" s="69">
        <f t="shared" si="35"/>
        <v>-3.7016231407669256E-2</v>
      </c>
      <c r="AR43" s="69">
        <f t="shared" si="35"/>
        <v>-3.7016231407669256E-2</v>
      </c>
      <c r="AS43" s="69">
        <f t="shared" si="35"/>
        <v>-3.7016231407669256E-2</v>
      </c>
      <c r="AT43" s="69">
        <f t="shared" si="35"/>
        <v>-3.7016231407669256E-2</v>
      </c>
      <c r="AU43" s="69">
        <f t="shared" si="35"/>
        <v>-3.7016231407669256E-2</v>
      </c>
      <c r="AV43" s="69">
        <f t="shared" si="35"/>
        <v>-3.7016231407669256E-2</v>
      </c>
      <c r="AW43" s="69">
        <f t="shared" si="35"/>
        <v>-3.7016231407669256E-2</v>
      </c>
      <c r="AX43" s="69">
        <f t="shared" si="35"/>
        <v>-3.7016231407669256E-2</v>
      </c>
      <c r="AY43" s="69">
        <f t="shared" si="35"/>
        <v>-3.7016231407669256E-2</v>
      </c>
      <c r="AZ43" s="69">
        <f t="shared" si="35"/>
        <v>-3.7016231407669256E-2</v>
      </c>
      <c r="BA43" s="69">
        <f t="shared" si="35"/>
        <v>-3.7016231407669256E-2</v>
      </c>
      <c r="BB43" s="69">
        <f t="shared" si="35"/>
        <v>-3.7016231407669256E-2</v>
      </c>
      <c r="BC43" s="69">
        <f t="shared" si="35"/>
        <v>-3.7016231407669256E-2</v>
      </c>
      <c r="BD43" s="69">
        <f t="shared" si="35"/>
        <v>-3.7016231407669256E-2</v>
      </c>
      <c r="BE43" s="69">
        <f t="shared" si="35"/>
        <v>-3.7016231407669256E-2</v>
      </c>
      <c r="BF43" s="69">
        <f t="shared" si="35"/>
        <v>-3.7016231407669256E-2</v>
      </c>
      <c r="BG43" s="69">
        <f t="shared" si="35"/>
        <v>-3.7016231407669256E-2</v>
      </c>
      <c r="BH43" s="69">
        <f t="shared" si="35"/>
        <v>-3.7016231407669256E-2</v>
      </c>
      <c r="BI43" s="69">
        <f t="shared" si="35"/>
        <v>-3.7016231407669256E-2</v>
      </c>
      <c r="BJ43" s="69">
        <f t="shared" si="35"/>
        <v>-3.7016231407669256E-2</v>
      </c>
      <c r="BK43" s="69">
        <f t="shared" si="35"/>
        <v>-3.7016231407669256E-2</v>
      </c>
      <c r="BL43" s="69">
        <f t="shared" si="35"/>
        <v>-3.7016231407669256E-2</v>
      </c>
      <c r="BM43" s="69">
        <f t="shared" si="35"/>
        <v>-3.7016231407669256E-2</v>
      </c>
      <c r="BN43" s="69">
        <f t="shared" si="35"/>
        <v>-3.7016231407669256E-2</v>
      </c>
      <c r="BO43" s="69">
        <f t="shared" si="35"/>
        <v>-3.7016231407669256E-2</v>
      </c>
      <c r="BP43" s="69">
        <f t="shared" si="35"/>
        <v>-3.7016231407669256E-2</v>
      </c>
      <c r="BQ43" s="69">
        <f t="shared" si="35"/>
        <v>-3.7016231407669256E-2</v>
      </c>
      <c r="BR43" s="69">
        <f t="shared" si="35"/>
        <v>-3.7016231407669256E-2</v>
      </c>
      <c r="BS43" s="69">
        <f t="shared" si="35"/>
        <v>-3.7016231407669256E-2</v>
      </c>
      <c r="BT43" s="69">
        <f t="shared" si="35"/>
        <v>-3.7016231407669256E-2</v>
      </c>
      <c r="BU43" s="69">
        <f t="shared" si="35"/>
        <v>-3.7016231407669256E-2</v>
      </c>
      <c r="BV43" s="69">
        <f t="shared" si="35"/>
        <v>-3.7016231407669256E-2</v>
      </c>
      <c r="BW43" s="69">
        <f t="shared" si="35"/>
        <v>-3.7016231407669256E-2</v>
      </c>
    </row>
    <row r="44" spans="1:75" x14ac:dyDescent="0.3">
      <c r="A44" s="38" t="s">
        <v>192</v>
      </c>
      <c r="B44" s="38"/>
      <c r="C44" s="48">
        <f>C26+C27</f>
        <v>-2115</v>
      </c>
      <c r="D44" s="48">
        <f>D26+D27</f>
        <v>58709</v>
      </c>
      <c r="E44" s="48">
        <f>E26+E27</f>
        <v>68071</v>
      </c>
      <c r="F44" s="48">
        <f>F26+F27</f>
        <v>45635</v>
      </c>
      <c r="G44" s="48">
        <f t="shared" si="23"/>
        <v>170300</v>
      </c>
      <c r="H44" s="48">
        <f>H26+H27</f>
        <v>21216</v>
      </c>
      <c r="I44" s="48">
        <f>I26+I27</f>
        <v>212882</v>
      </c>
      <c r="J44" s="48">
        <f>J26+J27</f>
        <v>-2311</v>
      </c>
      <c r="K44" s="48">
        <f>K26+K27</f>
        <v>646469</v>
      </c>
      <c r="L44" s="48">
        <f t="shared" si="30"/>
        <v>878256</v>
      </c>
      <c r="M44" s="48">
        <f>M26+M27</f>
        <v>50912</v>
      </c>
      <c r="N44" s="48">
        <f>N26+N27</f>
        <v>101890</v>
      </c>
      <c r="O44" s="48">
        <f>O26+O27</f>
        <v>108023</v>
      </c>
      <c r="P44" s="48">
        <f>P26+P27</f>
        <v>681924</v>
      </c>
      <c r="Q44" s="48">
        <f t="shared" si="24"/>
        <v>942749</v>
      </c>
      <c r="R44" s="48">
        <f>R26+R27</f>
        <v>316773</v>
      </c>
      <c r="S44" s="48">
        <f>S26+S27</f>
        <v>421420</v>
      </c>
      <c r="T44" s="48">
        <f>T26+T27</f>
        <v>431728</v>
      </c>
      <c r="U44" s="48">
        <f>U26+U27</f>
        <v>951522</v>
      </c>
      <c r="V44" s="48">
        <f t="shared" si="25"/>
        <v>2121443</v>
      </c>
      <c r="W44" s="48">
        <f>W26+W27</f>
        <v>950713</v>
      </c>
      <c r="X44" s="48">
        <f>X26+X27</f>
        <v>1022643</v>
      </c>
      <c r="Y44" s="48">
        <f>Y26+Y27</f>
        <v>1277592</v>
      </c>
      <c r="Z44" s="48">
        <f>Z26+Z27</f>
        <v>665265</v>
      </c>
      <c r="AA44" s="48">
        <f t="shared" si="26"/>
        <v>3916213</v>
      </c>
      <c r="AB44" s="48">
        <f>AB26+AB27</f>
        <v>1519843</v>
      </c>
      <c r="AC44" s="48">
        <f>AC26+AC27</f>
        <v>1181189</v>
      </c>
      <c r="AD44" s="48">
        <f>AD26+AD27</f>
        <v>2232324</v>
      </c>
      <c r="AE44" s="48">
        <f>AE26+AE27</f>
        <v>2222506</v>
      </c>
      <c r="AF44" s="48">
        <f>AF26+AF27</f>
        <v>7155862</v>
      </c>
      <c r="AG44" s="48">
        <f t="shared" ref="AG44:BW44" ca="1" si="36">AG26+AG27+AG42</f>
        <v>10190214.400599215</v>
      </c>
      <c r="AH44" s="48">
        <f t="shared" ca="1" si="36"/>
        <v>12672434.093407057</v>
      </c>
      <c r="AI44" s="48">
        <f t="shared" ca="1" si="36"/>
        <v>12337959.862383647</v>
      </c>
      <c r="AJ44" s="48">
        <f t="shared" ca="1" si="36"/>
        <v>12263454.147829248</v>
      </c>
      <c r="AK44" s="48">
        <f t="shared" ca="1" si="36"/>
        <v>11192778.962539228</v>
      </c>
      <c r="AL44" s="48">
        <f t="shared" ca="1" si="36"/>
        <v>11190267.0284713</v>
      </c>
      <c r="AM44" s="48">
        <f t="shared" ca="1" si="36"/>
        <v>10143307.236915499</v>
      </c>
      <c r="AN44" s="48">
        <f t="shared" ca="1" si="36"/>
        <v>8647181.3157597575</v>
      </c>
      <c r="AO44" s="48">
        <f t="shared" ca="1" si="36"/>
        <v>7693122.4623431927</v>
      </c>
      <c r="AP44" s="48">
        <f t="shared" ca="1" si="36"/>
        <v>6674811.5813313453</v>
      </c>
      <c r="AQ44" s="48">
        <f t="shared" ca="1" si="36"/>
        <v>6016511.6134427385</v>
      </c>
      <c r="AR44" s="48">
        <f t="shared" ca="1" si="36"/>
        <v>5297205.5233680978</v>
      </c>
      <c r="AS44" s="48">
        <f t="shared" ca="1" si="36"/>
        <v>4542114.6238773083</v>
      </c>
      <c r="AT44" s="48">
        <f t="shared" ca="1" si="36"/>
        <v>3865127.6187321516</v>
      </c>
      <c r="AU44" s="48">
        <f t="shared" ca="1" si="36"/>
        <v>3516377.933006811</v>
      </c>
      <c r="AV44" s="48">
        <f t="shared" ca="1" si="36"/>
        <v>3346233.3307043333</v>
      </c>
      <c r="AW44" s="48">
        <f t="shared" ca="1" si="36"/>
        <v>2687882.5719013177</v>
      </c>
      <c r="AX44" s="48">
        <f t="shared" ca="1" si="36"/>
        <v>2441107.1169779235</v>
      </c>
      <c r="AY44" s="48">
        <f t="shared" ca="1" si="36"/>
        <v>2226500.8611028981</v>
      </c>
      <c r="AZ44" s="48">
        <f t="shared" ca="1" si="36"/>
        <v>2010004.5493330823</v>
      </c>
      <c r="BA44" s="48">
        <f t="shared" ca="1" si="36"/>
        <v>1856143.7349599765</v>
      </c>
      <c r="BB44" s="48">
        <f t="shared" ca="1" si="36"/>
        <v>1647798.5705390703</v>
      </c>
      <c r="BC44" s="48">
        <f t="shared" ca="1" si="36"/>
        <v>1522891.4566851468</v>
      </c>
      <c r="BD44" s="48">
        <f t="shared" ca="1" si="36"/>
        <v>1412849.8802263348</v>
      </c>
      <c r="BE44" s="48">
        <f t="shared" ca="1" si="36"/>
        <v>1332114.2764679112</v>
      </c>
      <c r="BF44" s="48">
        <f t="shared" ca="1" si="36"/>
        <v>1136627.8042048891</v>
      </c>
      <c r="BG44" s="48">
        <f t="shared" ca="1" si="36"/>
        <v>944282.5780272776</v>
      </c>
      <c r="BH44" s="48">
        <f t="shared" ca="1" si="36"/>
        <v>1162520.9081653128</v>
      </c>
      <c r="BI44" s="48">
        <f t="shared" ca="1" si="36"/>
        <v>1157825.1746059645</v>
      </c>
      <c r="BJ44" s="48">
        <f t="shared" ca="1" si="36"/>
        <v>0</v>
      </c>
      <c r="BK44" s="48">
        <f t="shared" ca="1" si="36"/>
        <v>0</v>
      </c>
      <c r="BL44" s="48">
        <f t="shared" ca="1" si="36"/>
        <v>0</v>
      </c>
      <c r="BM44" s="48">
        <f t="shared" ca="1" si="36"/>
        <v>0</v>
      </c>
      <c r="BN44" s="48">
        <f t="shared" ca="1" si="36"/>
        <v>0</v>
      </c>
      <c r="BO44" s="48">
        <f t="shared" ca="1" si="36"/>
        <v>0</v>
      </c>
      <c r="BP44" s="48">
        <f t="shared" ca="1" si="36"/>
        <v>0</v>
      </c>
      <c r="BQ44" s="48">
        <f t="shared" ca="1" si="36"/>
        <v>0</v>
      </c>
      <c r="BR44" s="48">
        <f t="shared" ca="1" si="36"/>
        <v>0</v>
      </c>
      <c r="BS44" s="48">
        <f t="shared" ca="1" si="36"/>
        <v>0</v>
      </c>
      <c r="BT44" s="48">
        <f t="shared" ca="1" si="36"/>
        <v>0</v>
      </c>
      <c r="BU44" s="48">
        <f t="shared" ca="1" si="36"/>
        <v>0</v>
      </c>
      <c r="BV44" s="48">
        <f t="shared" ca="1" si="36"/>
        <v>0</v>
      </c>
      <c r="BW44" s="48">
        <f t="shared" ca="1" si="36"/>
        <v>0</v>
      </c>
    </row>
    <row r="45" spans="1:75" x14ac:dyDescent="0.3">
      <c r="A45" s="1" t="s">
        <v>96</v>
      </c>
      <c r="C45" s="52">
        <f t="shared" ref="C45:AC45" si="37">C47+C46+C48</f>
        <v>4493</v>
      </c>
      <c r="D45" s="52">
        <f t="shared" si="37"/>
        <v>13368</v>
      </c>
      <c r="E45" s="52">
        <f t="shared" si="37"/>
        <v>27044</v>
      </c>
      <c r="F45" s="52">
        <f t="shared" si="37"/>
        <v>5965</v>
      </c>
      <c r="G45" s="48">
        <f t="shared" si="37"/>
        <v>50870</v>
      </c>
      <c r="H45" s="52">
        <f t="shared" si="37"/>
        <v>-140139</v>
      </c>
      <c r="I45" s="52">
        <f t="shared" si="37"/>
        <v>-11654</v>
      </c>
      <c r="J45" s="52">
        <f t="shared" si="37"/>
        <v>-168878</v>
      </c>
      <c r="K45" s="52">
        <f t="shared" si="37"/>
        <v>-16583</v>
      </c>
      <c r="L45" s="48">
        <f t="shared" si="37"/>
        <v>-337254</v>
      </c>
      <c r="M45" s="52">
        <f t="shared" si="37"/>
        <v>-103483</v>
      </c>
      <c r="N45" s="52">
        <f t="shared" si="37"/>
        <v>-224644</v>
      </c>
      <c r="O45" s="52">
        <f t="shared" si="37"/>
        <v>-182181</v>
      </c>
      <c r="P45" s="52">
        <f t="shared" si="37"/>
        <v>51639</v>
      </c>
      <c r="Q45" s="48">
        <f t="shared" si="37"/>
        <v>-458669</v>
      </c>
      <c r="R45" s="52">
        <f t="shared" si="37"/>
        <v>-362048</v>
      </c>
      <c r="S45" s="52">
        <f t="shared" si="37"/>
        <v>140421</v>
      </c>
      <c r="T45" s="52">
        <f t="shared" si="37"/>
        <v>-264307</v>
      </c>
      <c r="U45" s="52">
        <f t="shared" si="37"/>
        <v>-136388</v>
      </c>
      <c r="V45" s="48">
        <f t="shared" si="37"/>
        <v>-622322</v>
      </c>
      <c r="W45" s="52">
        <f t="shared" si="37"/>
        <v>-45470</v>
      </c>
      <c r="X45" s="52">
        <f t="shared" si="37"/>
        <v>-73071</v>
      </c>
      <c r="Y45" s="52">
        <f t="shared" si="37"/>
        <v>-31198</v>
      </c>
      <c r="Z45" s="52">
        <f t="shared" si="37"/>
        <v>-104654</v>
      </c>
      <c r="AA45" s="48">
        <f t="shared" si="37"/>
        <v>-254393</v>
      </c>
      <c r="AB45" s="52">
        <f t="shared" si="37"/>
        <v>-264290</v>
      </c>
      <c r="AC45" s="52">
        <f t="shared" si="37"/>
        <v>-341054</v>
      </c>
      <c r="AD45" s="52">
        <f>AD47+AD46+AD48</f>
        <v>-112097</v>
      </c>
      <c r="AE45" s="52">
        <f>AE47+AE46+AE48</f>
        <v>-333749</v>
      </c>
      <c r="AF45" s="52">
        <f t="shared" ref="AF45:BW45" si="38">AF47+AF46+AF48</f>
        <v>-1051190</v>
      </c>
      <c r="AG45" s="52">
        <f t="shared" ca="1" si="38"/>
        <v>-311567.33934736403</v>
      </c>
      <c r="AH45" s="52">
        <f t="shared" ca="1" si="38"/>
        <v>222268.58108767311</v>
      </c>
      <c r="AI45" s="52">
        <f t="shared" ca="1" si="38"/>
        <v>124528.27915828009</v>
      </c>
      <c r="AJ45" s="52">
        <f t="shared" ca="1" si="38"/>
        <v>167518.69219870528</v>
      </c>
      <c r="AK45" s="52">
        <f t="shared" ca="1" si="38"/>
        <v>169436.7082793864</v>
      </c>
      <c r="AL45" s="52">
        <f t="shared" ca="1" si="38"/>
        <v>171921.55362573834</v>
      </c>
      <c r="AM45" s="52">
        <f t="shared" ca="1" si="38"/>
        <v>173828.27288767113</v>
      </c>
      <c r="AN45" s="52">
        <f t="shared" ca="1" si="38"/>
        <v>155842.40972997528</v>
      </c>
      <c r="AO45" s="52">
        <f t="shared" ca="1" si="38"/>
        <v>133347.32468085259</v>
      </c>
      <c r="AP45" s="52">
        <f t="shared" ca="1" si="38"/>
        <v>118777.53164914798</v>
      </c>
      <c r="AQ45" s="52">
        <f t="shared" ca="1" si="38"/>
        <v>123949.26549949027</v>
      </c>
      <c r="AR45" s="52">
        <f t="shared" ca="1" si="38"/>
        <v>112426.49209097479</v>
      </c>
      <c r="AS45" s="52">
        <f t="shared" ca="1" si="38"/>
        <v>100725.54755579983</v>
      </c>
      <c r="AT45" s="52">
        <f t="shared" ca="1" si="38"/>
        <v>88922.559142737096</v>
      </c>
      <c r="AU45" s="52">
        <f t="shared" ca="1" si="38"/>
        <v>78854.910918951195</v>
      </c>
      <c r="AV45" s="52">
        <f t="shared" ca="1" si="38"/>
        <v>71616.670532629752</v>
      </c>
      <c r="AW45" s="52">
        <f t="shared" ca="1" si="38"/>
        <v>65375.059548459205</v>
      </c>
      <c r="AX45" s="52">
        <f t="shared" ca="1" si="38"/>
        <v>53064.808375884386</v>
      </c>
      <c r="AY45" s="52">
        <f t="shared" ca="1" si="38"/>
        <v>47890.046880938084</v>
      </c>
      <c r="AZ45" s="52">
        <f t="shared" ca="1" si="38"/>
        <v>43349.832152000999</v>
      </c>
      <c r="BA45" s="52">
        <f t="shared" ca="1" si="38"/>
        <v>33414.452254262374</v>
      </c>
      <c r="BB45" s="52">
        <f t="shared" ca="1" si="38"/>
        <v>30571.594446932471</v>
      </c>
      <c r="BC45" s="52">
        <f t="shared" ca="1" si="38"/>
        <v>27359.254465329464</v>
      </c>
      <c r="BD45" s="52">
        <f t="shared" ca="1" si="38"/>
        <v>25536.968164491322</v>
      </c>
      <c r="BE45" s="52">
        <f t="shared" ca="1" si="38"/>
        <v>24114.241775072805</v>
      </c>
      <c r="BF45" s="52">
        <f t="shared" ca="1" si="38"/>
        <v>22914.560551803443</v>
      </c>
      <c r="BG45" s="52">
        <f t="shared" ca="1" si="38"/>
        <v>20682.748490265105</v>
      </c>
      <c r="BH45" s="52">
        <f t="shared" ca="1" si="38"/>
        <v>19424.061229606934</v>
      </c>
      <c r="BI45" s="52">
        <f t="shared" ca="1" si="38"/>
        <v>18629.497811262081</v>
      </c>
      <c r="BJ45" s="52">
        <f t="shared" ca="1" si="38"/>
        <v>0</v>
      </c>
      <c r="BK45" s="52">
        <f t="shared" ca="1" si="38"/>
        <v>0</v>
      </c>
      <c r="BL45" s="52">
        <f t="shared" ca="1" si="38"/>
        <v>0</v>
      </c>
      <c r="BM45" s="52">
        <f t="shared" ca="1" si="38"/>
        <v>0</v>
      </c>
      <c r="BN45" s="52">
        <f t="shared" ca="1" si="38"/>
        <v>0</v>
      </c>
      <c r="BO45" s="52">
        <f t="shared" ca="1" si="38"/>
        <v>0</v>
      </c>
      <c r="BP45" s="52">
        <f t="shared" ca="1" si="38"/>
        <v>0</v>
      </c>
      <c r="BQ45" s="52">
        <f t="shared" ca="1" si="38"/>
        <v>0</v>
      </c>
      <c r="BR45" s="52">
        <f t="shared" ca="1" si="38"/>
        <v>0</v>
      </c>
      <c r="BS45" s="52">
        <f t="shared" ca="1" si="38"/>
        <v>0</v>
      </c>
      <c r="BT45" s="52">
        <f t="shared" ca="1" si="38"/>
        <v>0</v>
      </c>
      <c r="BU45" s="52">
        <f t="shared" ca="1" si="38"/>
        <v>0</v>
      </c>
      <c r="BV45" s="52">
        <f t="shared" ca="1" si="38"/>
        <v>0</v>
      </c>
      <c r="BW45" s="52">
        <f t="shared" ca="1" si="38"/>
        <v>0</v>
      </c>
    </row>
    <row r="46" spans="1:75" x14ac:dyDescent="0.3">
      <c r="A46" s="42" t="s">
        <v>193</v>
      </c>
      <c r="B46" s="42"/>
      <c r="C46" s="49">
        <v>49311</v>
      </c>
      <c r="D46" s="49">
        <v>87825</v>
      </c>
      <c r="E46" s="49">
        <v>113019</v>
      </c>
      <c r="F46" s="49">
        <v>66530</v>
      </c>
      <c r="G46" s="51">
        <f t="shared" si="23"/>
        <v>316685</v>
      </c>
      <c r="H46" s="49">
        <v>60978</v>
      </c>
      <c r="I46" s="49">
        <v>68899</v>
      </c>
      <c r="J46" s="49">
        <v>69774</v>
      </c>
      <c r="K46" s="49">
        <v>177491</v>
      </c>
      <c r="L46" s="51">
        <f t="shared" si="30"/>
        <v>377142</v>
      </c>
      <c r="M46" s="49">
        <v>654267</v>
      </c>
      <c r="N46" s="49">
        <v>105078</v>
      </c>
      <c r="O46" s="49">
        <v>275498</v>
      </c>
      <c r="P46" s="49">
        <v>434308</v>
      </c>
      <c r="Q46" s="51">
        <f t="shared" si="24"/>
        <v>1469151</v>
      </c>
      <c r="R46" s="49">
        <v>54154</v>
      </c>
      <c r="S46" s="49">
        <v>2466</v>
      </c>
      <c r="T46" s="49">
        <v>26670</v>
      </c>
      <c r="U46" s="49">
        <v>863246</v>
      </c>
      <c r="V46" s="51">
        <f t="shared" si="25"/>
        <v>946536</v>
      </c>
      <c r="W46" s="49">
        <v>312508</v>
      </c>
      <c r="X46" s="49">
        <v>45512</v>
      </c>
      <c r="Y46" s="49">
        <v>156263</v>
      </c>
      <c r="Z46" s="49">
        <v>-235603</v>
      </c>
      <c r="AA46" s="51">
        <f t="shared" si="26"/>
        <v>278680</v>
      </c>
      <c r="AB46" s="49">
        <v>292006</v>
      </c>
      <c r="AC46" s="49">
        <v>770698</v>
      </c>
      <c r="AD46" s="49">
        <v>102994</v>
      </c>
      <c r="AE46" s="49">
        <f>AF46-AD46-AC46-AB46</f>
        <v>-994865</v>
      </c>
      <c r="AF46" s="49">
        <v>170833</v>
      </c>
      <c r="AG46" s="51">
        <f ca="1">IF(AG$11=0,0,'Resultado Financeiro e Dívida'!AG10*1000)</f>
        <v>117704.3112</v>
      </c>
      <c r="AH46" s="51">
        <f ca="1">IF(AH$11=0,0,'Resultado Financeiro e Dívida'!AH10*1000)</f>
        <v>177133.68697014728</v>
      </c>
      <c r="AI46" s="51">
        <f ca="1">IF(AI$11=0,0,'Resultado Financeiro e Dívida'!AI10*1000)</f>
        <v>204397.36959646887</v>
      </c>
      <c r="AJ46" s="51">
        <f ca="1">IF(AJ$11=0,0,'Resultado Financeiro e Dívida'!AJ10*1000)</f>
        <v>209138.13152738867</v>
      </c>
      <c r="AK46" s="51">
        <f ca="1">IF(AK$11=0,0,'Resultado Financeiro e Dívida'!AK10*1000)</f>
        <v>215207.97122335067</v>
      </c>
      <c r="AL46" s="51">
        <f ca="1">IF(AL$11=0,0,'Resultado Financeiro e Dívida'!AL10*1000)</f>
        <v>222316.20054939337</v>
      </c>
      <c r="AM46" s="51">
        <f ca="1">IF(AM$11=0,0,'Resultado Financeiro e Dívida'!AM10*1000)</f>
        <v>224781.82846449429</v>
      </c>
      <c r="AN46" s="51">
        <f ca="1">IF(AN$11=0,0,'Resultado Financeiro e Dívida'!AN10*1000)</f>
        <v>202334.72265393377</v>
      </c>
      <c r="AO46" s="51">
        <f ca="1">IF(AO$11=0,0,'Resultado Financeiro e Dívida'!AO10*1000)</f>
        <v>173128.70099155503</v>
      </c>
      <c r="AP46" s="51">
        <f ca="1">IF(AP$11=0,0,'Resultado Financeiro e Dívida'!AP10*1000)</f>
        <v>154212.31592472311</v>
      </c>
      <c r="AQ46" s="51">
        <f ca="1">IF(AQ$11=0,0,'Resultado Financeiro e Dívida'!AQ10*1000)</f>
        <v>155842.25280553821</v>
      </c>
      <c r="AR46" s="51">
        <f ca="1">IF(AR$11=0,0,'Resultado Financeiro e Dívida'!AR10*1000)</f>
        <v>141354.59158936032</v>
      </c>
      <c r="AS46" s="51">
        <f ca="1">IF(AS$11=0,0,'Resultado Financeiro e Dívida'!AS10*1000)</f>
        <v>126642.91460631357</v>
      </c>
      <c r="AT46" s="51">
        <f ca="1">IF(AT$11=0,0,'Resultado Financeiro e Dívida'!AT10*1000)</f>
        <v>111802.93716298674</v>
      </c>
      <c r="AU46" s="51">
        <f ca="1">IF(AU$11=0,0,'Resultado Financeiro e Dívida'!AU10*1000)</f>
        <v>99144.814718082591</v>
      </c>
      <c r="AV46" s="51">
        <f ca="1">IF(AV$11=0,0,'Resultado Financeiro e Dívida'!AV10*1000)</f>
        <v>90044.125951540496</v>
      </c>
      <c r="AW46" s="51">
        <f ca="1">IF(AW$11=0,0,'Resultado Financeiro e Dívida'!AW10*1000)</f>
        <v>82196.50609684315</v>
      </c>
      <c r="AX46" s="51">
        <f ca="1">IF(AX$11=0,0,'Resultado Financeiro e Dívida'!AX10*1000)</f>
        <v>66718.743742987514</v>
      </c>
      <c r="AY46" s="51">
        <f ca="1">IF(AY$11=0,0,'Resultado Financeiro e Dívida'!AY10*1000)</f>
        <v>60212.480992224555</v>
      </c>
      <c r="AZ46" s="51">
        <f ca="1">IF(AZ$11=0,0,'Resultado Financeiro e Dívida'!AZ10*1000)</f>
        <v>54504.038197286216</v>
      </c>
      <c r="BA46" s="51">
        <f ca="1">IF(BA$11=0,0,'Resultado Financeiro e Dívida'!BA10*1000)</f>
        <v>43463.631659818559</v>
      </c>
      <c r="BB46" s="51">
        <f ca="1">IF(BB$11=0,0,'Resultado Financeiro e Dívida'!BB10*1000)</f>
        <v>39765.802838361058</v>
      </c>
      <c r="BC46" s="51">
        <f ca="1">IF(BC$11=0,0,'Resultado Financeiro e Dívida'!BC10*1000)</f>
        <v>35587.372479422716</v>
      </c>
      <c r="BD46" s="51">
        <f ca="1">IF(BD$11=0,0,'Resultado Financeiro e Dívida'!BD10*1000)</f>
        <v>33217.045413886088</v>
      </c>
      <c r="BE46" s="51">
        <f ca="1">IF(BE$11=0,0,'Resultado Financeiro e Dívida'!BE10*1000)</f>
        <v>31366.443306993846</v>
      </c>
      <c r="BF46" s="51">
        <f ca="1">IF(BF$11=0,0,'Resultado Financeiro e Dívida'!BF10*1000)</f>
        <v>29805.965750737254</v>
      </c>
      <c r="BG46" s="51">
        <f ca="1">IF(BG$11=0,0,'Resultado Financeiro e Dívida'!BG10*1000)</f>
        <v>26902.950712857499</v>
      </c>
      <c r="BH46" s="51">
        <f ca="1">IF(BH$11=0,0,'Resultado Financeiro e Dívida'!BH10*1000)</f>
        <v>25265.721436858275</v>
      </c>
      <c r="BI46" s="51">
        <f ca="1">IF(BI$11=0,0,'Resultado Financeiro e Dívida'!BI10*1000)</f>
        <v>24232.198233110488</v>
      </c>
      <c r="BJ46" s="51">
        <f ca="1">IF(BJ$11=0,0,'Resultado Financeiro e Dívida'!BJ10*1000)</f>
        <v>0</v>
      </c>
      <c r="BK46" s="51">
        <f ca="1">IF(BK$11=0,0,'Resultado Financeiro e Dívida'!BK10*1000)</f>
        <v>0</v>
      </c>
      <c r="BL46" s="51">
        <f ca="1">IF(BL$11=0,0,'Resultado Financeiro e Dívida'!BL10*1000)</f>
        <v>0</v>
      </c>
      <c r="BM46" s="51">
        <f ca="1">IF(BM$11=0,0,'Resultado Financeiro e Dívida'!BM10*1000)</f>
        <v>0</v>
      </c>
      <c r="BN46" s="51">
        <f ca="1">IF(BN$11=0,0,'Resultado Financeiro e Dívida'!BN10*1000)</f>
        <v>0</v>
      </c>
      <c r="BO46" s="51">
        <f ca="1">IF(BO$11=0,0,'Resultado Financeiro e Dívida'!BO10*1000)</f>
        <v>0</v>
      </c>
      <c r="BP46" s="51">
        <f ca="1">IF(BP$11=0,0,'Resultado Financeiro e Dívida'!BP10*1000)</f>
        <v>0</v>
      </c>
      <c r="BQ46" s="51">
        <f ca="1">IF(BQ$11=0,0,'Resultado Financeiro e Dívida'!BQ10*1000)</f>
        <v>0</v>
      </c>
      <c r="BR46" s="51">
        <f ca="1">IF(BR$11=0,0,'Resultado Financeiro e Dívida'!BR10*1000)</f>
        <v>0</v>
      </c>
      <c r="BS46" s="51">
        <f ca="1">IF(BS$11=0,0,'Resultado Financeiro e Dívida'!BS10*1000)</f>
        <v>0</v>
      </c>
      <c r="BT46" s="51">
        <f ca="1">IF(BT$11=0,0,'Resultado Financeiro e Dívida'!BT10*1000)</f>
        <v>0</v>
      </c>
      <c r="BU46" s="51">
        <f ca="1">IF(BU$11=0,0,'Resultado Financeiro e Dívida'!BU10*1000)</f>
        <v>0</v>
      </c>
      <c r="BV46" s="51">
        <f ca="1">IF(BV$11=0,0,'Resultado Financeiro e Dívida'!BV10*1000)</f>
        <v>0</v>
      </c>
      <c r="BW46" s="51">
        <f ca="1">IF(BW$11=0,0,'Resultado Financeiro e Dívida'!BW10*1000)</f>
        <v>0</v>
      </c>
    </row>
    <row r="47" spans="1:75" x14ac:dyDescent="0.3">
      <c r="A47" s="42" t="s">
        <v>194</v>
      </c>
      <c r="B47" s="42"/>
      <c r="C47" s="49">
        <v>-44818</v>
      </c>
      <c r="D47" s="49">
        <v>-74457</v>
      </c>
      <c r="E47" s="49">
        <v>-85975</v>
      </c>
      <c r="F47" s="49">
        <v>-60565</v>
      </c>
      <c r="G47" s="51">
        <f t="shared" si="23"/>
        <v>-265815</v>
      </c>
      <c r="H47" s="49">
        <v>-201117</v>
      </c>
      <c r="I47" s="49">
        <v>-80553</v>
      </c>
      <c r="J47" s="49">
        <v>-238652</v>
      </c>
      <c r="K47" s="49">
        <v>-194074</v>
      </c>
      <c r="L47" s="51">
        <f t="shared" si="30"/>
        <v>-714396</v>
      </c>
      <c r="M47" s="49">
        <v>-757750</v>
      </c>
      <c r="N47" s="49">
        <v>-329722</v>
      </c>
      <c r="O47" s="49">
        <v>-457679</v>
      </c>
      <c r="P47" s="49">
        <v>-382669</v>
      </c>
      <c r="Q47" s="51">
        <f t="shared" si="24"/>
        <v>-1927820</v>
      </c>
      <c r="R47" s="49">
        <v>-416202</v>
      </c>
      <c r="S47" s="49">
        <v>-155627</v>
      </c>
      <c r="T47" s="49">
        <v>-105195</v>
      </c>
      <c r="U47" s="49">
        <v>-891834</v>
      </c>
      <c r="V47" s="51">
        <f t="shared" si="25"/>
        <v>-1568858</v>
      </c>
      <c r="W47" s="49">
        <v>-357978</v>
      </c>
      <c r="X47" s="49">
        <v>-118583</v>
      </c>
      <c r="Y47" s="49">
        <v>-139539</v>
      </c>
      <c r="Z47" s="49">
        <v>58001</v>
      </c>
      <c r="AA47" s="51">
        <f t="shared" si="26"/>
        <v>-558099</v>
      </c>
      <c r="AB47" s="49">
        <v>-556296</v>
      </c>
      <c r="AC47" s="49">
        <v>-1111752</v>
      </c>
      <c r="AD47" s="49">
        <v>-302595</v>
      </c>
      <c r="AE47" s="49">
        <f>AF47-AD47-AC47-AB47</f>
        <v>895815</v>
      </c>
      <c r="AF47" s="49">
        <v>-1074828</v>
      </c>
      <c r="AG47" s="51">
        <f ca="1">IF(AG11=0,0,'Resultado Financeiro e Dívida'!AG11*1000)</f>
        <v>-430750.28334736713</v>
      </c>
      <c r="AH47" s="51">
        <f ca="1">IF(AH11=0,0,'Resultado Financeiro e Dívida'!AH11*1000)</f>
        <v>-318152.6678671586</v>
      </c>
      <c r="AI47" s="51">
        <f ca="1">IF(AI11=0,0,'Resultado Financeiro e Dívida'!AI11*1000)</f>
        <v>-233368.88943813884</v>
      </c>
      <c r="AJ47" s="51">
        <f ca="1">IF(AJ11=0,0,'Resultado Financeiro e Dívida'!AJ11*1000)</f>
        <v>-82166.591608863891</v>
      </c>
      <c r="AK47" s="51">
        <f ca="1">IF(AK11=0,0,'Resultado Financeiro e Dívida'!AK11*1000)</f>
        <v>-45771.262943964284</v>
      </c>
      <c r="AL47" s="51">
        <f ca="1">IF(AL11=0,0,'Resultado Financeiro e Dívida'!AL11*1000)</f>
        <v>0</v>
      </c>
      <c r="AM47" s="51">
        <f ca="1">IF(AM11=0,0,'Resultado Financeiro e Dívida'!AM11*1000)</f>
        <v>0</v>
      </c>
      <c r="AN47" s="51">
        <f ca="1">IF(AN11=0,0,'Resultado Financeiro e Dívida'!AN11*1000)</f>
        <v>0</v>
      </c>
      <c r="AO47" s="51">
        <f ca="1">IF(AO11=0,0,'Resultado Financeiro e Dívida'!AO11*1000)</f>
        <v>0</v>
      </c>
      <c r="AP47" s="51">
        <f ca="1">IF(AP11=0,0,'Resultado Financeiro e Dívida'!AP11*1000)</f>
        <v>0</v>
      </c>
      <c r="AQ47" s="51">
        <f ca="1">IF(AQ11=0,0,'Resultado Financeiro e Dívida'!AQ11*1000)</f>
        <v>0</v>
      </c>
      <c r="AR47" s="51">
        <f ca="1">IF(AR11=0,0,'Resultado Financeiro e Dívida'!AR11*1000)</f>
        <v>0</v>
      </c>
      <c r="AS47" s="51">
        <f ca="1">IF(AS11=0,0,'Resultado Financeiro e Dívida'!AS11*1000)</f>
        <v>0</v>
      </c>
      <c r="AT47" s="51">
        <f ca="1">IF(AT11=0,0,'Resultado Financeiro e Dívida'!AT11*1000)</f>
        <v>0</v>
      </c>
      <c r="AU47" s="51">
        <f ca="1">IF(AU11=0,0,'Resultado Financeiro e Dívida'!AU11*1000)</f>
        <v>0</v>
      </c>
      <c r="AV47" s="51">
        <f ca="1">IF(AV11=0,0,'Resultado Financeiro e Dívida'!AV11*1000)</f>
        <v>0</v>
      </c>
      <c r="AW47" s="51">
        <f ca="1">IF(AW11=0,0,'Resultado Financeiro e Dívida'!AW11*1000)</f>
        <v>0</v>
      </c>
      <c r="AX47" s="51">
        <f ca="1">IF(AX11=0,0,'Resultado Financeiro e Dívida'!AX11*1000)</f>
        <v>0</v>
      </c>
      <c r="AY47" s="51">
        <f ca="1">IF(AY11=0,0,'Resultado Financeiro e Dívida'!AY11*1000)</f>
        <v>0</v>
      </c>
      <c r="AZ47" s="51">
        <f ca="1">IF(AZ11=0,0,'Resultado Financeiro e Dívida'!AZ11*1000)</f>
        <v>0</v>
      </c>
      <c r="BA47" s="51">
        <f ca="1">IF(BA11=0,0,'Resultado Financeiro e Dívida'!BA11*1000)</f>
        <v>0</v>
      </c>
      <c r="BB47" s="51">
        <f ca="1">IF(BB11=0,0,'Resultado Financeiro e Dívida'!BB11*1000)</f>
        <v>0</v>
      </c>
      <c r="BC47" s="51">
        <f ca="1">IF(BC11=0,0,'Resultado Financeiro e Dívida'!BC11*1000)</f>
        <v>0</v>
      </c>
      <c r="BD47" s="51">
        <f ca="1">IF(BD11=0,0,'Resultado Financeiro e Dívida'!BD11*1000)</f>
        <v>0</v>
      </c>
      <c r="BE47" s="51">
        <f ca="1">IF(BE11=0,0,'Resultado Financeiro e Dívida'!BE11*1000)</f>
        <v>0</v>
      </c>
      <c r="BF47" s="51">
        <f ca="1">IF(BF11=0,0,'Resultado Financeiro e Dívida'!BF11*1000)</f>
        <v>0</v>
      </c>
      <c r="BG47" s="51">
        <f ca="1">IF(BG11=0,0,'Resultado Financeiro e Dívida'!BG11*1000)</f>
        <v>0</v>
      </c>
      <c r="BH47" s="51">
        <f ca="1">IF(BH11=0,0,'Resultado Financeiro e Dívida'!BH11*1000)</f>
        <v>0</v>
      </c>
      <c r="BI47" s="51">
        <f ca="1">IF(BI11=0,0,'Resultado Financeiro e Dívida'!BI11*1000)</f>
        <v>0</v>
      </c>
      <c r="BJ47" s="51">
        <f ca="1">IF(BJ11=0,0,'Resultado Financeiro e Dívida'!BJ11*1000)</f>
        <v>0</v>
      </c>
      <c r="BK47" s="51">
        <f ca="1">IF(BK11=0,0,'Resultado Financeiro e Dívida'!BK11*1000)</f>
        <v>0</v>
      </c>
      <c r="BL47" s="51">
        <f ca="1">IF(BL11=0,0,'Resultado Financeiro e Dívida'!BL11*1000)</f>
        <v>0</v>
      </c>
      <c r="BM47" s="51">
        <f ca="1">IF(BM11=0,0,'Resultado Financeiro e Dívida'!BM11*1000)</f>
        <v>0</v>
      </c>
      <c r="BN47" s="51">
        <f ca="1">IF(BN11=0,0,'Resultado Financeiro e Dívida'!BN11*1000)</f>
        <v>0</v>
      </c>
      <c r="BO47" s="51">
        <f ca="1">IF(BO11=0,0,'Resultado Financeiro e Dívida'!BO11*1000)</f>
        <v>0</v>
      </c>
      <c r="BP47" s="51">
        <f ca="1">IF(BP11=0,0,'Resultado Financeiro e Dívida'!BP11*1000)</f>
        <v>0</v>
      </c>
      <c r="BQ47" s="51">
        <f ca="1">IF(BQ11=0,0,'Resultado Financeiro e Dívida'!BQ11*1000)</f>
        <v>0</v>
      </c>
      <c r="BR47" s="51">
        <f ca="1">IF(BR11=0,0,'Resultado Financeiro e Dívida'!BR11*1000)</f>
        <v>0</v>
      </c>
      <c r="BS47" s="51">
        <f ca="1">IF(BS11=0,0,'Resultado Financeiro e Dívida'!BS11*1000)</f>
        <v>0</v>
      </c>
      <c r="BT47" s="51">
        <f ca="1">IF(BT11=0,0,'Resultado Financeiro e Dívida'!BT11*1000)</f>
        <v>0</v>
      </c>
      <c r="BU47" s="51">
        <f ca="1">IF(BU11=0,0,'Resultado Financeiro e Dívida'!BU11*1000)</f>
        <v>0</v>
      </c>
      <c r="BV47" s="51">
        <f ca="1">IF(BV11=0,0,'Resultado Financeiro e Dívida'!BV11*1000)</f>
        <v>0</v>
      </c>
      <c r="BW47" s="51">
        <f ca="1">IF(BW11=0,0,'Resultado Financeiro e Dívida'!BW11*1000)</f>
        <v>0</v>
      </c>
    </row>
    <row r="48" spans="1:75" x14ac:dyDescent="0.3">
      <c r="A48" s="42" t="s">
        <v>700</v>
      </c>
      <c r="B48" s="42"/>
      <c r="C48" s="49">
        <v>0</v>
      </c>
      <c r="D48" s="49">
        <v>0</v>
      </c>
      <c r="E48" s="49">
        <v>0</v>
      </c>
      <c r="F48" s="49">
        <v>0</v>
      </c>
      <c r="G48" s="51">
        <f t="shared" si="23"/>
        <v>0</v>
      </c>
      <c r="H48" s="49">
        <v>0</v>
      </c>
      <c r="I48" s="49">
        <v>0</v>
      </c>
      <c r="J48" s="49">
        <v>0</v>
      </c>
      <c r="K48" s="49">
        <v>0</v>
      </c>
      <c r="L48" s="51">
        <f t="shared" si="30"/>
        <v>0</v>
      </c>
      <c r="M48" s="49">
        <v>0</v>
      </c>
      <c r="N48" s="49">
        <v>0</v>
      </c>
      <c r="O48" s="49">
        <v>0</v>
      </c>
      <c r="P48" s="49">
        <v>0</v>
      </c>
      <c r="Q48" s="51">
        <f t="shared" si="24"/>
        <v>0</v>
      </c>
      <c r="R48" s="49">
        <v>0</v>
      </c>
      <c r="S48" s="49">
        <v>293582</v>
      </c>
      <c r="T48" s="49">
        <v>-185782</v>
      </c>
      <c r="U48" s="49">
        <v>-107800</v>
      </c>
      <c r="V48" s="51">
        <f t="shared" si="25"/>
        <v>0</v>
      </c>
      <c r="W48" s="49">
        <v>0</v>
      </c>
      <c r="X48" s="49">
        <v>0</v>
      </c>
      <c r="Y48" s="49">
        <v>-47922</v>
      </c>
      <c r="Z48" s="49">
        <v>72948</v>
      </c>
      <c r="AA48" s="51">
        <f t="shared" si="26"/>
        <v>25026</v>
      </c>
      <c r="AB48" s="49">
        <v>0</v>
      </c>
      <c r="AC48" s="49">
        <v>0</v>
      </c>
      <c r="AD48" s="49">
        <v>87504</v>
      </c>
      <c r="AE48" s="49">
        <f>AF48-AD48-AC48-AB48</f>
        <v>-234699</v>
      </c>
      <c r="AF48" s="49">
        <v>-147195</v>
      </c>
      <c r="AG48" s="51">
        <f ca="1">IF(AG11=0,0,-'Resultado Financeiro e Dívida'!AG12*1000)</f>
        <v>1478.6328000031203</v>
      </c>
      <c r="AH48" s="51">
        <f ca="1">IF(AH11=0,0,-'Resultado Financeiro e Dívida'!AH12*1000)</f>
        <v>363287.56198468443</v>
      </c>
      <c r="AI48" s="51">
        <f ca="1">IF(AI11=0,0,-'Resultado Financeiro e Dívida'!AI12*1000)</f>
        <v>153499.79899995006</v>
      </c>
      <c r="AJ48" s="51">
        <f ca="1">IF(AJ11=0,0,-'Resultado Financeiro e Dívida'!AJ12*1000)</f>
        <v>40547.152280180482</v>
      </c>
      <c r="AK48" s="51">
        <f ca="1">IF(AK11=0,0,-'Resultado Financeiro e Dívida'!AK12*1000)</f>
        <v>0</v>
      </c>
      <c r="AL48" s="51">
        <f ca="1">IF(AL11=0,0,-'Resultado Financeiro e Dívida'!AL12*1000)</f>
        <v>-50394.64692365504</v>
      </c>
      <c r="AM48" s="51">
        <f ca="1">IF(AM11=0,0,-'Resultado Financeiro e Dívida'!AM12*1000)</f>
        <v>-50953.555576823157</v>
      </c>
      <c r="AN48" s="51">
        <f ca="1">IF(AN11=0,0,-'Resultado Financeiro e Dívida'!AN12*1000)</f>
        <v>-46492.312923958503</v>
      </c>
      <c r="AO48" s="51">
        <f ca="1">IF(AO11=0,0,-'Resultado Financeiro e Dívida'!AO12*1000)</f>
        <v>-39781.37631070245</v>
      </c>
      <c r="AP48" s="51">
        <f ca="1">IF(AP11=0,0,-'Resultado Financeiro e Dívida'!AP12*1000)</f>
        <v>-35434.784275575126</v>
      </c>
      <c r="AQ48" s="51">
        <f ca="1">IF(AQ11=0,0,-'Resultado Financeiro e Dívida'!AQ12*1000)</f>
        <v>-31892.987306047948</v>
      </c>
      <c r="AR48" s="51">
        <f ca="1">IF(AR11=0,0,-'Resultado Financeiro e Dívida'!AR12*1000)</f>
        <v>-28928.099498385534</v>
      </c>
      <c r="AS48" s="51">
        <f ca="1">IF(AS11=0,0,-'Resultado Financeiro e Dívida'!AS12*1000)</f>
        <v>-25917.367050513749</v>
      </c>
      <c r="AT48" s="51">
        <f ca="1">IF(AT11=0,0,-'Resultado Financeiro e Dívida'!AT12*1000)</f>
        <v>-22880.378020249645</v>
      </c>
      <c r="AU48" s="51">
        <f ca="1">IF(AU11=0,0,-'Resultado Financeiro e Dívida'!AU12*1000)</f>
        <v>-20289.903799131396</v>
      </c>
      <c r="AV48" s="51">
        <f ca="1">IF(AV11=0,0,-'Resultado Financeiro e Dívida'!AV12*1000)</f>
        <v>-18427.45541891074</v>
      </c>
      <c r="AW48" s="51">
        <f ca="1">IF(AW11=0,0,-'Resultado Financeiro e Dívida'!AW12*1000)</f>
        <v>-16821.446548383945</v>
      </c>
      <c r="AX48" s="51">
        <f ca="1">IF(AX11=0,0,-'Resultado Financeiro e Dívida'!AX12*1000)</f>
        <v>-13653.935367103126</v>
      </c>
      <c r="AY48" s="51">
        <f ca="1">IF(AY11=0,0,-'Resultado Financeiro e Dívida'!AY12*1000)</f>
        <v>-12322.434111286473</v>
      </c>
      <c r="AZ48" s="51">
        <f ca="1">IF(AZ11=0,0,-'Resultado Financeiro e Dívida'!AZ12*1000)</f>
        <v>-11154.206045285218</v>
      </c>
      <c r="BA48" s="51">
        <f ca="1">IF(BA11=0,0,-'Resultado Financeiro e Dívida'!BA12*1000)</f>
        <v>-10049.179405556184</v>
      </c>
      <c r="BB48" s="51">
        <f ca="1">IF(BB11=0,0,-'Resultado Financeiro e Dívida'!BB12*1000)</f>
        <v>-9194.2083914285868</v>
      </c>
      <c r="BC48" s="51">
        <f ca="1">IF(BC11=0,0,-'Resultado Financeiro e Dívida'!BC12*1000)</f>
        <v>-8228.118014093252</v>
      </c>
      <c r="BD48" s="51">
        <f ca="1">IF(BD11=0,0,-'Resultado Financeiro e Dívida'!BD12*1000)</f>
        <v>-7680.0772493947661</v>
      </c>
      <c r="BE48" s="51">
        <f ca="1">IF(BE11=0,0,-'Resultado Financeiro e Dívida'!BE12*1000)</f>
        <v>-7252.2015319210414</v>
      </c>
      <c r="BF48" s="51">
        <f ca="1">IF(BF11=0,0,-'Resultado Financeiro e Dívida'!BF12*1000)</f>
        <v>-6891.4051989338132</v>
      </c>
      <c r="BG48" s="51">
        <f ca="1">IF(BG11=0,0,-'Resultado Financeiro e Dívida'!BG12*1000)</f>
        <v>-6220.2022225923947</v>
      </c>
      <c r="BH48" s="51">
        <f ca="1">IF(BH11=0,0,-'Resultado Financeiro e Dívida'!BH12*1000)</f>
        <v>-5841.6602072513424</v>
      </c>
      <c r="BI48" s="51">
        <f ca="1">IF(BI11=0,0,-'Resultado Financeiro e Dívida'!BI12*1000)</f>
        <v>-5602.700421848408</v>
      </c>
      <c r="BJ48" s="51">
        <f ca="1">IF(BJ11=0,0,-'Resultado Financeiro e Dívida'!BJ12*1000)</f>
        <v>0</v>
      </c>
      <c r="BK48" s="51">
        <f ca="1">IF(BK11=0,0,-'Resultado Financeiro e Dívida'!BK12*1000)</f>
        <v>0</v>
      </c>
      <c r="BL48" s="51">
        <f ca="1">IF(BL11=0,0,-'Resultado Financeiro e Dívida'!BL12*1000)</f>
        <v>0</v>
      </c>
      <c r="BM48" s="51">
        <f ca="1">IF(BM11=0,0,-'Resultado Financeiro e Dívida'!BM12*1000)</f>
        <v>0</v>
      </c>
      <c r="BN48" s="51">
        <f ca="1">IF(BN11=0,0,-'Resultado Financeiro e Dívida'!BN12*1000)</f>
        <v>0</v>
      </c>
      <c r="BO48" s="51">
        <f ca="1">IF(BO11=0,0,-'Resultado Financeiro e Dívida'!BO12*1000)</f>
        <v>0</v>
      </c>
      <c r="BP48" s="51">
        <f ca="1">IF(BP11=0,0,-'Resultado Financeiro e Dívida'!BP12*1000)</f>
        <v>0</v>
      </c>
      <c r="BQ48" s="51">
        <f ca="1">IF(BQ11=0,0,-'Resultado Financeiro e Dívida'!BQ12*1000)</f>
        <v>0</v>
      </c>
      <c r="BR48" s="51">
        <f ca="1">IF(BR11=0,0,-'Resultado Financeiro e Dívida'!BR12*1000)</f>
        <v>0</v>
      </c>
      <c r="BS48" s="51">
        <f ca="1">IF(BS11=0,0,-'Resultado Financeiro e Dívida'!BS12*1000)</f>
        <v>0</v>
      </c>
      <c r="BT48" s="51">
        <f ca="1">IF(BT11=0,0,-'Resultado Financeiro e Dívida'!BT12*1000)</f>
        <v>0</v>
      </c>
      <c r="BU48" s="51">
        <f ca="1">IF(BU11=0,0,-'Resultado Financeiro e Dívida'!BU12*1000)</f>
        <v>0</v>
      </c>
      <c r="BV48" s="51">
        <f ca="1">IF(BV11=0,0,-'Resultado Financeiro e Dívida'!BV12*1000)</f>
        <v>0</v>
      </c>
      <c r="BW48" s="51">
        <f ca="1">IF(BW11=0,0,-'Resultado Financeiro e Dívida'!BW12*1000)</f>
        <v>0</v>
      </c>
    </row>
    <row r="49" spans="1:75" x14ac:dyDescent="0.3">
      <c r="A49" s="38" t="s">
        <v>195</v>
      </c>
      <c r="B49" s="38"/>
      <c r="C49" s="48">
        <f>C44+C45</f>
        <v>2378</v>
      </c>
      <c r="D49" s="48">
        <f>D44+D45</f>
        <v>72077</v>
      </c>
      <c r="E49" s="48">
        <f>E44+E45</f>
        <v>95115</v>
      </c>
      <c r="F49" s="48">
        <f>F44+F45</f>
        <v>51600</v>
      </c>
      <c r="G49" s="48">
        <f t="shared" si="23"/>
        <v>221170</v>
      </c>
      <c r="H49" s="48">
        <f>H44+H45</f>
        <v>-118923</v>
      </c>
      <c r="I49" s="48">
        <f>I44+I45</f>
        <v>201228</v>
      </c>
      <c r="J49" s="48">
        <f>J44+J45</f>
        <v>-171189</v>
      </c>
      <c r="K49" s="48">
        <f>K44+K45</f>
        <v>629886</v>
      </c>
      <c r="L49" s="48">
        <f t="shared" si="30"/>
        <v>541002</v>
      </c>
      <c r="M49" s="48">
        <f>M44+M45</f>
        <v>-52571</v>
      </c>
      <c r="N49" s="48">
        <f>N44+N45</f>
        <v>-122754</v>
      </c>
      <c r="O49" s="48">
        <f>O44+O45</f>
        <v>-74158</v>
      </c>
      <c r="P49" s="48">
        <f>P44+P45</f>
        <v>733563</v>
      </c>
      <c r="Q49" s="48">
        <f t="shared" si="24"/>
        <v>484080</v>
      </c>
      <c r="R49" s="48">
        <f>R44+R45</f>
        <v>-45275</v>
      </c>
      <c r="S49" s="48">
        <f>S44+S45</f>
        <v>561841</v>
      </c>
      <c r="T49" s="48">
        <f>T44+T45</f>
        <v>167421</v>
      </c>
      <c r="U49" s="48">
        <f>U44+U45</f>
        <v>815134</v>
      </c>
      <c r="V49" s="48">
        <f t="shared" si="25"/>
        <v>1499121</v>
      </c>
      <c r="W49" s="48">
        <f>W44+W45</f>
        <v>905243</v>
      </c>
      <c r="X49" s="48">
        <f>X44+X45</f>
        <v>949572</v>
      </c>
      <c r="Y49" s="48">
        <f>Y44+Y45</f>
        <v>1246394</v>
      </c>
      <c r="Z49" s="48">
        <f>Z44+Z45</f>
        <v>560611</v>
      </c>
      <c r="AA49" s="48">
        <f t="shared" si="26"/>
        <v>3661820</v>
      </c>
      <c r="AB49" s="48">
        <f t="shared" ref="AB49:BW49" si="39">AB44+AB45</f>
        <v>1255553</v>
      </c>
      <c r="AC49" s="48">
        <f t="shared" si="39"/>
        <v>840135</v>
      </c>
      <c r="AD49" s="48">
        <f t="shared" si="39"/>
        <v>2120227</v>
      </c>
      <c r="AE49" s="48">
        <f t="shared" si="39"/>
        <v>1888757</v>
      </c>
      <c r="AF49" s="48">
        <f t="shared" si="39"/>
        <v>6104672</v>
      </c>
      <c r="AG49" s="48">
        <f t="shared" ca="1" si="39"/>
        <v>9878647.0612518508</v>
      </c>
      <c r="AH49" s="48">
        <f t="shared" ca="1" si="39"/>
        <v>12894702.67449473</v>
      </c>
      <c r="AI49" s="48">
        <f t="shared" ca="1" si="39"/>
        <v>12462488.141541926</v>
      </c>
      <c r="AJ49" s="48">
        <f t="shared" ca="1" si="39"/>
        <v>12430972.840027953</v>
      </c>
      <c r="AK49" s="48">
        <f t="shared" ca="1" si="39"/>
        <v>11362215.670818614</v>
      </c>
      <c r="AL49" s="48">
        <f t="shared" ca="1" si="39"/>
        <v>11362188.582097039</v>
      </c>
      <c r="AM49" s="48">
        <f t="shared" ca="1" si="39"/>
        <v>10317135.50980317</v>
      </c>
      <c r="AN49" s="48">
        <f t="shared" ca="1" si="39"/>
        <v>8803023.7254897319</v>
      </c>
      <c r="AO49" s="48">
        <f t="shared" ca="1" si="39"/>
        <v>7826469.7870240454</v>
      </c>
      <c r="AP49" s="48">
        <f t="shared" ca="1" si="39"/>
        <v>6793589.1129804933</v>
      </c>
      <c r="AQ49" s="48">
        <f t="shared" ca="1" si="39"/>
        <v>6140460.8789422289</v>
      </c>
      <c r="AR49" s="48">
        <f t="shared" ca="1" si="39"/>
        <v>5409632.0154590728</v>
      </c>
      <c r="AS49" s="48">
        <f t="shared" ca="1" si="39"/>
        <v>4642840.1714331079</v>
      </c>
      <c r="AT49" s="48">
        <f t="shared" ca="1" si="39"/>
        <v>3954050.1778748888</v>
      </c>
      <c r="AU49" s="48">
        <f t="shared" ca="1" si="39"/>
        <v>3595232.843925762</v>
      </c>
      <c r="AV49" s="48">
        <f t="shared" ca="1" si="39"/>
        <v>3417850.0012369631</v>
      </c>
      <c r="AW49" s="48">
        <f t="shared" ca="1" si="39"/>
        <v>2753257.6314497767</v>
      </c>
      <c r="AX49" s="48">
        <f t="shared" ca="1" si="39"/>
        <v>2494171.9253538079</v>
      </c>
      <c r="AY49" s="48">
        <f t="shared" ca="1" si="39"/>
        <v>2274390.9079838363</v>
      </c>
      <c r="AZ49" s="48">
        <f t="shared" ca="1" si="39"/>
        <v>2053354.3814850834</v>
      </c>
      <c r="BA49" s="48">
        <f t="shared" ca="1" si="39"/>
        <v>1889558.1872142388</v>
      </c>
      <c r="BB49" s="48">
        <f t="shared" ca="1" si="39"/>
        <v>1678370.1649860027</v>
      </c>
      <c r="BC49" s="48">
        <f t="shared" ca="1" si="39"/>
        <v>1550250.7111504762</v>
      </c>
      <c r="BD49" s="48">
        <f t="shared" ca="1" si="39"/>
        <v>1438386.848390826</v>
      </c>
      <c r="BE49" s="48">
        <f t="shared" ca="1" si="39"/>
        <v>1356228.5182429841</v>
      </c>
      <c r="BF49" s="48">
        <f t="shared" ca="1" si="39"/>
        <v>1159542.3647566927</v>
      </c>
      <c r="BG49" s="48">
        <f t="shared" ca="1" si="39"/>
        <v>964965.32651754271</v>
      </c>
      <c r="BH49" s="48">
        <f t="shared" ca="1" si="39"/>
        <v>1181944.9693949197</v>
      </c>
      <c r="BI49" s="48">
        <f t="shared" ca="1" si="39"/>
        <v>1176454.6724172265</v>
      </c>
      <c r="BJ49" s="48">
        <f t="shared" ca="1" si="39"/>
        <v>0</v>
      </c>
      <c r="BK49" s="48">
        <f t="shared" ca="1" si="39"/>
        <v>0</v>
      </c>
      <c r="BL49" s="48">
        <f t="shared" ca="1" si="39"/>
        <v>0</v>
      </c>
      <c r="BM49" s="48">
        <f t="shared" ca="1" si="39"/>
        <v>0</v>
      </c>
      <c r="BN49" s="48">
        <f t="shared" ca="1" si="39"/>
        <v>0</v>
      </c>
      <c r="BO49" s="48">
        <f t="shared" ca="1" si="39"/>
        <v>0</v>
      </c>
      <c r="BP49" s="48">
        <f t="shared" ca="1" si="39"/>
        <v>0</v>
      </c>
      <c r="BQ49" s="48">
        <f t="shared" ca="1" si="39"/>
        <v>0</v>
      </c>
      <c r="BR49" s="48">
        <f t="shared" ca="1" si="39"/>
        <v>0</v>
      </c>
      <c r="BS49" s="48">
        <f t="shared" ca="1" si="39"/>
        <v>0</v>
      </c>
      <c r="BT49" s="48">
        <f t="shared" ca="1" si="39"/>
        <v>0</v>
      </c>
      <c r="BU49" s="48">
        <f t="shared" ca="1" si="39"/>
        <v>0</v>
      </c>
      <c r="BV49" s="48">
        <f t="shared" ca="1" si="39"/>
        <v>0</v>
      </c>
      <c r="BW49" s="48">
        <f t="shared" ca="1" si="39"/>
        <v>0</v>
      </c>
    </row>
    <row r="50" spans="1:75" x14ac:dyDescent="0.3">
      <c r="A50" s="38" t="s">
        <v>521</v>
      </c>
      <c r="B50" s="92">
        <v>0.34</v>
      </c>
      <c r="C50" s="92">
        <f t="shared" ref="C50:AH50" si="40">B50</f>
        <v>0.34</v>
      </c>
      <c r="D50" s="92">
        <f t="shared" si="40"/>
        <v>0.34</v>
      </c>
      <c r="E50" s="92">
        <f t="shared" si="40"/>
        <v>0.34</v>
      </c>
      <c r="F50" s="92">
        <f t="shared" si="40"/>
        <v>0.34</v>
      </c>
      <c r="G50" s="92">
        <f t="shared" si="40"/>
        <v>0.34</v>
      </c>
      <c r="H50" s="92">
        <f t="shared" si="40"/>
        <v>0.34</v>
      </c>
      <c r="I50" s="92">
        <f t="shared" si="40"/>
        <v>0.34</v>
      </c>
      <c r="J50" s="92">
        <f t="shared" si="40"/>
        <v>0.34</v>
      </c>
      <c r="K50" s="92">
        <f t="shared" si="40"/>
        <v>0.34</v>
      </c>
      <c r="L50" s="92">
        <f t="shared" si="40"/>
        <v>0.34</v>
      </c>
      <c r="M50" s="92">
        <f t="shared" si="40"/>
        <v>0.34</v>
      </c>
      <c r="N50" s="92">
        <f t="shared" si="40"/>
        <v>0.34</v>
      </c>
      <c r="O50" s="92">
        <f t="shared" si="40"/>
        <v>0.34</v>
      </c>
      <c r="P50" s="92">
        <f t="shared" si="40"/>
        <v>0.34</v>
      </c>
      <c r="Q50" s="92">
        <f t="shared" si="40"/>
        <v>0.34</v>
      </c>
      <c r="R50" s="92">
        <f t="shared" si="40"/>
        <v>0.34</v>
      </c>
      <c r="S50" s="92">
        <f t="shared" si="40"/>
        <v>0.34</v>
      </c>
      <c r="T50" s="92">
        <f t="shared" si="40"/>
        <v>0.34</v>
      </c>
      <c r="U50" s="92">
        <f t="shared" si="40"/>
        <v>0.34</v>
      </c>
      <c r="V50" s="92">
        <f t="shared" si="40"/>
        <v>0.34</v>
      </c>
      <c r="W50" s="92">
        <f t="shared" si="40"/>
        <v>0.34</v>
      </c>
      <c r="X50" s="92">
        <f t="shared" si="40"/>
        <v>0.34</v>
      </c>
      <c r="Y50" s="92">
        <f t="shared" si="40"/>
        <v>0.34</v>
      </c>
      <c r="Z50" s="92">
        <f t="shared" si="40"/>
        <v>0.34</v>
      </c>
      <c r="AA50" s="92">
        <f t="shared" si="40"/>
        <v>0.34</v>
      </c>
      <c r="AB50" s="92">
        <f t="shared" si="40"/>
        <v>0.34</v>
      </c>
      <c r="AC50" s="92">
        <f t="shared" si="40"/>
        <v>0.34</v>
      </c>
      <c r="AD50" s="92">
        <f t="shared" si="40"/>
        <v>0.34</v>
      </c>
      <c r="AE50" s="92">
        <v>0.34</v>
      </c>
      <c r="AF50" s="92">
        <v>0.34</v>
      </c>
      <c r="AG50" s="92">
        <f t="shared" si="40"/>
        <v>0.34</v>
      </c>
      <c r="AH50" s="92">
        <f t="shared" si="40"/>
        <v>0.34</v>
      </c>
      <c r="AI50" s="92">
        <f t="shared" ref="AI50:BL50" si="41">AH50</f>
        <v>0.34</v>
      </c>
      <c r="AJ50" s="92">
        <f t="shared" si="41"/>
        <v>0.34</v>
      </c>
      <c r="AK50" s="92">
        <f t="shared" si="41"/>
        <v>0.34</v>
      </c>
      <c r="AL50" s="92">
        <f t="shared" si="41"/>
        <v>0.34</v>
      </c>
      <c r="AM50" s="92">
        <f t="shared" si="41"/>
        <v>0.34</v>
      </c>
      <c r="AN50" s="92">
        <f t="shared" si="41"/>
        <v>0.34</v>
      </c>
      <c r="AO50" s="92">
        <f t="shared" si="41"/>
        <v>0.34</v>
      </c>
      <c r="AP50" s="92">
        <f t="shared" si="41"/>
        <v>0.34</v>
      </c>
      <c r="AQ50" s="92">
        <f t="shared" si="41"/>
        <v>0.34</v>
      </c>
      <c r="AR50" s="92">
        <f t="shared" si="41"/>
        <v>0.34</v>
      </c>
      <c r="AS50" s="92">
        <f t="shared" si="41"/>
        <v>0.34</v>
      </c>
      <c r="AT50" s="92">
        <f t="shared" si="41"/>
        <v>0.34</v>
      </c>
      <c r="AU50" s="92">
        <f t="shared" si="41"/>
        <v>0.34</v>
      </c>
      <c r="AV50" s="92">
        <f t="shared" si="41"/>
        <v>0.34</v>
      </c>
      <c r="AW50" s="92">
        <f t="shared" si="41"/>
        <v>0.34</v>
      </c>
      <c r="AX50" s="92">
        <f t="shared" si="41"/>
        <v>0.34</v>
      </c>
      <c r="AY50" s="92">
        <f t="shared" si="41"/>
        <v>0.34</v>
      </c>
      <c r="AZ50" s="92">
        <f t="shared" si="41"/>
        <v>0.34</v>
      </c>
      <c r="BA50" s="92">
        <f t="shared" si="41"/>
        <v>0.34</v>
      </c>
      <c r="BB50" s="92">
        <f t="shared" si="41"/>
        <v>0.34</v>
      </c>
      <c r="BC50" s="92">
        <f t="shared" si="41"/>
        <v>0.34</v>
      </c>
      <c r="BD50" s="92">
        <f t="shared" si="41"/>
        <v>0.34</v>
      </c>
      <c r="BE50" s="92">
        <f t="shared" si="41"/>
        <v>0.34</v>
      </c>
      <c r="BF50" s="92">
        <f t="shared" si="41"/>
        <v>0.34</v>
      </c>
      <c r="BG50" s="92">
        <f t="shared" si="41"/>
        <v>0.34</v>
      </c>
      <c r="BH50" s="92">
        <f t="shared" si="41"/>
        <v>0.34</v>
      </c>
      <c r="BI50" s="92">
        <f t="shared" si="41"/>
        <v>0.34</v>
      </c>
      <c r="BJ50" s="92">
        <f t="shared" si="41"/>
        <v>0.34</v>
      </c>
      <c r="BK50" s="92">
        <f t="shared" si="41"/>
        <v>0.34</v>
      </c>
      <c r="BL50" s="92">
        <f t="shared" si="41"/>
        <v>0.34</v>
      </c>
      <c r="BM50" s="92">
        <f t="shared" ref="BM50:BW50" si="42">BL50</f>
        <v>0.34</v>
      </c>
      <c r="BN50" s="92">
        <f t="shared" si="42"/>
        <v>0.34</v>
      </c>
      <c r="BO50" s="92">
        <f t="shared" si="42"/>
        <v>0.34</v>
      </c>
      <c r="BP50" s="92">
        <f t="shared" si="42"/>
        <v>0.34</v>
      </c>
      <c r="BQ50" s="92">
        <f t="shared" si="42"/>
        <v>0.34</v>
      </c>
      <c r="BR50" s="92">
        <f t="shared" si="42"/>
        <v>0.34</v>
      </c>
      <c r="BS50" s="92">
        <f t="shared" si="42"/>
        <v>0.34</v>
      </c>
      <c r="BT50" s="92">
        <f t="shared" si="42"/>
        <v>0.34</v>
      </c>
      <c r="BU50" s="92">
        <f t="shared" si="42"/>
        <v>0.34</v>
      </c>
      <c r="BV50" s="92">
        <f t="shared" si="42"/>
        <v>0.34</v>
      </c>
      <c r="BW50" s="92">
        <f t="shared" si="42"/>
        <v>0.34</v>
      </c>
    </row>
    <row r="51" spans="1:75" x14ac:dyDescent="0.3">
      <c r="A51" s="38" t="s">
        <v>522</v>
      </c>
      <c r="C51" s="93">
        <f t="shared" ref="C51:AH51" si="43">-C52/C49</f>
        <v>-0.13288477712363331</v>
      </c>
      <c r="D51" s="93">
        <f t="shared" si="43"/>
        <v>4.5229407439266343E-3</v>
      </c>
      <c r="E51" s="93">
        <f t="shared" si="43"/>
        <v>0.27076696630394786</v>
      </c>
      <c r="F51" s="93">
        <f t="shared" si="43"/>
        <v>0.10513565891472869</v>
      </c>
      <c r="G51" s="93">
        <f t="shared" si="43"/>
        <v>0.14101822127775016</v>
      </c>
      <c r="H51" s="93">
        <f t="shared" si="43"/>
        <v>1.4554543696341331</v>
      </c>
      <c r="I51" s="93">
        <f t="shared" si="43"/>
        <v>0.17734112548949452</v>
      </c>
      <c r="J51" s="93">
        <f t="shared" si="43"/>
        <v>-4.211719210930609E-3</v>
      </c>
      <c r="K51" s="93">
        <f t="shared" si="43"/>
        <v>-0.26141873291357481</v>
      </c>
      <c r="L51" s="93">
        <f t="shared" si="43"/>
        <v>-0.55701087981190456</v>
      </c>
      <c r="M51" s="93">
        <f t="shared" si="43"/>
        <v>-0.16910463943999543</v>
      </c>
      <c r="N51" s="93">
        <f t="shared" si="43"/>
        <v>0.18697557717060137</v>
      </c>
      <c r="O51" s="93">
        <f t="shared" si="43"/>
        <v>-0.4913832627632892</v>
      </c>
      <c r="P51" s="93">
        <f t="shared" si="43"/>
        <v>1.1981247691064026E-2</v>
      </c>
      <c r="Q51" s="93">
        <f t="shared" si="43"/>
        <v>6.4383986117997019E-2</v>
      </c>
      <c r="R51" s="93">
        <f t="shared" si="43"/>
        <v>-0.45316399779127553</v>
      </c>
      <c r="S51" s="93">
        <f t="shared" si="43"/>
        <v>0.25085210940461805</v>
      </c>
      <c r="T51" s="93">
        <f t="shared" si="43"/>
        <v>0.42000107513394375</v>
      </c>
      <c r="U51" s="93">
        <f t="shared" si="43"/>
        <v>-8.059779128339635E-2</v>
      </c>
      <c r="V51" s="93">
        <f t="shared" si="43"/>
        <v>0.11078158467528638</v>
      </c>
      <c r="W51" s="93">
        <f t="shared" si="43"/>
        <v>-0.18086524833663448</v>
      </c>
      <c r="X51" s="93">
        <f t="shared" si="43"/>
        <v>0.2018435674177419</v>
      </c>
      <c r="Y51" s="93">
        <f t="shared" si="43"/>
        <v>0.36431497584230987</v>
      </c>
      <c r="Z51" s="93">
        <f t="shared" si="43"/>
        <v>-0.44107233001136259</v>
      </c>
      <c r="AA51" s="93">
        <f t="shared" si="43"/>
        <v>6.4106919509970453E-2</v>
      </c>
      <c r="AB51" s="93">
        <f t="shared" si="43"/>
        <v>7.4459620581528621E-2</v>
      </c>
      <c r="AC51" s="93">
        <f t="shared" si="43"/>
        <v>-9.9269760217107956E-4</v>
      </c>
      <c r="AD51" s="93">
        <f>-AD52/AD49</f>
        <v>0.23176905114405202</v>
      </c>
      <c r="AE51" s="93">
        <f>-AE52/AE49</f>
        <v>0.18038847771312033</v>
      </c>
      <c r="AF51" s="93">
        <f>-AF52/AF49</f>
        <v>0.15148512483553581</v>
      </c>
      <c r="AG51" s="93">
        <f t="shared" ca="1" si="43"/>
        <v>0.34</v>
      </c>
      <c r="AH51" s="93">
        <f t="shared" ca="1" si="43"/>
        <v>0.34</v>
      </c>
      <c r="AI51" s="93">
        <f t="shared" ref="AI51:BL51" ca="1" si="44">-AI52/AI49</f>
        <v>0.34</v>
      </c>
      <c r="AJ51" s="93">
        <f t="shared" ca="1" si="44"/>
        <v>0.33999999999999997</v>
      </c>
      <c r="AK51" s="93">
        <f t="shared" ca="1" si="44"/>
        <v>0.34</v>
      </c>
      <c r="AL51" s="93">
        <f t="shared" ca="1" si="44"/>
        <v>0.34</v>
      </c>
      <c r="AM51" s="93">
        <f t="shared" ca="1" si="44"/>
        <v>0.34</v>
      </c>
      <c r="AN51" s="93">
        <f t="shared" ca="1" si="44"/>
        <v>0.34</v>
      </c>
      <c r="AO51" s="93">
        <f t="shared" ca="1" si="44"/>
        <v>0.34</v>
      </c>
      <c r="AP51" s="93">
        <f t="shared" ca="1" si="44"/>
        <v>0.34</v>
      </c>
      <c r="AQ51" s="93">
        <f t="shared" ca="1" si="44"/>
        <v>0.34</v>
      </c>
      <c r="AR51" s="93">
        <f t="shared" ca="1" si="44"/>
        <v>0.34</v>
      </c>
      <c r="AS51" s="93">
        <f t="shared" ca="1" si="44"/>
        <v>0.34</v>
      </c>
      <c r="AT51" s="93">
        <f t="shared" ca="1" si="44"/>
        <v>0.34</v>
      </c>
      <c r="AU51" s="93">
        <f t="shared" ca="1" si="44"/>
        <v>0.34</v>
      </c>
      <c r="AV51" s="93">
        <f t="shared" ca="1" si="44"/>
        <v>0.34</v>
      </c>
      <c r="AW51" s="93">
        <f t="shared" ca="1" si="44"/>
        <v>0.34</v>
      </c>
      <c r="AX51" s="93">
        <f t="shared" ca="1" si="44"/>
        <v>0.34</v>
      </c>
      <c r="AY51" s="93">
        <f t="shared" ca="1" si="44"/>
        <v>0.34</v>
      </c>
      <c r="AZ51" s="93">
        <f t="shared" ca="1" si="44"/>
        <v>0.34</v>
      </c>
      <c r="BA51" s="93">
        <f t="shared" ca="1" si="44"/>
        <v>0.34</v>
      </c>
      <c r="BB51" s="93">
        <f t="shared" ca="1" si="44"/>
        <v>0.33999999999999997</v>
      </c>
      <c r="BC51" s="93">
        <f t="shared" ca="1" si="44"/>
        <v>0.34</v>
      </c>
      <c r="BD51" s="93">
        <f t="shared" ca="1" si="44"/>
        <v>0.34</v>
      </c>
      <c r="BE51" s="93">
        <f t="shared" ca="1" si="44"/>
        <v>0.34</v>
      </c>
      <c r="BF51" s="93">
        <f t="shared" ca="1" si="44"/>
        <v>0.34</v>
      </c>
      <c r="BG51" s="93">
        <f t="shared" ca="1" si="44"/>
        <v>0.34</v>
      </c>
      <c r="BH51" s="93">
        <f t="shared" ca="1" si="44"/>
        <v>0.34</v>
      </c>
      <c r="BI51" s="93">
        <f t="shared" ca="1" si="44"/>
        <v>0.34</v>
      </c>
      <c r="BJ51" s="93" t="e">
        <f t="shared" ca="1" si="44"/>
        <v>#DIV/0!</v>
      </c>
      <c r="BK51" s="93" t="e">
        <f t="shared" ca="1" si="44"/>
        <v>#DIV/0!</v>
      </c>
      <c r="BL51" s="93" t="e">
        <f t="shared" ca="1" si="44"/>
        <v>#DIV/0!</v>
      </c>
      <c r="BM51" s="93" t="e">
        <f ca="1">-BM52/BM49</f>
        <v>#DIV/0!</v>
      </c>
      <c r="BN51" s="93" t="e">
        <f ca="1">-BN52/BN49</f>
        <v>#DIV/0!</v>
      </c>
      <c r="BO51" s="93" t="e">
        <f ca="1">-BO52/BO49</f>
        <v>#DIV/0!</v>
      </c>
      <c r="BP51" s="93" t="e">
        <f ca="1">-BP52/BP49</f>
        <v>#DIV/0!</v>
      </c>
      <c r="BQ51" s="93" t="e">
        <f ca="1">-BQ52/BQ49</f>
        <v>#DIV/0!</v>
      </c>
      <c r="BR51" s="93" t="e">
        <f t="shared" ref="BR51:BW51" ca="1" si="45">-BR52/BR49</f>
        <v>#DIV/0!</v>
      </c>
      <c r="BS51" s="93" t="e">
        <f t="shared" ca="1" si="45"/>
        <v>#DIV/0!</v>
      </c>
      <c r="BT51" s="93" t="e">
        <f t="shared" ca="1" si="45"/>
        <v>#DIV/0!</v>
      </c>
      <c r="BU51" s="93" t="e">
        <f t="shared" ca="1" si="45"/>
        <v>#DIV/0!</v>
      </c>
      <c r="BV51" s="93" t="e">
        <f t="shared" ca="1" si="45"/>
        <v>#DIV/0!</v>
      </c>
      <c r="BW51" s="93" t="e">
        <f t="shared" ca="1" si="45"/>
        <v>#DIV/0!</v>
      </c>
    </row>
    <row r="52" spans="1:75" x14ac:dyDescent="0.3">
      <c r="A52" s="1" t="s">
        <v>196</v>
      </c>
      <c r="C52" s="52">
        <f>C53+C54</f>
        <v>316</v>
      </c>
      <c r="D52" s="52">
        <f>D53+D54</f>
        <v>-326</v>
      </c>
      <c r="E52" s="52">
        <f>E53+E54</f>
        <v>-25754</v>
      </c>
      <c r="F52" s="52">
        <f>F53+F54</f>
        <v>-5425</v>
      </c>
      <c r="G52" s="48">
        <f t="shared" ref="G52:G61" si="46">SUM(C52:F52)</f>
        <v>-31189</v>
      </c>
      <c r="H52" s="52">
        <f>H53+H54</f>
        <v>173087</v>
      </c>
      <c r="I52" s="52">
        <f>I53+I54</f>
        <v>-35686</v>
      </c>
      <c r="J52" s="52">
        <f>J53+J54</f>
        <v>-721</v>
      </c>
      <c r="K52" s="52">
        <f>K53+K54</f>
        <v>164664</v>
      </c>
      <c r="L52" s="48">
        <f t="shared" ref="L52:L61" si="47">SUM(H52:K52)</f>
        <v>301344</v>
      </c>
      <c r="M52" s="52">
        <f>M53+M54</f>
        <v>-8890</v>
      </c>
      <c r="N52" s="52">
        <f>N53+N54</f>
        <v>22952</v>
      </c>
      <c r="O52" s="52">
        <f>O53+O54</f>
        <v>-36440</v>
      </c>
      <c r="P52" s="52">
        <f>P53+P54</f>
        <v>-8789</v>
      </c>
      <c r="Q52" s="48">
        <f t="shared" ref="Q52:Q61" si="48">SUM(M52:P52)</f>
        <v>-31167</v>
      </c>
      <c r="R52" s="52">
        <f>R53+R54</f>
        <v>-20517</v>
      </c>
      <c r="S52" s="52">
        <f>S53+S54</f>
        <v>-140939</v>
      </c>
      <c r="T52" s="52">
        <f>T53+T54</f>
        <v>-70317</v>
      </c>
      <c r="U52" s="52">
        <f>U53+U54</f>
        <v>65698</v>
      </c>
      <c r="V52" s="48">
        <f t="shared" ref="V52:V61" si="49">SUM(R52:U52)</f>
        <v>-166075</v>
      </c>
      <c r="W52" s="52">
        <f>W53+W54</f>
        <v>163727</v>
      </c>
      <c r="X52" s="52">
        <f>X53+X54</f>
        <v>-191665</v>
      </c>
      <c r="Y52" s="52">
        <f>Y53+Y54</f>
        <v>-454080</v>
      </c>
      <c r="Z52" s="52">
        <f>Z53+Z54</f>
        <v>247270</v>
      </c>
      <c r="AA52" s="48">
        <f t="shared" ref="AA52:AA61" si="50">SUM(W52:Z52)</f>
        <v>-234748</v>
      </c>
      <c r="AB52" s="52">
        <f>AB53+AB54</f>
        <v>-93488</v>
      </c>
      <c r="AC52" s="52">
        <f>AC53+AC54</f>
        <v>834</v>
      </c>
      <c r="AD52" s="52">
        <f>AD53+AD54</f>
        <v>-491403</v>
      </c>
      <c r="AE52" s="52">
        <f>AE53+AE54</f>
        <v>-340710</v>
      </c>
      <c r="AF52" s="52">
        <f>AF53+AF54</f>
        <v>-924767</v>
      </c>
      <c r="AG52" s="52">
        <f ca="1">-AG49*AG50</f>
        <v>-3358740.0008256296</v>
      </c>
      <c r="AH52" s="52">
        <f t="shared" ref="AH52:BL52" ca="1" si="51">-AH49*AH50</f>
        <v>-4384198.9093282083</v>
      </c>
      <c r="AI52" s="52">
        <f t="shared" ca="1" si="51"/>
        <v>-4237245.9681242555</v>
      </c>
      <c r="AJ52" s="52">
        <f t="shared" ca="1" si="51"/>
        <v>-4226530.7656095037</v>
      </c>
      <c r="AK52" s="52">
        <f t="shared" ca="1" si="51"/>
        <v>-3863153.3280783291</v>
      </c>
      <c r="AL52" s="52">
        <f t="shared" ca="1" si="51"/>
        <v>-3863144.1179129933</v>
      </c>
      <c r="AM52" s="52">
        <f t="shared" ca="1" si="51"/>
        <v>-3507826.0733330781</v>
      </c>
      <c r="AN52" s="52">
        <f t="shared" ca="1" si="51"/>
        <v>-2993028.066666509</v>
      </c>
      <c r="AO52" s="52">
        <f t="shared" ca="1" si="51"/>
        <v>-2660999.7275881758</v>
      </c>
      <c r="AP52" s="52">
        <f t="shared" ca="1" si="51"/>
        <v>-2309820.2984133679</v>
      </c>
      <c r="AQ52" s="52">
        <f t="shared" ca="1" si="51"/>
        <v>-2087756.6988403581</v>
      </c>
      <c r="AR52" s="52">
        <f t="shared" ca="1" si="51"/>
        <v>-1839274.8852560848</v>
      </c>
      <c r="AS52" s="52">
        <f t="shared" ca="1" si="51"/>
        <v>-1578565.6582872567</v>
      </c>
      <c r="AT52" s="52">
        <f t="shared" ca="1" si="51"/>
        <v>-1344377.0604774624</v>
      </c>
      <c r="AU52" s="52">
        <f t="shared" ca="1" si="51"/>
        <v>-1222379.1669347591</v>
      </c>
      <c r="AV52" s="52">
        <f t="shared" ca="1" si="51"/>
        <v>-1162069.0004205676</v>
      </c>
      <c r="AW52" s="52">
        <f t="shared" ca="1" si="51"/>
        <v>-936107.59469292418</v>
      </c>
      <c r="AX52" s="52">
        <f t="shared" ca="1" si="51"/>
        <v>-848018.45462029474</v>
      </c>
      <c r="AY52" s="52">
        <f t="shared" ca="1" si="51"/>
        <v>-773292.90871450433</v>
      </c>
      <c r="AZ52" s="52">
        <f t="shared" ca="1" si="51"/>
        <v>-698140.48970492836</v>
      </c>
      <c r="BA52" s="52">
        <f t="shared" ca="1" si="51"/>
        <v>-642449.78365284123</v>
      </c>
      <c r="BB52" s="52">
        <f t="shared" ca="1" si="51"/>
        <v>-570645.85609524092</v>
      </c>
      <c r="BC52" s="52">
        <f t="shared" ca="1" si="51"/>
        <v>-527085.24179116194</v>
      </c>
      <c r="BD52" s="52">
        <f t="shared" ca="1" si="51"/>
        <v>-489051.52845288086</v>
      </c>
      <c r="BE52" s="52">
        <f t="shared" ca="1" si="51"/>
        <v>-461117.69620261464</v>
      </c>
      <c r="BF52" s="52">
        <f t="shared" ca="1" si="51"/>
        <v>-394244.40401727555</v>
      </c>
      <c r="BG52" s="52">
        <f t="shared" ca="1" si="51"/>
        <v>-328088.21101596457</v>
      </c>
      <c r="BH52" s="52">
        <f t="shared" ca="1" si="51"/>
        <v>-401861.28959427273</v>
      </c>
      <c r="BI52" s="52">
        <f t="shared" ca="1" si="51"/>
        <v>-399994.58862185705</v>
      </c>
      <c r="BJ52" s="52">
        <f t="shared" ca="1" si="51"/>
        <v>0</v>
      </c>
      <c r="BK52" s="52">
        <f t="shared" ca="1" si="51"/>
        <v>0</v>
      </c>
      <c r="BL52" s="52">
        <f t="shared" ca="1" si="51"/>
        <v>0</v>
      </c>
      <c r="BM52" s="52">
        <f ca="1">-BM49*BM50</f>
        <v>0</v>
      </c>
      <c r="BN52" s="52">
        <f ca="1">-BN49*BN50</f>
        <v>0</v>
      </c>
      <c r="BO52" s="52">
        <f ca="1">-BO49*BO50</f>
        <v>0</v>
      </c>
      <c r="BP52" s="52">
        <f ca="1">-BP49*BP50</f>
        <v>0</v>
      </c>
      <c r="BQ52" s="52">
        <f ca="1">-BQ49*BQ50</f>
        <v>0</v>
      </c>
      <c r="BR52" s="52">
        <f t="shared" ref="BR52:BW52" ca="1" si="52">-BR49*BR50</f>
        <v>0</v>
      </c>
      <c r="BS52" s="52">
        <f t="shared" ca="1" si="52"/>
        <v>0</v>
      </c>
      <c r="BT52" s="52">
        <f t="shared" ca="1" si="52"/>
        <v>0</v>
      </c>
      <c r="BU52" s="52">
        <f t="shared" ca="1" si="52"/>
        <v>0</v>
      </c>
      <c r="BV52" s="52">
        <f t="shared" ca="1" si="52"/>
        <v>0</v>
      </c>
      <c r="BW52" s="52">
        <f t="shared" ca="1" si="52"/>
        <v>0</v>
      </c>
    </row>
    <row r="53" spans="1:75" x14ac:dyDescent="0.3">
      <c r="A53" s="42" t="s">
        <v>197</v>
      </c>
      <c r="B53" s="42"/>
      <c r="C53" s="49">
        <v>-8975</v>
      </c>
      <c r="D53" s="49">
        <v>-1874</v>
      </c>
      <c r="E53" s="49">
        <v>-25633</v>
      </c>
      <c r="F53" s="49">
        <v>-6487</v>
      </c>
      <c r="G53" s="51">
        <f t="shared" si="46"/>
        <v>-42969</v>
      </c>
      <c r="H53" s="49">
        <v>-5398</v>
      </c>
      <c r="I53" s="49">
        <v>-36707</v>
      </c>
      <c r="J53" s="49">
        <v>-575</v>
      </c>
      <c r="K53" s="49">
        <v>-12978</v>
      </c>
      <c r="L53" s="51">
        <f t="shared" si="47"/>
        <v>-55658</v>
      </c>
      <c r="M53" s="49">
        <v>-12142</v>
      </c>
      <c r="N53" s="49">
        <v>-2633</v>
      </c>
      <c r="O53" s="49">
        <v>-9759</v>
      </c>
      <c r="P53" s="49">
        <v>-52606</v>
      </c>
      <c r="Q53" s="51">
        <f t="shared" si="48"/>
        <v>-77140</v>
      </c>
      <c r="R53" s="49">
        <v>-79573</v>
      </c>
      <c r="S53" s="49">
        <v>-59964</v>
      </c>
      <c r="T53" s="49">
        <v>-94553</v>
      </c>
      <c r="U53" s="49">
        <v>-110722</v>
      </c>
      <c r="V53" s="51">
        <f t="shared" si="49"/>
        <v>-344812</v>
      </c>
      <c r="W53" s="49">
        <v>-115251</v>
      </c>
      <c r="X53" s="49">
        <v>-197982</v>
      </c>
      <c r="Y53" s="49">
        <v>-255548</v>
      </c>
      <c r="Z53" s="49">
        <v>23321</v>
      </c>
      <c r="AA53" s="51">
        <f t="shared" si="50"/>
        <v>-545460</v>
      </c>
      <c r="AB53" s="49">
        <v>-124073</v>
      </c>
      <c r="AC53" s="49">
        <v>-108927</v>
      </c>
      <c r="AD53" s="49">
        <v>-187700</v>
      </c>
      <c r="AE53" s="49">
        <f>AF53-AD53-AC53-AB53</f>
        <v>-262941</v>
      </c>
      <c r="AF53" s="49">
        <v>-683641</v>
      </c>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row>
    <row r="54" spans="1:75" x14ac:dyDescent="0.3">
      <c r="A54" s="42" t="s">
        <v>198</v>
      </c>
      <c r="B54" s="42"/>
      <c r="C54" s="49">
        <v>9291</v>
      </c>
      <c r="D54" s="49">
        <v>1548</v>
      </c>
      <c r="E54" s="49">
        <v>-121</v>
      </c>
      <c r="F54" s="49">
        <v>1062</v>
      </c>
      <c r="G54" s="51">
        <f t="shared" si="46"/>
        <v>11780</v>
      </c>
      <c r="H54" s="49">
        <v>178485</v>
      </c>
      <c r="I54" s="49">
        <v>1021</v>
      </c>
      <c r="J54" s="49">
        <v>-146</v>
      </c>
      <c r="K54" s="49">
        <v>177642</v>
      </c>
      <c r="L54" s="51">
        <f t="shared" si="47"/>
        <v>357002</v>
      </c>
      <c r="M54" s="49">
        <v>3252</v>
      </c>
      <c r="N54" s="49">
        <v>25585</v>
      </c>
      <c r="O54" s="49">
        <v>-26681</v>
      </c>
      <c r="P54" s="49">
        <v>43817</v>
      </c>
      <c r="Q54" s="51">
        <f t="shared" si="48"/>
        <v>45973</v>
      </c>
      <c r="R54" s="49">
        <v>59056</v>
      </c>
      <c r="S54" s="49">
        <v>-80975</v>
      </c>
      <c r="T54" s="49">
        <v>24236</v>
      </c>
      <c r="U54" s="49">
        <v>176420</v>
      </c>
      <c r="V54" s="51">
        <f t="shared" si="49"/>
        <v>178737</v>
      </c>
      <c r="W54" s="49">
        <v>278978</v>
      </c>
      <c r="X54" s="49">
        <v>6317</v>
      </c>
      <c r="Y54" s="49">
        <v>-198532</v>
      </c>
      <c r="Z54" s="49">
        <v>223949</v>
      </c>
      <c r="AA54" s="51">
        <f t="shared" si="50"/>
        <v>310712</v>
      </c>
      <c r="AB54" s="49">
        <v>30585</v>
      </c>
      <c r="AC54" s="49">
        <v>109761</v>
      </c>
      <c r="AD54" s="49">
        <v>-303703</v>
      </c>
      <c r="AE54" s="49">
        <f>AF54-AD54-AC54-AB54</f>
        <v>-77769</v>
      </c>
      <c r="AF54" s="49">
        <v>-241126</v>
      </c>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row>
    <row r="55" spans="1:75" x14ac:dyDescent="0.3">
      <c r="A55" s="38" t="s">
        <v>199</v>
      </c>
      <c r="B55" s="38"/>
      <c r="C55" s="48">
        <f>C49+C52</f>
        <v>2694</v>
      </c>
      <c r="D55" s="48">
        <f>D49+D52</f>
        <v>71751</v>
      </c>
      <c r="E55" s="48">
        <f>E49+E52</f>
        <v>69361</v>
      </c>
      <c r="F55" s="48">
        <f>F49+F52</f>
        <v>46175</v>
      </c>
      <c r="G55" s="48">
        <f t="shared" si="46"/>
        <v>189981</v>
      </c>
      <c r="H55" s="48">
        <f>H49+H52</f>
        <v>54164</v>
      </c>
      <c r="I55" s="48">
        <f>I49+I52</f>
        <v>165542</v>
      </c>
      <c r="J55" s="48">
        <f>J49+J52</f>
        <v>-171910</v>
      </c>
      <c r="K55" s="48">
        <f>K49+K52</f>
        <v>794550</v>
      </c>
      <c r="L55" s="48">
        <f t="shared" si="47"/>
        <v>842346</v>
      </c>
      <c r="M55" s="48">
        <f>M49+M52</f>
        <v>-61461</v>
      </c>
      <c r="N55" s="48">
        <f>N49+N52</f>
        <v>-99802</v>
      </c>
      <c r="O55" s="48">
        <f>O49+O52</f>
        <v>-110598</v>
      </c>
      <c r="P55" s="48">
        <f>P49+P52</f>
        <v>724774</v>
      </c>
      <c r="Q55" s="48">
        <f t="shared" si="48"/>
        <v>452913</v>
      </c>
      <c r="R55" s="48">
        <f>R49+R52</f>
        <v>-65792</v>
      </c>
      <c r="S55" s="48">
        <f>S49+S52</f>
        <v>420902</v>
      </c>
      <c r="T55" s="48">
        <f>T49+T52</f>
        <v>97104</v>
      </c>
      <c r="U55" s="48">
        <f>U49+U52</f>
        <v>880832</v>
      </c>
      <c r="V55" s="48">
        <f t="shared" si="49"/>
        <v>1333046</v>
      </c>
      <c r="W55" s="48">
        <f>W49+W52</f>
        <v>1068970</v>
      </c>
      <c r="X55" s="48">
        <f>X49+X52</f>
        <v>757907</v>
      </c>
      <c r="Y55" s="48">
        <f>Y49+Y52</f>
        <v>792314</v>
      </c>
      <c r="Z55" s="48">
        <f>Z49+Z52</f>
        <v>807881</v>
      </c>
      <c r="AA55" s="48">
        <f t="shared" si="50"/>
        <v>3427072</v>
      </c>
      <c r="AB55" s="48">
        <f>AB49+AB52</f>
        <v>1162065</v>
      </c>
      <c r="AC55" s="48">
        <f t="shared" ref="AC55:BL55" si="53">AC49+AC52</f>
        <v>840969</v>
      </c>
      <c r="AD55" s="48">
        <f t="shared" si="53"/>
        <v>1628824</v>
      </c>
      <c r="AE55" s="48">
        <f>AE49+AE52</f>
        <v>1548047</v>
      </c>
      <c r="AF55" s="48">
        <f>AF49+AF52</f>
        <v>5179905</v>
      </c>
      <c r="AG55" s="48">
        <f ca="1">AG49+AG52</f>
        <v>6519907.0604262212</v>
      </c>
      <c r="AH55" s="48">
        <f t="shared" ca="1" si="53"/>
        <v>8510503.7651665211</v>
      </c>
      <c r="AI55" s="48">
        <f t="shared" ca="1" si="53"/>
        <v>8225242.1734176707</v>
      </c>
      <c r="AJ55" s="48">
        <f t="shared" ca="1" si="53"/>
        <v>8204442.0744184488</v>
      </c>
      <c r="AK55" s="48">
        <f t="shared" ca="1" si="53"/>
        <v>7499062.3427402843</v>
      </c>
      <c r="AL55" s="48">
        <f t="shared" ca="1" si="53"/>
        <v>7499044.4641840458</v>
      </c>
      <c r="AM55" s="48">
        <f t="shared" ca="1" si="53"/>
        <v>6809309.4364700923</v>
      </c>
      <c r="AN55" s="48">
        <f t="shared" ca="1" si="53"/>
        <v>5809995.6588232229</v>
      </c>
      <c r="AO55" s="48">
        <f t="shared" ca="1" si="53"/>
        <v>5165470.0594358696</v>
      </c>
      <c r="AP55" s="48">
        <f t="shared" ca="1" si="53"/>
        <v>4483768.8145671254</v>
      </c>
      <c r="AQ55" s="48">
        <f t="shared" ca="1" si="53"/>
        <v>4052704.1801018706</v>
      </c>
      <c r="AR55" s="48">
        <f t="shared" ca="1" si="53"/>
        <v>3570357.1302029882</v>
      </c>
      <c r="AS55" s="48">
        <f t="shared" ca="1" si="53"/>
        <v>3064274.513145851</v>
      </c>
      <c r="AT55" s="48">
        <f t="shared" ca="1" si="53"/>
        <v>2609673.1173974266</v>
      </c>
      <c r="AU55" s="48">
        <f t="shared" ca="1" si="53"/>
        <v>2372853.6769910026</v>
      </c>
      <c r="AV55" s="48">
        <f t="shared" ca="1" si="53"/>
        <v>2255781.0008163955</v>
      </c>
      <c r="AW55" s="48">
        <f t="shared" ca="1" si="53"/>
        <v>1817150.0367568526</v>
      </c>
      <c r="AX55" s="48">
        <f t="shared" ca="1" si="53"/>
        <v>1646153.4707335131</v>
      </c>
      <c r="AY55" s="48">
        <f t="shared" ca="1" si="53"/>
        <v>1501097.9992693318</v>
      </c>
      <c r="AZ55" s="48">
        <f t="shared" ca="1" si="53"/>
        <v>1355213.891780155</v>
      </c>
      <c r="BA55" s="48">
        <f t="shared" ca="1" si="53"/>
        <v>1247108.4035613975</v>
      </c>
      <c r="BB55" s="48">
        <f t="shared" ca="1" si="53"/>
        <v>1107724.3088907618</v>
      </c>
      <c r="BC55" s="48">
        <f t="shared" ca="1" si="53"/>
        <v>1023165.4693593143</v>
      </c>
      <c r="BD55" s="48">
        <f t="shared" ca="1" si="53"/>
        <v>949335.31993794511</v>
      </c>
      <c r="BE55" s="48">
        <f t="shared" ca="1" si="53"/>
        <v>895110.8220403695</v>
      </c>
      <c r="BF55" s="48">
        <f t="shared" ca="1" si="53"/>
        <v>765297.96073941712</v>
      </c>
      <c r="BG55" s="48">
        <f t="shared" ca="1" si="53"/>
        <v>636877.1155015782</v>
      </c>
      <c r="BH55" s="48">
        <f t="shared" ca="1" si="53"/>
        <v>780083.67980064696</v>
      </c>
      <c r="BI55" s="48">
        <f t="shared" ca="1" si="53"/>
        <v>776460.08379536937</v>
      </c>
      <c r="BJ55" s="48">
        <f t="shared" ca="1" si="53"/>
        <v>0</v>
      </c>
      <c r="BK55" s="48">
        <f t="shared" ca="1" si="53"/>
        <v>0</v>
      </c>
      <c r="BL55" s="48">
        <f t="shared" ca="1" si="53"/>
        <v>0</v>
      </c>
      <c r="BM55" s="48">
        <f ca="1">BM49+BM52</f>
        <v>0</v>
      </c>
      <c r="BN55" s="48">
        <f ca="1">BN49+BN52</f>
        <v>0</v>
      </c>
      <c r="BO55" s="48">
        <f ca="1">BO49+BO52</f>
        <v>0</v>
      </c>
      <c r="BP55" s="48">
        <f ca="1">BP49+BP52</f>
        <v>0</v>
      </c>
      <c r="BQ55" s="48">
        <f ca="1">BQ49+BQ52</f>
        <v>0</v>
      </c>
      <c r="BR55" s="48">
        <f t="shared" ref="BR55:BW55" ca="1" si="54">BR49+BR52</f>
        <v>0</v>
      </c>
      <c r="BS55" s="48">
        <f t="shared" ca="1" si="54"/>
        <v>0</v>
      </c>
      <c r="BT55" s="48">
        <f t="shared" ca="1" si="54"/>
        <v>0</v>
      </c>
      <c r="BU55" s="48">
        <f t="shared" ca="1" si="54"/>
        <v>0</v>
      </c>
      <c r="BV55" s="48">
        <f t="shared" ca="1" si="54"/>
        <v>0</v>
      </c>
      <c r="BW55" s="48">
        <f t="shared" ca="1" si="54"/>
        <v>0</v>
      </c>
    </row>
    <row r="56" spans="1:75" x14ac:dyDescent="0.3">
      <c r="A56" s="1" t="s">
        <v>200</v>
      </c>
      <c r="C56" s="49">
        <v>0</v>
      </c>
      <c r="D56" s="49">
        <v>0</v>
      </c>
      <c r="E56" s="49">
        <v>0</v>
      </c>
      <c r="F56" s="49">
        <v>0</v>
      </c>
      <c r="G56" s="51">
        <f t="shared" si="46"/>
        <v>0</v>
      </c>
      <c r="H56" s="49">
        <v>0</v>
      </c>
      <c r="I56" s="49">
        <v>0</v>
      </c>
      <c r="J56" s="49">
        <v>0</v>
      </c>
      <c r="K56" s="49">
        <v>0</v>
      </c>
      <c r="L56" s="51">
        <f t="shared" si="47"/>
        <v>0</v>
      </c>
      <c r="M56" s="49">
        <v>0</v>
      </c>
      <c r="N56" s="49">
        <v>0</v>
      </c>
      <c r="O56" s="49">
        <v>0</v>
      </c>
      <c r="P56" s="49">
        <v>0</v>
      </c>
      <c r="Q56" s="51">
        <f t="shared" si="48"/>
        <v>0</v>
      </c>
      <c r="R56" s="49">
        <v>0</v>
      </c>
      <c r="S56" s="49">
        <v>0</v>
      </c>
      <c r="T56" s="49">
        <v>0</v>
      </c>
      <c r="U56" s="49">
        <v>0</v>
      </c>
      <c r="V56" s="51">
        <f t="shared" si="49"/>
        <v>0</v>
      </c>
      <c r="W56" s="49">
        <v>0</v>
      </c>
      <c r="X56" s="49">
        <v>0</v>
      </c>
      <c r="Y56" s="49">
        <v>0</v>
      </c>
      <c r="Z56" s="49">
        <v>0</v>
      </c>
      <c r="AA56" s="51">
        <f t="shared" si="50"/>
        <v>0</v>
      </c>
      <c r="AB56" s="49">
        <v>0</v>
      </c>
      <c r="AC56" s="49">
        <v>0</v>
      </c>
      <c r="AD56" s="49">
        <v>0</v>
      </c>
      <c r="AE56" s="49">
        <f>AF56-AD56-AC56-AB56</f>
        <v>0</v>
      </c>
      <c r="AF56" s="49">
        <v>0</v>
      </c>
      <c r="AG56" s="49">
        <v>0</v>
      </c>
      <c r="AH56" s="49">
        <v>0</v>
      </c>
      <c r="AI56" s="49">
        <v>0</v>
      </c>
      <c r="AJ56" s="49">
        <v>0</v>
      </c>
      <c r="AK56" s="49">
        <v>0</v>
      </c>
      <c r="AL56" s="49">
        <v>0</v>
      </c>
      <c r="AM56" s="49">
        <v>0</v>
      </c>
      <c r="AN56" s="49">
        <v>0</v>
      </c>
      <c r="AO56" s="49">
        <v>0</v>
      </c>
      <c r="AP56" s="49">
        <v>0</v>
      </c>
      <c r="AQ56" s="49">
        <v>0</v>
      </c>
      <c r="AR56" s="49">
        <v>0</v>
      </c>
      <c r="AS56" s="49">
        <v>0</v>
      </c>
      <c r="AT56" s="49">
        <v>0</v>
      </c>
      <c r="AU56" s="49">
        <v>0</v>
      </c>
      <c r="AV56" s="49">
        <v>0</v>
      </c>
      <c r="AW56" s="49">
        <v>0</v>
      </c>
      <c r="AX56" s="49">
        <v>0</v>
      </c>
      <c r="AY56" s="49">
        <v>0</v>
      </c>
      <c r="AZ56" s="49">
        <v>0</v>
      </c>
      <c r="BA56" s="49">
        <v>0</v>
      </c>
      <c r="BB56" s="49">
        <v>0</v>
      </c>
      <c r="BC56" s="49">
        <v>0</v>
      </c>
      <c r="BD56" s="49">
        <v>0</v>
      </c>
      <c r="BE56" s="49">
        <v>0</v>
      </c>
      <c r="BF56" s="49">
        <v>0</v>
      </c>
      <c r="BG56" s="49">
        <v>0</v>
      </c>
      <c r="BH56" s="49">
        <v>0</v>
      </c>
      <c r="BI56" s="49">
        <v>0</v>
      </c>
      <c r="BJ56" s="49">
        <v>0</v>
      </c>
      <c r="BK56" s="49">
        <v>0</v>
      </c>
      <c r="BL56" s="49">
        <v>0</v>
      </c>
      <c r="BM56" s="49">
        <v>0</v>
      </c>
      <c r="BN56" s="49">
        <v>0</v>
      </c>
      <c r="BO56" s="49">
        <v>0</v>
      </c>
      <c r="BP56" s="49">
        <v>0</v>
      </c>
      <c r="BQ56" s="49">
        <v>0</v>
      </c>
      <c r="BR56" s="49">
        <v>0</v>
      </c>
      <c r="BS56" s="49">
        <v>0</v>
      </c>
      <c r="BT56" s="49">
        <v>0</v>
      </c>
      <c r="BU56" s="49">
        <v>0</v>
      </c>
      <c r="BV56" s="49">
        <v>0</v>
      </c>
      <c r="BW56" s="49">
        <v>0</v>
      </c>
    </row>
    <row r="57" spans="1:75" x14ac:dyDescent="0.3">
      <c r="A57" s="42" t="s">
        <v>201</v>
      </c>
      <c r="B57" s="42"/>
      <c r="C57" s="49">
        <v>0</v>
      </c>
      <c r="D57" s="49">
        <v>0</v>
      </c>
      <c r="E57" s="49">
        <v>0</v>
      </c>
      <c r="F57" s="49">
        <v>0</v>
      </c>
      <c r="G57" s="51">
        <f t="shared" si="46"/>
        <v>0</v>
      </c>
      <c r="H57" s="49">
        <v>0</v>
      </c>
      <c r="I57" s="49">
        <v>0</v>
      </c>
      <c r="J57" s="49">
        <v>0</v>
      </c>
      <c r="K57" s="49">
        <v>0</v>
      </c>
      <c r="L57" s="51">
        <f t="shared" si="47"/>
        <v>0</v>
      </c>
      <c r="M57" s="49">
        <v>0</v>
      </c>
      <c r="N57" s="49">
        <v>0</v>
      </c>
      <c r="O57" s="49">
        <v>0</v>
      </c>
      <c r="P57" s="49">
        <v>0</v>
      </c>
      <c r="Q57" s="51">
        <f t="shared" si="48"/>
        <v>0</v>
      </c>
      <c r="R57" s="49">
        <v>0</v>
      </c>
      <c r="S57" s="49">
        <v>0</v>
      </c>
      <c r="T57" s="49">
        <v>0</v>
      </c>
      <c r="U57" s="49">
        <v>0</v>
      </c>
      <c r="V57" s="51">
        <f t="shared" si="49"/>
        <v>0</v>
      </c>
      <c r="W57" s="49">
        <v>0</v>
      </c>
      <c r="X57" s="49">
        <v>0</v>
      </c>
      <c r="Y57" s="49">
        <v>0</v>
      </c>
      <c r="Z57" s="49">
        <v>0</v>
      </c>
      <c r="AA57" s="51">
        <f t="shared" si="50"/>
        <v>0</v>
      </c>
      <c r="AB57" s="49">
        <v>0</v>
      </c>
      <c r="AC57" s="49">
        <v>0</v>
      </c>
      <c r="AD57" s="49">
        <v>0</v>
      </c>
      <c r="AE57" s="49">
        <f>AF57-AD57-AC57-AB57</f>
        <v>0</v>
      </c>
      <c r="AF57" s="49">
        <v>0</v>
      </c>
      <c r="AG57" s="49">
        <v>0</v>
      </c>
      <c r="AH57" s="49">
        <v>0</v>
      </c>
      <c r="AI57" s="49">
        <v>0</v>
      </c>
      <c r="AJ57" s="49">
        <v>0</v>
      </c>
      <c r="AK57" s="49">
        <v>0</v>
      </c>
      <c r="AL57" s="49">
        <v>0</v>
      </c>
      <c r="AM57" s="49">
        <v>0</v>
      </c>
      <c r="AN57" s="49">
        <v>0</v>
      </c>
      <c r="AO57" s="49">
        <v>0</v>
      </c>
      <c r="AP57" s="49">
        <v>0</v>
      </c>
      <c r="AQ57" s="49">
        <v>0</v>
      </c>
      <c r="AR57" s="49">
        <v>0</v>
      </c>
      <c r="AS57" s="49">
        <v>0</v>
      </c>
      <c r="AT57" s="49">
        <v>0</v>
      </c>
      <c r="AU57" s="49">
        <v>0</v>
      </c>
      <c r="AV57" s="49">
        <v>0</v>
      </c>
      <c r="AW57" s="49">
        <v>0</v>
      </c>
      <c r="AX57" s="49">
        <v>0</v>
      </c>
      <c r="AY57" s="49">
        <v>0</v>
      </c>
      <c r="AZ57" s="49">
        <v>0</v>
      </c>
      <c r="BA57" s="49">
        <v>0</v>
      </c>
      <c r="BB57" s="49">
        <v>0</v>
      </c>
      <c r="BC57" s="49">
        <v>0</v>
      </c>
      <c r="BD57" s="49">
        <v>0</v>
      </c>
      <c r="BE57" s="49">
        <v>0</v>
      </c>
      <c r="BF57" s="49">
        <v>0</v>
      </c>
      <c r="BG57" s="49">
        <v>0</v>
      </c>
      <c r="BH57" s="49">
        <v>0</v>
      </c>
      <c r="BI57" s="49">
        <v>0</v>
      </c>
      <c r="BJ57" s="49">
        <v>0</v>
      </c>
      <c r="BK57" s="49">
        <v>0</v>
      </c>
      <c r="BL57" s="49">
        <v>0</v>
      </c>
      <c r="BM57" s="49">
        <v>0</v>
      </c>
      <c r="BN57" s="49">
        <v>0</v>
      </c>
      <c r="BO57" s="49">
        <v>0</v>
      </c>
      <c r="BP57" s="49">
        <v>0</v>
      </c>
      <c r="BQ57" s="49">
        <v>0</v>
      </c>
      <c r="BR57" s="49">
        <v>0</v>
      </c>
      <c r="BS57" s="49">
        <v>0</v>
      </c>
      <c r="BT57" s="49">
        <v>0</v>
      </c>
      <c r="BU57" s="49">
        <v>0</v>
      </c>
      <c r="BV57" s="49">
        <v>0</v>
      </c>
      <c r="BW57" s="49">
        <v>0</v>
      </c>
    </row>
    <row r="58" spans="1:75" x14ac:dyDescent="0.3">
      <c r="A58" s="42" t="s">
        <v>202</v>
      </c>
      <c r="B58" s="42"/>
      <c r="C58" s="49">
        <v>0</v>
      </c>
      <c r="D58" s="49">
        <v>0</v>
      </c>
      <c r="E58" s="49">
        <v>0</v>
      </c>
      <c r="F58" s="49">
        <v>0</v>
      </c>
      <c r="G58" s="51">
        <f t="shared" si="46"/>
        <v>0</v>
      </c>
      <c r="H58" s="49">
        <v>0</v>
      </c>
      <c r="I58" s="49">
        <v>0</v>
      </c>
      <c r="J58" s="49">
        <v>0</v>
      </c>
      <c r="K58" s="49">
        <v>0</v>
      </c>
      <c r="L58" s="51">
        <f t="shared" si="47"/>
        <v>0</v>
      </c>
      <c r="M58" s="49">
        <v>0</v>
      </c>
      <c r="N58" s="49">
        <v>0</v>
      </c>
      <c r="O58" s="49">
        <v>0</v>
      </c>
      <c r="P58" s="49">
        <v>0</v>
      </c>
      <c r="Q58" s="51">
        <f t="shared" si="48"/>
        <v>0</v>
      </c>
      <c r="R58" s="49">
        <v>0</v>
      </c>
      <c r="S58" s="49">
        <v>0</v>
      </c>
      <c r="T58" s="49">
        <v>0</v>
      </c>
      <c r="U58" s="49">
        <v>0</v>
      </c>
      <c r="V58" s="51">
        <f t="shared" si="49"/>
        <v>0</v>
      </c>
      <c r="W58" s="49">
        <v>0</v>
      </c>
      <c r="X58" s="49">
        <v>0</v>
      </c>
      <c r="Y58" s="49">
        <v>0</v>
      </c>
      <c r="Z58" s="49">
        <v>0</v>
      </c>
      <c r="AA58" s="51">
        <f t="shared" si="50"/>
        <v>0</v>
      </c>
      <c r="AB58" s="49">
        <v>0</v>
      </c>
      <c r="AC58" s="49">
        <v>0</v>
      </c>
      <c r="AD58" s="49">
        <v>0</v>
      </c>
      <c r="AE58" s="49">
        <f>AF58-AD58-AC58-AB58</f>
        <v>0</v>
      </c>
      <c r="AF58" s="49">
        <v>0</v>
      </c>
      <c r="AG58" s="49">
        <v>0</v>
      </c>
      <c r="AH58" s="49">
        <v>0</v>
      </c>
      <c r="AI58" s="49">
        <v>0</v>
      </c>
      <c r="AJ58" s="49">
        <v>0</v>
      </c>
      <c r="AK58" s="49">
        <v>0</v>
      </c>
      <c r="AL58" s="49">
        <v>0</v>
      </c>
      <c r="AM58" s="49">
        <v>0</v>
      </c>
      <c r="AN58" s="49">
        <v>0</v>
      </c>
      <c r="AO58" s="49">
        <v>0</v>
      </c>
      <c r="AP58" s="49">
        <v>0</v>
      </c>
      <c r="AQ58" s="49">
        <v>0</v>
      </c>
      <c r="AR58" s="49">
        <v>0</v>
      </c>
      <c r="AS58" s="49">
        <v>0</v>
      </c>
      <c r="AT58" s="49">
        <v>0</v>
      </c>
      <c r="AU58" s="49">
        <v>0</v>
      </c>
      <c r="AV58" s="49">
        <v>0</v>
      </c>
      <c r="AW58" s="49">
        <v>0</v>
      </c>
      <c r="AX58" s="49">
        <v>0</v>
      </c>
      <c r="AY58" s="49">
        <v>0</v>
      </c>
      <c r="AZ58" s="49">
        <v>0</v>
      </c>
      <c r="BA58" s="49">
        <v>0</v>
      </c>
      <c r="BB58" s="49">
        <v>0</v>
      </c>
      <c r="BC58" s="49">
        <v>0</v>
      </c>
      <c r="BD58" s="49">
        <v>0</v>
      </c>
      <c r="BE58" s="49">
        <v>0</v>
      </c>
      <c r="BF58" s="49">
        <v>0</v>
      </c>
      <c r="BG58" s="49">
        <v>0</v>
      </c>
      <c r="BH58" s="49">
        <v>0</v>
      </c>
      <c r="BI58" s="49">
        <v>0</v>
      </c>
      <c r="BJ58" s="49">
        <v>0</v>
      </c>
      <c r="BK58" s="49">
        <v>0</v>
      </c>
      <c r="BL58" s="49">
        <v>0</v>
      </c>
      <c r="BM58" s="49">
        <v>0</v>
      </c>
      <c r="BN58" s="49">
        <v>0</v>
      </c>
      <c r="BO58" s="49">
        <v>0</v>
      </c>
      <c r="BP58" s="49">
        <v>0</v>
      </c>
      <c r="BQ58" s="49">
        <v>0</v>
      </c>
      <c r="BR58" s="49">
        <v>0</v>
      </c>
      <c r="BS58" s="49">
        <v>0</v>
      </c>
      <c r="BT58" s="49">
        <v>0</v>
      </c>
      <c r="BU58" s="49">
        <v>0</v>
      </c>
      <c r="BV58" s="49">
        <v>0</v>
      </c>
      <c r="BW58" s="49">
        <v>0</v>
      </c>
    </row>
    <row r="59" spans="1:75" x14ac:dyDescent="0.3">
      <c r="A59" s="38" t="s">
        <v>203</v>
      </c>
      <c r="B59" s="38"/>
      <c r="C59" s="48">
        <f>C55</f>
        <v>2694</v>
      </c>
      <c r="D59" s="48">
        <f>D55</f>
        <v>71751</v>
      </c>
      <c r="E59" s="48">
        <f>E55</f>
        <v>69361</v>
      </c>
      <c r="F59" s="48">
        <f>F55</f>
        <v>46175</v>
      </c>
      <c r="G59" s="48">
        <f t="shared" si="46"/>
        <v>189981</v>
      </c>
      <c r="H59" s="48">
        <f>H55</f>
        <v>54164</v>
      </c>
      <c r="I59" s="48">
        <f>I55</f>
        <v>165542</v>
      </c>
      <c r="J59" s="48">
        <f>J55</f>
        <v>-171910</v>
      </c>
      <c r="K59" s="48">
        <f>K55</f>
        <v>794550</v>
      </c>
      <c r="L59" s="48">
        <f t="shared" si="47"/>
        <v>842346</v>
      </c>
      <c r="M59" s="48">
        <f>M55</f>
        <v>-61461</v>
      </c>
      <c r="N59" s="48">
        <f>N55</f>
        <v>-99802</v>
      </c>
      <c r="O59" s="48">
        <f>O55</f>
        <v>-110598</v>
      </c>
      <c r="P59" s="48">
        <f>P55</f>
        <v>724774</v>
      </c>
      <c r="Q59" s="48">
        <f t="shared" si="48"/>
        <v>452913</v>
      </c>
      <c r="R59" s="48">
        <f>R55</f>
        <v>-65792</v>
      </c>
      <c r="S59" s="48">
        <f>S55</f>
        <v>420902</v>
      </c>
      <c r="T59" s="48">
        <f>T55</f>
        <v>97104</v>
      </c>
      <c r="U59" s="48">
        <f>U55</f>
        <v>880832</v>
      </c>
      <c r="V59" s="48">
        <f t="shared" si="49"/>
        <v>1333046</v>
      </c>
      <c r="W59" s="48">
        <f>W55</f>
        <v>1068970</v>
      </c>
      <c r="X59" s="48">
        <f>X55</f>
        <v>757907</v>
      </c>
      <c r="Y59" s="48">
        <f>Y55</f>
        <v>792314</v>
      </c>
      <c r="Z59" s="48">
        <f>Z55</f>
        <v>807881</v>
      </c>
      <c r="AA59" s="48">
        <f t="shared" si="50"/>
        <v>3427072</v>
      </c>
      <c r="AB59" s="48">
        <f>AB55</f>
        <v>1162065</v>
      </c>
      <c r="AC59" s="48">
        <f>AC55</f>
        <v>840969</v>
      </c>
      <c r="AD59" s="48">
        <f>AD55</f>
        <v>1628824</v>
      </c>
      <c r="AE59" s="48">
        <f>AE55</f>
        <v>1548047</v>
      </c>
      <c r="AF59" s="48">
        <f>AF55</f>
        <v>5179905</v>
      </c>
      <c r="AG59" s="48">
        <f ca="1">IF(AG11=0,0,AG55)</f>
        <v>6519907.0604262212</v>
      </c>
      <c r="AH59" s="48">
        <f t="shared" ref="AH59:BW59" ca="1" si="55">IF(AH11=0,0,AH55)</f>
        <v>8510503.7651665211</v>
      </c>
      <c r="AI59" s="48">
        <f t="shared" ca="1" si="55"/>
        <v>8225242.1734176707</v>
      </c>
      <c r="AJ59" s="48">
        <f t="shared" ca="1" si="55"/>
        <v>8204442.0744184488</v>
      </c>
      <c r="AK59" s="48">
        <f t="shared" ca="1" si="55"/>
        <v>7499062.3427402843</v>
      </c>
      <c r="AL59" s="48">
        <f t="shared" ca="1" si="55"/>
        <v>7499044.4641840458</v>
      </c>
      <c r="AM59" s="48">
        <f t="shared" ca="1" si="55"/>
        <v>6809309.4364700923</v>
      </c>
      <c r="AN59" s="48">
        <f t="shared" ca="1" si="55"/>
        <v>5809995.6588232229</v>
      </c>
      <c r="AO59" s="48">
        <f t="shared" ca="1" si="55"/>
        <v>5165470.0594358696</v>
      </c>
      <c r="AP59" s="48">
        <f t="shared" ca="1" si="55"/>
        <v>4483768.8145671254</v>
      </c>
      <c r="AQ59" s="48">
        <f t="shared" ca="1" si="55"/>
        <v>4052704.1801018706</v>
      </c>
      <c r="AR59" s="48">
        <f t="shared" ca="1" si="55"/>
        <v>3570357.1302029882</v>
      </c>
      <c r="AS59" s="48">
        <f t="shared" ca="1" si="55"/>
        <v>3064274.513145851</v>
      </c>
      <c r="AT59" s="48">
        <f t="shared" ca="1" si="55"/>
        <v>2609673.1173974266</v>
      </c>
      <c r="AU59" s="48">
        <f t="shared" ca="1" si="55"/>
        <v>2372853.6769910026</v>
      </c>
      <c r="AV59" s="48">
        <f t="shared" ca="1" si="55"/>
        <v>2255781.0008163955</v>
      </c>
      <c r="AW59" s="48">
        <f t="shared" ca="1" si="55"/>
        <v>1817150.0367568526</v>
      </c>
      <c r="AX59" s="48">
        <f t="shared" ca="1" si="55"/>
        <v>1646153.4707335131</v>
      </c>
      <c r="AY59" s="48">
        <f t="shared" ca="1" si="55"/>
        <v>1501097.9992693318</v>
      </c>
      <c r="AZ59" s="48">
        <f t="shared" ca="1" si="55"/>
        <v>1355213.891780155</v>
      </c>
      <c r="BA59" s="48">
        <f t="shared" ca="1" si="55"/>
        <v>1247108.4035613975</v>
      </c>
      <c r="BB59" s="48">
        <f t="shared" ca="1" si="55"/>
        <v>1107724.3088907618</v>
      </c>
      <c r="BC59" s="48">
        <f t="shared" ca="1" si="55"/>
        <v>1023165.4693593143</v>
      </c>
      <c r="BD59" s="48">
        <f t="shared" ca="1" si="55"/>
        <v>949335.31993794511</v>
      </c>
      <c r="BE59" s="48">
        <f t="shared" ca="1" si="55"/>
        <v>895110.8220403695</v>
      </c>
      <c r="BF59" s="48">
        <f t="shared" ca="1" si="55"/>
        <v>765297.96073941712</v>
      </c>
      <c r="BG59" s="48">
        <f t="shared" ca="1" si="55"/>
        <v>636877.1155015782</v>
      </c>
      <c r="BH59" s="48">
        <f t="shared" ca="1" si="55"/>
        <v>780083.67980064696</v>
      </c>
      <c r="BI59" s="48">
        <f t="shared" ca="1" si="55"/>
        <v>776460.08379536937</v>
      </c>
      <c r="BJ59" s="48">
        <f t="shared" ca="1" si="55"/>
        <v>0</v>
      </c>
      <c r="BK59" s="48">
        <f t="shared" ca="1" si="55"/>
        <v>0</v>
      </c>
      <c r="BL59" s="48">
        <f t="shared" ca="1" si="55"/>
        <v>0</v>
      </c>
      <c r="BM59" s="48">
        <f t="shared" ca="1" si="55"/>
        <v>0</v>
      </c>
      <c r="BN59" s="48">
        <f t="shared" ca="1" si="55"/>
        <v>0</v>
      </c>
      <c r="BO59" s="48">
        <f t="shared" ca="1" si="55"/>
        <v>0</v>
      </c>
      <c r="BP59" s="48">
        <f t="shared" ca="1" si="55"/>
        <v>0</v>
      </c>
      <c r="BQ59" s="48">
        <f t="shared" ca="1" si="55"/>
        <v>0</v>
      </c>
      <c r="BR59" s="48">
        <f t="shared" ca="1" si="55"/>
        <v>0</v>
      </c>
      <c r="BS59" s="48">
        <f t="shared" ca="1" si="55"/>
        <v>0</v>
      </c>
      <c r="BT59" s="48">
        <f t="shared" ca="1" si="55"/>
        <v>0</v>
      </c>
      <c r="BU59" s="48">
        <f t="shared" ca="1" si="55"/>
        <v>0</v>
      </c>
      <c r="BV59" s="48">
        <f t="shared" ca="1" si="55"/>
        <v>0</v>
      </c>
      <c r="BW59" s="48">
        <f t="shared" ca="1" si="55"/>
        <v>0</v>
      </c>
    </row>
    <row r="60" spans="1:75" x14ac:dyDescent="0.3">
      <c r="A60" s="42" t="s">
        <v>204</v>
      </c>
      <c r="B60" s="42"/>
      <c r="C60" s="49">
        <v>2694</v>
      </c>
      <c r="D60" s="49">
        <v>76355</v>
      </c>
      <c r="E60" s="49">
        <v>72668</v>
      </c>
      <c r="F60" s="49">
        <v>54579</v>
      </c>
      <c r="G60" s="51">
        <f t="shared" si="46"/>
        <v>206296</v>
      </c>
      <c r="H60" s="49">
        <v>19638</v>
      </c>
      <c r="I60" s="49">
        <v>164762</v>
      </c>
      <c r="J60" s="49">
        <v>-101265</v>
      </c>
      <c r="K60" s="49">
        <v>759211</v>
      </c>
      <c r="L60" s="51">
        <f t="shared" si="47"/>
        <v>842346</v>
      </c>
      <c r="M60" s="49">
        <v>-61461</v>
      </c>
      <c r="N60" s="49">
        <v>-99802</v>
      </c>
      <c r="O60" s="49">
        <v>-110598</v>
      </c>
      <c r="P60" s="49">
        <v>724627</v>
      </c>
      <c r="Q60" s="51">
        <f t="shared" si="48"/>
        <v>452766</v>
      </c>
      <c r="R60" s="49">
        <v>-65792</v>
      </c>
      <c r="S60" s="49">
        <v>420902</v>
      </c>
      <c r="T60" s="49">
        <v>97104</v>
      </c>
      <c r="U60" s="49">
        <v>880832</v>
      </c>
      <c r="V60" s="51">
        <f t="shared" si="49"/>
        <v>1333046</v>
      </c>
      <c r="W60" s="49">
        <v>1068970</v>
      </c>
      <c r="X60" s="49">
        <v>757907</v>
      </c>
      <c r="Y60" s="49">
        <v>792314</v>
      </c>
      <c r="Z60" s="49">
        <v>807881</v>
      </c>
      <c r="AA60" s="51">
        <f t="shared" si="50"/>
        <v>3427072</v>
      </c>
      <c r="AB60" s="49">
        <v>1162065</v>
      </c>
      <c r="AC60" s="49">
        <v>840969</v>
      </c>
      <c r="AD60" s="49">
        <v>1628824</v>
      </c>
      <c r="AE60" s="49">
        <v>0</v>
      </c>
      <c r="AF60" s="49">
        <v>0</v>
      </c>
      <c r="AG60" s="51">
        <f t="shared" ref="AG60:BL60" ca="1" si="56">AG59</f>
        <v>6519907.0604262212</v>
      </c>
      <c r="AH60" s="51">
        <f t="shared" ca="1" si="56"/>
        <v>8510503.7651665211</v>
      </c>
      <c r="AI60" s="51">
        <f t="shared" ca="1" si="56"/>
        <v>8225242.1734176707</v>
      </c>
      <c r="AJ60" s="51">
        <f t="shared" ca="1" si="56"/>
        <v>8204442.0744184488</v>
      </c>
      <c r="AK60" s="51">
        <f t="shared" ca="1" si="56"/>
        <v>7499062.3427402843</v>
      </c>
      <c r="AL60" s="51">
        <f t="shared" ca="1" si="56"/>
        <v>7499044.4641840458</v>
      </c>
      <c r="AM60" s="51">
        <f t="shared" ca="1" si="56"/>
        <v>6809309.4364700923</v>
      </c>
      <c r="AN60" s="51">
        <f t="shared" ca="1" si="56"/>
        <v>5809995.6588232229</v>
      </c>
      <c r="AO60" s="51">
        <f t="shared" ca="1" si="56"/>
        <v>5165470.0594358696</v>
      </c>
      <c r="AP60" s="51">
        <f t="shared" ca="1" si="56"/>
        <v>4483768.8145671254</v>
      </c>
      <c r="AQ60" s="51">
        <f t="shared" ca="1" si="56"/>
        <v>4052704.1801018706</v>
      </c>
      <c r="AR60" s="51">
        <f t="shared" ca="1" si="56"/>
        <v>3570357.1302029882</v>
      </c>
      <c r="AS60" s="51">
        <f t="shared" ca="1" si="56"/>
        <v>3064274.513145851</v>
      </c>
      <c r="AT60" s="51">
        <f t="shared" ca="1" si="56"/>
        <v>2609673.1173974266</v>
      </c>
      <c r="AU60" s="51">
        <f t="shared" ca="1" si="56"/>
        <v>2372853.6769910026</v>
      </c>
      <c r="AV60" s="51">
        <f t="shared" ca="1" si="56"/>
        <v>2255781.0008163955</v>
      </c>
      <c r="AW60" s="51">
        <f t="shared" ca="1" si="56"/>
        <v>1817150.0367568526</v>
      </c>
      <c r="AX60" s="51">
        <f t="shared" ca="1" si="56"/>
        <v>1646153.4707335131</v>
      </c>
      <c r="AY60" s="51">
        <f t="shared" ca="1" si="56"/>
        <v>1501097.9992693318</v>
      </c>
      <c r="AZ60" s="51">
        <f t="shared" ca="1" si="56"/>
        <v>1355213.891780155</v>
      </c>
      <c r="BA60" s="51">
        <f t="shared" ca="1" si="56"/>
        <v>1247108.4035613975</v>
      </c>
      <c r="BB60" s="51">
        <f t="shared" ca="1" si="56"/>
        <v>1107724.3088907618</v>
      </c>
      <c r="BC60" s="51">
        <f t="shared" ca="1" si="56"/>
        <v>1023165.4693593143</v>
      </c>
      <c r="BD60" s="51">
        <f t="shared" ca="1" si="56"/>
        <v>949335.31993794511</v>
      </c>
      <c r="BE60" s="51">
        <f t="shared" ca="1" si="56"/>
        <v>895110.8220403695</v>
      </c>
      <c r="BF60" s="51">
        <f t="shared" ca="1" si="56"/>
        <v>765297.96073941712</v>
      </c>
      <c r="BG60" s="51">
        <f t="shared" ca="1" si="56"/>
        <v>636877.1155015782</v>
      </c>
      <c r="BH60" s="51">
        <f t="shared" ca="1" si="56"/>
        <v>780083.67980064696</v>
      </c>
      <c r="BI60" s="51">
        <f t="shared" ca="1" si="56"/>
        <v>776460.08379536937</v>
      </c>
      <c r="BJ60" s="51">
        <f t="shared" ca="1" si="56"/>
        <v>0</v>
      </c>
      <c r="BK60" s="51">
        <f t="shared" ca="1" si="56"/>
        <v>0</v>
      </c>
      <c r="BL60" s="51">
        <f t="shared" ca="1" si="56"/>
        <v>0</v>
      </c>
      <c r="BM60" s="51">
        <f ca="1">BM59</f>
        <v>0</v>
      </c>
      <c r="BN60" s="51">
        <f ca="1">BN59</f>
        <v>0</v>
      </c>
      <c r="BO60" s="51">
        <f ca="1">BO59</f>
        <v>0</v>
      </c>
      <c r="BP60" s="51">
        <f ca="1">BP59</f>
        <v>0</v>
      </c>
      <c r="BQ60" s="51">
        <f ca="1">BQ59</f>
        <v>0</v>
      </c>
      <c r="BR60" s="51">
        <f t="shared" ref="BR60:BW60" ca="1" si="57">BR59</f>
        <v>0</v>
      </c>
      <c r="BS60" s="51">
        <f t="shared" ca="1" si="57"/>
        <v>0</v>
      </c>
      <c r="BT60" s="51">
        <f t="shared" ca="1" si="57"/>
        <v>0</v>
      </c>
      <c r="BU60" s="51">
        <f t="shared" ca="1" si="57"/>
        <v>0</v>
      </c>
      <c r="BV60" s="51">
        <f t="shared" ca="1" si="57"/>
        <v>0</v>
      </c>
      <c r="BW60" s="51">
        <f t="shared" ca="1" si="57"/>
        <v>0</v>
      </c>
    </row>
    <row r="61" spans="1:75" x14ac:dyDescent="0.3">
      <c r="A61" s="42" t="s">
        <v>205</v>
      </c>
      <c r="B61" s="42"/>
      <c r="C61" s="55">
        <v>0</v>
      </c>
      <c r="D61" s="55">
        <v>0</v>
      </c>
      <c r="E61" s="55">
        <v>0</v>
      </c>
      <c r="F61" s="55">
        <v>0</v>
      </c>
      <c r="G61" s="51">
        <f t="shared" si="46"/>
        <v>0</v>
      </c>
      <c r="H61" s="55">
        <v>0</v>
      </c>
      <c r="I61" s="55">
        <v>0</v>
      </c>
      <c r="J61" s="55">
        <v>0</v>
      </c>
      <c r="K61" s="55">
        <v>0</v>
      </c>
      <c r="L61" s="51">
        <f t="shared" si="47"/>
        <v>0</v>
      </c>
      <c r="M61" s="55">
        <v>0</v>
      </c>
      <c r="N61" s="55">
        <v>0</v>
      </c>
      <c r="O61" s="55">
        <v>0</v>
      </c>
      <c r="P61" s="55">
        <v>147</v>
      </c>
      <c r="Q61" s="51">
        <f t="shared" si="48"/>
        <v>147</v>
      </c>
      <c r="R61" s="55">
        <v>0</v>
      </c>
      <c r="S61" s="55">
        <v>0</v>
      </c>
      <c r="T61" s="55">
        <v>0</v>
      </c>
      <c r="U61" s="55">
        <v>0</v>
      </c>
      <c r="V61" s="51">
        <f t="shared" si="49"/>
        <v>0</v>
      </c>
      <c r="W61" s="55">
        <v>0</v>
      </c>
      <c r="X61" s="55">
        <v>0</v>
      </c>
      <c r="Y61" s="55">
        <v>0</v>
      </c>
      <c r="Z61" s="55">
        <v>0</v>
      </c>
      <c r="AA61" s="51">
        <f t="shared" si="50"/>
        <v>0</v>
      </c>
      <c r="AB61" s="55">
        <v>0</v>
      </c>
      <c r="AC61" s="55">
        <v>0</v>
      </c>
      <c r="AD61" s="55">
        <v>0</v>
      </c>
      <c r="AE61" s="55">
        <v>0</v>
      </c>
      <c r="AF61" s="55">
        <v>0</v>
      </c>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row>
    <row r="62" spans="1:75" x14ac:dyDescent="0.3">
      <c r="C62" s="56">
        <f>C26+C27-C44</f>
        <v>0</v>
      </c>
      <c r="D62" s="56">
        <f>D26+D27-D44</f>
        <v>0</v>
      </c>
      <c r="E62" s="56">
        <f>E26+E27-E44</f>
        <v>0</v>
      </c>
      <c r="F62" s="56">
        <f>F26+F27-F44</f>
        <v>0</v>
      </c>
      <c r="G62" s="56"/>
      <c r="H62" s="56">
        <f>H26+H27-H44</f>
        <v>0</v>
      </c>
      <c r="I62" s="56">
        <f>I26+I27-I44</f>
        <v>0</v>
      </c>
      <c r="J62" s="56">
        <f>J26+J27-J44</f>
        <v>0</v>
      </c>
      <c r="K62" s="56"/>
      <c r="L62" s="56">
        <f t="shared" ref="L62:Z62" si="58">L26+L27-L44</f>
        <v>0</v>
      </c>
      <c r="M62" s="56">
        <f t="shared" si="58"/>
        <v>0</v>
      </c>
      <c r="N62" s="56">
        <f t="shared" si="58"/>
        <v>0</v>
      </c>
      <c r="O62" s="56">
        <f t="shared" si="58"/>
        <v>0</v>
      </c>
      <c r="P62" s="56">
        <f t="shared" si="58"/>
        <v>0</v>
      </c>
      <c r="Q62" s="56">
        <f t="shared" si="58"/>
        <v>0</v>
      </c>
      <c r="R62" s="56">
        <f t="shared" si="58"/>
        <v>0</v>
      </c>
      <c r="S62" s="56">
        <f t="shared" si="58"/>
        <v>0</v>
      </c>
      <c r="T62" s="56">
        <f t="shared" si="58"/>
        <v>0</v>
      </c>
      <c r="U62" s="56">
        <f t="shared" si="58"/>
        <v>0</v>
      </c>
      <c r="V62" s="56">
        <f t="shared" si="58"/>
        <v>0</v>
      </c>
      <c r="W62" s="56">
        <f t="shared" si="58"/>
        <v>0</v>
      </c>
      <c r="X62" s="56">
        <f t="shared" si="58"/>
        <v>0</v>
      </c>
      <c r="Y62" s="56">
        <f t="shared" si="58"/>
        <v>0</v>
      </c>
      <c r="Z62" s="56">
        <f t="shared" si="58"/>
        <v>0</v>
      </c>
      <c r="AA62" s="56"/>
      <c r="AB62" s="56">
        <f>AB26+AB27-AB44</f>
        <v>0</v>
      </c>
      <c r="AC62" s="56">
        <f>AC26+AC27-AC44</f>
        <v>0</v>
      </c>
      <c r="AD62" s="56">
        <f>AD26+AD27-AD44</f>
        <v>0</v>
      </c>
      <c r="AE62" s="56"/>
    </row>
    <row r="63" spans="1:75" x14ac:dyDescent="0.3">
      <c r="A63" s="38" t="s">
        <v>97</v>
      </c>
      <c r="C63" s="48">
        <f t="shared" ref="C63:AH63" si="59">C44</f>
        <v>-2115</v>
      </c>
      <c r="D63" s="48">
        <f t="shared" si="59"/>
        <v>58709</v>
      </c>
      <c r="E63" s="48">
        <f t="shared" si="59"/>
        <v>68071</v>
      </c>
      <c r="F63" s="48">
        <f t="shared" si="59"/>
        <v>45635</v>
      </c>
      <c r="G63" s="48">
        <f t="shared" si="59"/>
        <v>170300</v>
      </c>
      <c r="H63" s="48">
        <f t="shared" si="59"/>
        <v>21216</v>
      </c>
      <c r="I63" s="48">
        <f t="shared" si="59"/>
        <v>212882</v>
      </c>
      <c r="J63" s="48">
        <f t="shared" si="59"/>
        <v>-2311</v>
      </c>
      <c r="K63" s="48">
        <f t="shared" si="59"/>
        <v>646469</v>
      </c>
      <c r="L63" s="48">
        <f t="shared" si="59"/>
        <v>878256</v>
      </c>
      <c r="M63" s="48">
        <f t="shared" si="59"/>
        <v>50912</v>
      </c>
      <c r="N63" s="48">
        <f t="shared" si="59"/>
        <v>101890</v>
      </c>
      <c r="O63" s="48">
        <f t="shared" si="59"/>
        <v>108023</v>
      </c>
      <c r="P63" s="48">
        <f t="shared" si="59"/>
        <v>681924</v>
      </c>
      <c r="Q63" s="48">
        <f t="shared" si="59"/>
        <v>942749</v>
      </c>
      <c r="R63" s="48">
        <f t="shared" si="59"/>
        <v>316773</v>
      </c>
      <c r="S63" s="48">
        <f t="shared" si="59"/>
        <v>421420</v>
      </c>
      <c r="T63" s="48">
        <f t="shared" si="59"/>
        <v>431728</v>
      </c>
      <c r="U63" s="48">
        <f t="shared" si="59"/>
        <v>951522</v>
      </c>
      <c r="V63" s="48">
        <f t="shared" si="59"/>
        <v>2121443</v>
      </c>
      <c r="W63" s="48">
        <f t="shared" si="59"/>
        <v>950713</v>
      </c>
      <c r="X63" s="48">
        <f t="shared" si="59"/>
        <v>1022643</v>
      </c>
      <c r="Y63" s="48">
        <f t="shared" si="59"/>
        <v>1277592</v>
      </c>
      <c r="Z63" s="48">
        <f t="shared" si="59"/>
        <v>665265</v>
      </c>
      <c r="AA63" s="48">
        <f t="shared" si="59"/>
        <v>3916213</v>
      </c>
      <c r="AB63" s="48">
        <f t="shared" si="59"/>
        <v>1519843</v>
      </c>
      <c r="AC63" s="48">
        <f t="shared" si="59"/>
        <v>1181189</v>
      </c>
      <c r="AD63" s="48">
        <f t="shared" si="59"/>
        <v>2232324</v>
      </c>
      <c r="AE63" s="48">
        <f t="shared" si="59"/>
        <v>2222506</v>
      </c>
      <c r="AF63" s="48">
        <f t="shared" si="59"/>
        <v>7155862</v>
      </c>
      <c r="AG63" s="48">
        <f t="shared" ca="1" si="59"/>
        <v>10190214.400599215</v>
      </c>
      <c r="AH63" s="48">
        <f t="shared" ca="1" si="59"/>
        <v>12672434.093407057</v>
      </c>
      <c r="AI63" s="48">
        <f t="shared" ref="AI63:BN63" ca="1" si="60">AI44</f>
        <v>12337959.862383647</v>
      </c>
      <c r="AJ63" s="48">
        <f t="shared" ca="1" si="60"/>
        <v>12263454.147829248</v>
      </c>
      <c r="AK63" s="48">
        <f t="shared" ca="1" si="60"/>
        <v>11192778.962539228</v>
      </c>
      <c r="AL63" s="48">
        <f t="shared" ca="1" si="60"/>
        <v>11190267.0284713</v>
      </c>
      <c r="AM63" s="48">
        <f t="shared" ca="1" si="60"/>
        <v>10143307.236915499</v>
      </c>
      <c r="AN63" s="48">
        <f t="shared" ca="1" si="60"/>
        <v>8647181.3157597575</v>
      </c>
      <c r="AO63" s="48">
        <f t="shared" ca="1" si="60"/>
        <v>7693122.4623431927</v>
      </c>
      <c r="AP63" s="48">
        <f t="shared" ca="1" si="60"/>
        <v>6674811.5813313453</v>
      </c>
      <c r="AQ63" s="48">
        <f t="shared" ca="1" si="60"/>
        <v>6016511.6134427385</v>
      </c>
      <c r="AR63" s="48">
        <f t="shared" ca="1" si="60"/>
        <v>5297205.5233680978</v>
      </c>
      <c r="AS63" s="48">
        <f t="shared" ca="1" si="60"/>
        <v>4542114.6238773083</v>
      </c>
      <c r="AT63" s="48">
        <f t="shared" ca="1" si="60"/>
        <v>3865127.6187321516</v>
      </c>
      <c r="AU63" s="48">
        <f t="shared" ca="1" si="60"/>
        <v>3516377.933006811</v>
      </c>
      <c r="AV63" s="48">
        <f t="shared" ca="1" si="60"/>
        <v>3346233.3307043333</v>
      </c>
      <c r="AW63" s="48">
        <f t="shared" ca="1" si="60"/>
        <v>2687882.5719013177</v>
      </c>
      <c r="AX63" s="48">
        <f t="shared" ca="1" si="60"/>
        <v>2441107.1169779235</v>
      </c>
      <c r="AY63" s="48">
        <f t="shared" ca="1" si="60"/>
        <v>2226500.8611028981</v>
      </c>
      <c r="AZ63" s="48">
        <f t="shared" ca="1" si="60"/>
        <v>2010004.5493330823</v>
      </c>
      <c r="BA63" s="48">
        <f t="shared" ca="1" si="60"/>
        <v>1856143.7349599765</v>
      </c>
      <c r="BB63" s="48">
        <f t="shared" ca="1" si="60"/>
        <v>1647798.5705390703</v>
      </c>
      <c r="BC63" s="48">
        <f t="shared" ca="1" si="60"/>
        <v>1522891.4566851468</v>
      </c>
      <c r="BD63" s="48">
        <f t="shared" ca="1" si="60"/>
        <v>1412849.8802263348</v>
      </c>
      <c r="BE63" s="48">
        <f t="shared" ca="1" si="60"/>
        <v>1332114.2764679112</v>
      </c>
      <c r="BF63" s="48">
        <f t="shared" ca="1" si="60"/>
        <v>1136627.8042048891</v>
      </c>
      <c r="BG63" s="48">
        <f t="shared" ca="1" si="60"/>
        <v>944282.5780272776</v>
      </c>
      <c r="BH63" s="48">
        <f t="shared" ca="1" si="60"/>
        <v>1162520.9081653128</v>
      </c>
      <c r="BI63" s="48">
        <f t="shared" ca="1" si="60"/>
        <v>1157825.1746059645</v>
      </c>
      <c r="BJ63" s="48">
        <f t="shared" ca="1" si="60"/>
        <v>0</v>
      </c>
      <c r="BK63" s="48">
        <f t="shared" ca="1" si="60"/>
        <v>0</v>
      </c>
      <c r="BL63" s="48">
        <f t="shared" ca="1" si="60"/>
        <v>0</v>
      </c>
      <c r="BM63" s="48">
        <f t="shared" ca="1" si="60"/>
        <v>0</v>
      </c>
      <c r="BN63" s="48">
        <f t="shared" ca="1" si="60"/>
        <v>0</v>
      </c>
      <c r="BO63" s="48">
        <f t="shared" ref="BO63:BW63" ca="1" si="61">BO44</f>
        <v>0</v>
      </c>
      <c r="BP63" s="48">
        <f t="shared" ca="1" si="61"/>
        <v>0</v>
      </c>
      <c r="BQ63" s="48">
        <f t="shared" ca="1" si="61"/>
        <v>0</v>
      </c>
      <c r="BR63" s="48">
        <f t="shared" ca="1" si="61"/>
        <v>0</v>
      </c>
      <c r="BS63" s="48">
        <f t="shared" ca="1" si="61"/>
        <v>0</v>
      </c>
      <c r="BT63" s="48">
        <f t="shared" ca="1" si="61"/>
        <v>0</v>
      </c>
      <c r="BU63" s="48">
        <f t="shared" ca="1" si="61"/>
        <v>0</v>
      </c>
      <c r="BV63" s="48">
        <f t="shared" ca="1" si="61"/>
        <v>0</v>
      </c>
      <c r="BW63" s="48">
        <f t="shared" ca="1" si="61"/>
        <v>0</v>
      </c>
    </row>
    <row r="64" spans="1:75" x14ac:dyDescent="0.3">
      <c r="A64" s="38" t="s">
        <v>101</v>
      </c>
      <c r="C64" s="51">
        <f t="shared" ref="C64:AH64" si="62">C20+C37</f>
        <v>-26164</v>
      </c>
      <c r="D64" s="51">
        <f t="shared" si="62"/>
        <v>-45599</v>
      </c>
      <c r="E64" s="51">
        <f t="shared" si="62"/>
        <v>5306</v>
      </c>
      <c r="F64" s="51">
        <f t="shared" si="62"/>
        <v>-6005</v>
      </c>
      <c r="G64" s="51">
        <f t="shared" si="62"/>
        <v>-72462</v>
      </c>
      <c r="H64" s="51">
        <f t="shared" si="62"/>
        <v>-31240</v>
      </c>
      <c r="I64" s="51">
        <f t="shared" si="62"/>
        <v>-90543</v>
      </c>
      <c r="J64" s="51">
        <f t="shared" si="62"/>
        <v>-156583</v>
      </c>
      <c r="K64" s="51">
        <f t="shared" si="62"/>
        <v>-230592</v>
      </c>
      <c r="L64" s="51">
        <f t="shared" si="62"/>
        <v>-508958</v>
      </c>
      <c r="M64" s="51">
        <f t="shared" si="62"/>
        <v>-131655</v>
      </c>
      <c r="N64" s="51">
        <f t="shared" si="62"/>
        <v>-219924</v>
      </c>
      <c r="O64" s="51">
        <f t="shared" si="62"/>
        <v>-204267</v>
      </c>
      <c r="P64" s="51">
        <f t="shared" si="62"/>
        <v>-287954</v>
      </c>
      <c r="Q64" s="51">
        <f t="shared" si="62"/>
        <v>-843800</v>
      </c>
      <c r="R64" s="51">
        <f t="shared" si="62"/>
        <v>-131950</v>
      </c>
      <c r="S64" s="51">
        <f t="shared" si="62"/>
        <v>-236174</v>
      </c>
      <c r="T64" s="51">
        <f t="shared" si="62"/>
        <v>-208104</v>
      </c>
      <c r="U64" s="51">
        <f t="shared" si="62"/>
        <v>-305043</v>
      </c>
      <c r="V64" s="51">
        <f t="shared" si="62"/>
        <v>-881271</v>
      </c>
      <c r="W64" s="51">
        <f t="shared" si="62"/>
        <v>-184255</v>
      </c>
      <c r="X64" s="51">
        <f t="shared" si="62"/>
        <v>-208062</v>
      </c>
      <c r="Y64" s="51">
        <f t="shared" si="62"/>
        <v>-265101</v>
      </c>
      <c r="Z64" s="51">
        <f t="shared" si="62"/>
        <v>-196838</v>
      </c>
      <c r="AA64" s="51">
        <f t="shared" si="62"/>
        <v>-854256</v>
      </c>
      <c r="AB64" s="51">
        <f t="shared" si="62"/>
        <v>-302943</v>
      </c>
      <c r="AC64" s="51">
        <f t="shared" si="62"/>
        <v>-542406</v>
      </c>
      <c r="AD64" s="51">
        <f t="shared" si="62"/>
        <v>-846220</v>
      </c>
      <c r="AE64" s="51">
        <f t="shared" si="62"/>
        <v>-363016</v>
      </c>
      <c r="AF64" s="51">
        <f t="shared" si="62"/>
        <v>-2054585</v>
      </c>
      <c r="AG64" s="51">
        <f t="shared" ca="1" si="62"/>
        <v>-1596953.1915402797</v>
      </c>
      <c r="AH64" s="51">
        <f t="shared" ca="1" si="62"/>
        <v>-1891224.984240544</v>
      </c>
      <c r="AI64" s="51">
        <f t="shared" ref="AI64:BN64" ca="1" si="63">AI20+AI37</f>
        <v>-2219458.2125376491</v>
      </c>
      <c r="AJ64" s="51">
        <f t="shared" ca="1" si="63"/>
        <v>-2392330.1476040916</v>
      </c>
      <c r="AK64" s="51">
        <f t="shared" ca="1" si="63"/>
        <v>-2655350.8833659366</v>
      </c>
      <c r="AL64" s="51">
        <f t="shared" ca="1" si="63"/>
        <v>-2587698.1410118365</v>
      </c>
      <c r="AM64" s="51">
        <f t="shared" ca="1" si="63"/>
        <v>-2369012.5761992</v>
      </c>
      <c r="AN64" s="51">
        <f t="shared" ca="1" si="63"/>
        <v>-2064726.7952979868</v>
      </c>
      <c r="AO64" s="51">
        <f t="shared" ca="1" si="63"/>
        <v>-1828137.3740146561</v>
      </c>
      <c r="AP64" s="51">
        <f t="shared" ca="1" si="63"/>
        <v>-1639355.053219323</v>
      </c>
      <c r="AQ64" s="51">
        <f t="shared" ca="1" si="63"/>
        <v>-1457684.5995409428</v>
      </c>
      <c r="AR64" s="51">
        <f t="shared" ca="1" si="63"/>
        <v>-1283119.9727102192</v>
      </c>
      <c r="AS64" s="51">
        <f t="shared" ca="1" si="63"/>
        <v>-1140996.334725976</v>
      </c>
      <c r="AT64" s="51">
        <f t="shared" ca="1" si="63"/>
        <v>-1046619.3330039277</v>
      </c>
      <c r="AU64" s="51">
        <f t="shared" ca="1" si="63"/>
        <v>-932589.41753807059</v>
      </c>
      <c r="AV64" s="51">
        <f t="shared" ca="1" si="63"/>
        <v>-761804.33286916395</v>
      </c>
      <c r="AW64" s="51">
        <f t="shared" ca="1" si="63"/>
        <v>-696697.33130685333</v>
      </c>
      <c r="AX64" s="51">
        <f t="shared" ca="1" si="63"/>
        <v>-643182.37575193064</v>
      </c>
      <c r="AY64" s="51">
        <f t="shared" ca="1" si="63"/>
        <v>-595396.294670515</v>
      </c>
      <c r="AZ64" s="51">
        <f t="shared" ca="1" si="63"/>
        <v>-564354.75797985075</v>
      </c>
      <c r="BA64" s="51">
        <f t="shared" ca="1" si="63"/>
        <v>-528544.82289560908</v>
      </c>
      <c r="BB64" s="51">
        <f t="shared" ca="1" si="63"/>
        <v>-521838.92808162619</v>
      </c>
      <c r="BC64" s="51">
        <f t="shared" ca="1" si="63"/>
        <v>-528272.1710367637</v>
      </c>
      <c r="BD64" s="51">
        <f t="shared" ca="1" si="63"/>
        <v>-547834.74978688557</v>
      </c>
      <c r="BE64" s="51">
        <f t="shared" ca="1" si="63"/>
        <v>-553699.42097995011</v>
      </c>
      <c r="BF64" s="51">
        <f t="shared" ca="1" si="63"/>
        <v>-603081.83312543749</v>
      </c>
      <c r="BG64" s="51">
        <f t="shared" ca="1" si="63"/>
        <v>-717323.58145156072</v>
      </c>
      <c r="BH64" s="51">
        <f t="shared" ca="1" si="63"/>
        <v>-453473.01428149233</v>
      </c>
      <c r="BI64" s="51">
        <f t="shared" ca="1" si="63"/>
        <v>-10173.088515200187</v>
      </c>
      <c r="BJ64" s="51">
        <f t="shared" ca="1" si="63"/>
        <v>0</v>
      </c>
      <c r="BK64" s="51">
        <f t="shared" ca="1" si="63"/>
        <v>0</v>
      </c>
      <c r="BL64" s="51">
        <f t="shared" ca="1" si="63"/>
        <v>0</v>
      </c>
      <c r="BM64" s="51">
        <f t="shared" ca="1" si="63"/>
        <v>0</v>
      </c>
      <c r="BN64" s="51">
        <f t="shared" ca="1" si="63"/>
        <v>0</v>
      </c>
      <c r="BO64" s="51">
        <f t="shared" ref="BO64:BW64" ca="1" si="64">BO20+BO37</f>
        <v>0</v>
      </c>
      <c r="BP64" s="51">
        <f t="shared" ca="1" si="64"/>
        <v>0</v>
      </c>
      <c r="BQ64" s="51">
        <f t="shared" ca="1" si="64"/>
        <v>0</v>
      </c>
      <c r="BR64" s="51">
        <f t="shared" ca="1" si="64"/>
        <v>0</v>
      </c>
      <c r="BS64" s="51">
        <f t="shared" ca="1" si="64"/>
        <v>0</v>
      </c>
      <c r="BT64" s="51">
        <f t="shared" ca="1" si="64"/>
        <v>0</v>
      </c>
      <c r="BU64" s="51">
        <f t="shared" ca="1" si="64"/>
        <v>0</v>
      </c>
      <c r="BV64" s="51">
        <f t="shared" ca="1" si="64"/>
        <v>0</v>
      </c>
      <c r="BW64" s="51">
        <f t="shared" ca="1" si="64"/>
        <v>0</v>
      </c>
    </row>
    <row r="65" spans="1:75" x14ac:dyDescent="0.3">
      <c r="A65" s="38" t="s">
        <v>286</v>
      </c>
      <c r="C65" s="48">
        <f t="shared" ref="C65:AH65" si="65">C63-C64</f>
        <v>24049</v>
      </c>
      <c r="D65" s="48">
        <f t="shared" si="65"/>
        <v>104308</v>
      </c>
      <c r="E65" s="48">
        <f t="shared" si="65"/>
        <v>62765</v>
      </c>
      <c r="F65" s="48">
        <f t="shared" si="65"/>
        <v>51640</v>
      </c>
      <c r="G65" s="48">
        <f t="shared" si="65"/>
        <v>242762</v>
      </c>
      <c r="H65" s="48">
        <f t="shared" si="65"/>
        <v>52456</v>
      </c>
      <c r="I65" s="48">
        <f t="shared" si="65"/>
        <v>303425</v>
      </c>
      <c r="J65" s="48">
        <f t="shared" si="65"/>
        <v>154272</v>
      </c>
      <c r="K65" s="48">
        <f t="shared" si="65"/>
        <v>877061</v>
      </c>
      <c r="L65" s="48">
        <f t="shared" si="65"/>
        <v>1387214</v>
      </c>
      <c r="M65" s="48">
        <f t="shared" si="65"/>
        <v>182567</v>
      </c>
      <c r="N65" s="48">
        <f t="shared" si="65"/>
        <v>321814</v>
      </c>
      <c r="O65" s="48">
        <f t="shared" si="65"/>
        <v>312290</v>
      </c>
      <c r="P65" s="48">
        <f t="shared" si="65"/>
        <v>969878</v>
      </c>
      <c r="Q65" s="48">
        <f t="shared" si="65"/>
        <v>1786549</v>
      </c>
      <c r="R65" s="48">
        <f t="shared" si="65"/>
        <v>448723</v>
      </c>
      <c r="S65" s="48">
        <f t="shared" si="65"/>
        <v>657594</v>
      </c>
      <c r="T65" s="48">
        <f t="shared" si="65"/>
        <v>639832</v>
      </c>
      <c r="U65" s="48">
        <f t="shared" si="65"/>
        <v>1256565</v>
      </c>
      <c r="V65" s="48">
        <f t="shared" si="65"/>
        <v>3002714</v>
      </c>
      <c r="W65" s="48">
        <f t="shared" si="65"/>
        <v>1134968</v>
      </c>
      <c r="X65" s="48">
        <f t="shared" si="65"/>
        <v>1230705</v>
      </c>
      <c r="Y65" s="48">
        <f t="shared" si="65"/>
        <v>1542693</v>
      </c>
      <c r="Z65" s="48">
        <f t="shared" si="65"/>
        <v>862103</v>
      </c>
      <c r="AA65" s="48">
        <f t="shared" si="65"/>
        <v>4770469</v>
      </c>
      <c r="AB65" s="48">
        <f t="shared" si="65"/>
        <v>1822786</v>
      </c>
      <c r="AC65" s="48">
        <f t="shared" si="65"/>
        <v>1723595</v>
      </c>
      <c r="AD65" s="48">
        <f t="shared" si="65"/>
        <v>3078544</v>
      </c>
      <c r="AE65" s="48">
        <f t="shared" si="65"/>
        <v>2585522</v>
      </c>
      <c r="AF65" s="48">
        <f t="shared" si="65"/>
        <v>9210447</v>
      </c>
      <c r="AG65" s="48">
        <f t="shared" ca="1" si="65"/>
        <v>11787167.592139496</v>
      </c>
      <c r="AH65" s="48">
        <f t="shared" ca="1" si="65"/>
        <v>14563659.0776476</v>
      </c>
      <c r="AI65" s="48">
        <f t="shared" ref="AI65:BL65" ca="1" si="66">AI63-AI64</f>
        <v>14557418.074921295</v>
      </c>
      <c r="AJ65" s="48">
        <f t="shared" ca="1" si="66"/>
        <v>14655784.295433339</v>
      </c>
      <c r="AK65" s="48">
        <f t="shared" ca="1" si="66"/>
        <v>13848129.845905164</v>
      </c>
      <c r="AL65" s="48">
        <f t="shared" ca="1" si="66"/>
        <v>13777965.169483136</v>
      </c>
      <c r="AM65" s="48">
        <f t="shared" ca="1" si="66"/>
        <v>12512319.813114699</v>
      </c>
      <c r="AN65" s="48">
        <f t="shared" ca="1" si="66"/>
        <v>10711908.111057743</v>
      </c>
      <c r="AO65" s="48">
        <f t="shared" ca="1" si="66"/>
        <v>9521259.8363578487</v>
      </c>
      <c r="AP65" s="48">
        <f t="shared" ca="1" si="66"/>
        <v>8314166.6345506683</v>
      </c>
      <c r="AQ65" s="48">
        <f t="shared" ca="1" si="66"/>
        <v>7474196.2129836809</v>
      </c>
      <c r="AR65" s="48">
        <f t="shared" ca="1" si="66"/>
        <v>6580325.4960783171</v>
      </c>
      <c r="AS65" s="48">
        <f t="shared" ca="1" si="66"/>
        <v>5683110.9586032843</v>
      </c>
      <c r="AT65" s="48">
        <f t="shared" ca="1" si="66"/>
        <v>4911746.9517360795</v>
      </c>
      <c r="AU65" s="48">
        <f t="shared" ca="1" si="66"/>
        <v>4448967.3505448811</v>
      </c>
      <c r="AV65" s="48">
        <f t="shared" ca="1" si="66"/>
        <v>4108037.663573497</v>
      </c>
      <c r="AW65" s="48">
        <f t="shared" ca="1" si="66"/>
        <v>3384579.903208171</v>
      </c>
      <c r="AX65" s="48">
        <f t="shared" ca="1" si="66"/>
        <v>3084289.4927298543</v>
      </c>
      <c r="AY65" s="48">
        <f t="shared" ca="1" si="66"/>
        <v>2821897.1557734134</v>
      </c>
      <c r="AZ65" s="48">
        <f t="shared" ca="1" si="66"/>
        <v>2574359.3073129328</v>
      </c>
      <c r="BA65" s="48">
        <f t="shared" ca="1" si="66"/>
        <v>2384688.5578555856</v>
      </c>
      <c r="BB65" s="48">
        <f t="shared" ca="1" si="66"/>
        <v>2169637.4986206964</v>
      </c>
      <c r="BC65" s="48">
        <f t="shared" ca="1" si="66"/>
        <v>2051163.6277219104</v>
      </c>
      <c r="BD65" s="48">
        <f t="shared" ca="1" si="66"/>
        <v>1960684.6300132205</v>
      </c>
      <c r="BE65" s="48">
        <f t="shared" ca="1" si="66"/>
        <v>1885813.6974478613</v>
      </c>
      <c r="BF65" s="48">
        <f t="shared" ca="1" si="66"/>
        <v>1739709.6373303267</v>
      </c>
      <c r="BG65" s="48">
        <f t="shared" ca="1" si="66"/>
        <v>1661606.1594788383</v>
      </c>
      <c r="BH65" s="48">
        <f t="shared" ca="1" si="66"/>
        <v>1615993.9224468051</v>
      </c>
      <c r="BI65" s="48">
        <f t="shared" ca="1" si="66"/>
        <v>1167998.2631211646</v>
      </c>
      <c r="BJ65" s="48">
        <f t="shared" ca="1" si="66"/>
        <v>0</v>
      </c>
      <c r="BK65" s="48">
        <f t="shared" ca="1" si="66"/>
        <v>0</v>
      </c>
      <c r="BL65" s="48">
        <f t="shared" ca="1" si="66"/>
        <v>0</v>
      </c>
      <c r="BM65" s="48">
        <f ca="1">BM63-BM64</f>
        <v>0</v>
      </c>
      <c r="BN65" s="48">
        <f ca="1">BN63-BN64</f>
        <v>0</v>
      </c>
      <c r="BO65" s="48">
        <f ca="1">BO63-BO64</f>
        <v>0</v>
      </c>
      <c r="BP65" s="48">
        <f ca="1">BP63-BP64</f>
        <v>0</v>
      </c>
      <c r="BQ65" s="48">
        <f ca="1">BQ63-BQ64</f>
        <v>0</v>
      </c>
      <c r="BR65" s="48">
        <f t="shared" ref="BR65:BW65" ca="1" si="67">BR63-BR64</f>
        <v>0</v>
      </c>
      <c r="BS65" s="48">
        <f t="shared" ca="1" si="67"/>
        <v>0</v>
      </c>
      <c r="BT65" s="48">
        <f t="shared" ca="1" si="67"/>
        <v>0</v>
      </c>
      <c r="BU65" s="48">
        <f t="shared" ca="1" si="67"/>
        <v>0</v>
      </c>
      <c r="BV65" s="48">
        <f t="shared" ca="1" si="67"/>
        <v>0</v>
      </c>
      <c r="BW65" s="48">
        <f t="shared" ca="1" si="67"/>
        <v>0</v>
      </c>
    </row>
    <row r="66" spans="1:75" x14ac:dyDescent="0.3">
      <c r="A66" s="64" t="s">
        <v>1176</v>
      </c>
      <c r="B66" s="56"/>
      <c r="C66" s="56"/>
      <c r="D66" s="56"/>
      <c r="E66" s="56"/>
      <c r="F66" s="56"/>
      <c r="G66" s="269">
        <f t="shared" ref="G66:AE66" si="68">G65/G16</f>
        <v>0.28596569759223484</v>
      </c>
      <c r="H66" s="269">
        <f t="shared" si="68"/>
        <v>0.37621475855441044</v>
      </c>
      <c r="I66" s="269">
        <f t="shared" si="68"/>
        <v>0.55382158339037191</v>
      </c>
      <c r="J66" s="269">
        <f t="shared" si="68"/>
        <v>0.38660301469759051</v>
      </c>
      <c r="K66" s="269">
        <f t="shared" si="68"/>
        <v>1.5718079911110314</v>
      </c>
      <c r="L66" s="269">
        <f t="shared" si="68"/>
        <v>0.8436265846725689</v>
      </c>
      <c r="M66" s="269">
        <f t="shared" si="68"/>
        <v>0.81809178982084763</v>
      </c>
      <c r="N66" s="269">
        <f t="shared" si="68"/>
        <v>1.0304873948503488</v>
      </c>
      <c r="O66" s="269">
        <f t="shared" si="68"/>
        <v>0.63902843286712574</v>
      </c>
      <c r="P66" s="269">
        <f t="shared" si="68"/>
        <v>1.1020902577738385</v>
      </c>
      <c r="Q66" s="269">
        <f t="shared" si="68"/>
        <v>0.93822238910610056</v>
      </c>
      <c r="R66" s="269">
        <f t="shared" si="68"/>
        <v>0.68472412540780736</v>
      </c>
      <c r="S66" s="269">
        <f t="shared" si="68"/>
        <v>0.64291182270488845</v>
      </c>
      <c r="T66" s="269">
        <f t="shared" si="68"/>
        <v>0.68102226995360382</v>
      </c>
      <c r="U66" s="269">
        <f t="shared" si="68"/>
        <v>0.70660428551747023</v>
      </c>
      <c r="V66" s="269">
        <f t="shared" si="68"/>
        <v>0.6830554938201816</v>
      </c>
      <c r="W66" s="269">
        <f t="shared" si="68"/>
        <v>0.74181157454762925</v>
      </c>
      <c r="X66" s="269">
        <f t="shared" si="68"/>
        <v>0.65673151065776936</v>
      </c>
      <c r="Y66" s="269">
        <f t="shared" si="68"/>
        <v>0.77686769873490902</v>
      </c>
      <c r="Z66" s="269">
        <f t="shared" si="68"/>
        <v>0.88538053977112263</v>
      </c>
      <c r="AA66" s="269">
        <f t="shared" si="68"/>
        <v>0.74966413791206854</v>
      </c>
      <c r="AB66" s="269">
        <f t="shared" si="68"/>
        <v>0.64753646150648947</v>
      </c>
      <c r="AC66" s="269">
        <f t="shared" si="68"/>
        <v>0.74575567906971507</v>
      </c>
      <c r="AD66" s="269">
        <f t="shared" si="68"/>
        <v>0.81363708683763591</v>
      </c>
      <c r="AE66" s="269">
        <f t="shared" si="68"/>
        <v>0.86322239798504141</v>
      </c>
      <c r="AF66" s="269">
        <f>AF65/AF16</f>
        <v>0.77365941032878427</v>
      </c>
      <c r="AG66" s="269">
        <f t="shared" ref="AG66:BW66" ca="1" si="69">AG65/AG16</f>
        <v>0.71915127749733376</v>
      </c>
      <c r="AH66" s="269">
        <f t="shared" ca="1" si="69"/>
        <v>0.71659730320443282</v>
      </c>
      <c r="AI66" s="269">
        <f t="shared" ca="1" si="69"/>
        <v>0.70251350661259859</v>
      </c>
      <c r="AJ66" s="269">
        <f t="shared" ca="1" si="69"/>
        <v>0.6873125253375052</v>
      </c>
      <c r="AK66" s="269">
        <f t="shared" ca="1" si="69"/>
        <v>0.67376856157605258</v>
      </c>
      <c r="AL66" s="269">
        <f t="shared" ca="1" si="69"/>
        <v>0.66300165147872792</v>
      </c>
      <c r="AM66" s="269">
        <f t="shared" ca="1" si="69"/>
        <v>0.65987352857061854</v>
      </c>
      <c r="AN66" s="269">
        <f t="shared" ca="1" si="69"/>
        <v>0.66022361886285341</v>
      </c>
      <c r="AO66" s="269">
        <f t="shared" ca="1" si="69"/>
        <v>0.65882283960906252</v>
      </c>
      <c r="AP66" s="269">
        <f t="shared" ca="1" si="69"/>
        <v>0.6391864309650106</v>
      </c>
      <c r="AQ66" s="269">
        <f t="shared" ca="1" si="69"/>
        <v>0.63350291077031229</v>
      </c>
      <c r="AR66" s="269">
        <f t="shared" ca="1" si="69"/>
        <v>0.62253033612168363</v>
      </c>
      <c r="AS66" s="269">
        <f t="shared" ca="1" si="69"/>
        <v>0.60901355989269101</v>
      </c>
      <c r="AT66" s="269">
        <f t="shared" ca="1" si="69"/>
        <v>0.59355370311271582</v>
      </c>
      <c r="AU66" s="269">
        <f t="shared" ca="1" si="69"/>
        <v>0.59196751089920341</v>
      </c>
      <c r="AV66" s="269">
        <f t="shared" ca="1" si="69"/>
        <v>0.59879077259291924</v>
      </c>
      <c r="AW66" s="269">
        <f t="shared" ca="1" si="69"/>
        <v>0.60778636244124673</v>
      </c>
      <c r="AX66" s="269">
        <f t="shared" ca="1" si="69"/>
        <v>0.61370922602869049</v>
      </c>
      <c r="AY66" s="269">
        <f t="shared" ca="1" si="69"/>
        <v>0.62030679929448007</v>
      </c>
      <c r="AZ66" s="269">
        <f t="shared" ca="1" si="69"/>
        <v>0.62811994612007838</v>
      </c>
      <c r="BA66" s="269">
        <f t="shared" ca="1" si="69"/>
        <v>0.63594762143283379</v>
      </c>
      <c r="BB66" s="269">
        <f t="shared" ca="1" si="69"/>
        <v>0.64653298794936698</v>
      </c>
      <c r="BC66" s="269">
        <f t="shared" ca="1" si="69"/>
        <v>0.65484533928555277</v>
      </c>
      <c r="BD66" s="269">
        <f t="shared" ca="1" si="69"/>
        <v>0.66289066407486696</v>
      </c>
      <c r="BE66" s="269">
        <f t="shared" ca="1" si="69"/>
        <v>0.6709575159399549</v>
      </c>
      <c r="BF66" s="269">
        <f t="shared" ca="1" si="69"/>
        <v>0.68576653448903968</v>
      </c>
      <c r="BG66" s="269">
        <f t="shared" ca="1" si="69"/>
        <v>0.69742229103300013</v>
      </c>
      <c r="BH66" s="269">
        <f ca="1">BH65/BH16</f>
        <v>0.70720666395238241</v>
      </c>
      <c r="BI66" s="269">
        <f t="shared" ca="1" si="69"/>
        <v>0.79102705292994968</v>
      </c>
      <c r="BJ66" s="269" t="e">
        <f t="shared" ca="1" si="69"/>
        <v>#DIV/0!</v>
      </c>
      <c r="BK66" s="269" t="e">
        <f t="shared" ca="1" si="69"/>
        <v>#DIV/0!</v>
      </c>
      <c r="BL66" s="269" t="e">
        <f t="shared" ca="1" si="69"/>
        <v>#DIV/0!</v>
      </c>
      <c r="BM66" s="269" t="e">
        <f t="shared" ca="1" si="69"/>
        <v>#DIV/0!</v>
      </c>
      <c r="BN66" s="269" t="e">
        <f t="shared" ca="1" si="69"/>
        <v>#DIV/0!</v>
      </c>
      <c r="BO66" s="269" t="e">
        <f t="shared" ca="1" si="69"/>
        <v>#DIV/0!</v>
      </c>
      <c r="BP66" s="269" t="e">
        <f t="shared" ca="1" si="69"/>
        <v>#DIV/0!</v>
      </c>
      <c r="BQ66" s="269" t="e">
        <f t="shared" ca="1" si="69"/>
        <v>#DIV/0!</v>
      </c>
      <c r="BR66" s="269" t="e">
        <f t="shared" ca="1" si="69"/>
        <v>#DIV/0!</v>
      </c>
      <c r="BS66" s="269" t="e">
        <f t="shared" ca="1" si="69"/>
        <v>#DIV/0!</v>
      </c>
      <c r="BT66" s="269" t="e">
        <f t="shared" ca="1" si="69"/>
        <v>#DIV/0!</v>
      </c>
      <c r="BU66" s="269" t="e">
        <f t="shared" ca="1" si="69"/>
        <v>#DIV/0!</v>
      </c>
      <c r="BV66" s="269" t="e">
        <f t="shared" ca="1" si="69"/>
        <v>#DIV/0!</v>
      </c>
      <c r="BW66" s="269" t="e">
        <f t="shared" ca="1" si="69"/>
        <v>#DIV/0!</v>
      </c>
    </row>
    <row r="67" spans="1:75" x14ac:dyDescent="0.3">
      <c r="A67" s="38" t="s">
        <v>510</v>
      </c>
      <c r="C67" s="56"/>
      <c r="D67" s="56"/>
      <c r="E67" s="56"/>
      <c r="F67" s="56"/>
      <c r="G67" s="48">
        <f>G65</f>
        <v>242762</v>
      </c>
      <c r="H67" s="51">
        <f>H65+F65+E65+D65</f>
        <v>271169</v>
      </c>
      <c r="I67" s="51">
        <f>I65+H65+F65+E65</f>
        <v>470286</v>
      </c>
      <c r="J67" s="51">
        <f>J65+I65+H65+F65</f>
        <v>561793</v>
      </c>
      <c r="K67" s="51">
        <f>K65+J65+I65+H65</f>
        <v>1387214</v>
      </c>
      <c r="L67" s="90">
        <f>L65</f>
        <v>1387214</v>
      </c>
      <c r="M67" s="51">
        <f>M65+K65+J65+I65</f>
        <v>1517325</v>
      </c>
      <c r="N67" s="51">
        <f>N65+M65+K65+J65</f>
        <v>1535714</v>
      </c>
      <c r="O67" s="51">
        <f>O65+N65+M65+K65</f>
        <v>1693732</v>
      </c>
      <c r="P67" s="51">
        <f>P65+O65+N65+M65</f>
        <v>1786549</v>
      </c>
      <c r="Q67" s="90">
        <f>Q65</f>
        <v>1786549</v>
      </c>
      <c r="R67" s="51">
        <f>R65+P65+O65+N65</f>
        <v>2052705</v>
      </c>
      <c r="S67" s="51">
        <f>S65+R65+P65+O65</f>
        <v>2388485</v>
      </c>
      <c r="T67" s="51">
        <f>T65+S65+R65+P65</f>
        <v>2716027</v>
      </c>
      <c r="U67" s="51">
        <f>U65+T65+S65+R65</f>
        <v>3002714</v>
      </c>
      <c r="V67" s="90">
        <f>V65</f>
        <v>3002714</v>
      </c>
      <c r="W67" s="51">
        <f>W65+U65+T65+S65</f>
        <v>3688959</v>
      </c>
      <c r="X67" s="51">
        <f>X65+W65+U65+T65</f>
        <v>4262070</v>
      </c>
      <c r="Y67" s="51">
        <f>Y65+X65+W65+U65</f>
        <v>5164931</v>
      </c>
      <c r="Z67" s="51">
        <f>Z65+Y65+X65+W65</f>
        <v>4770469</v>
      </c>
      <c r="AA67" s="90">
        <f>AA65</f>
        <v>4770469</v>
      </c>
      <c r="AB67" s="51">
        <f>AB65+Z65+Y65+X65</f>
        <v>5458287</v>
      </c>
      <c r="AC67" s="51">
        <f>AC65+AB65+Z65+Y65</f>
        <v>5951177</v>
      </c>
      <c r="AD67" s="51">
        <f>AD65+AC65+AB65+Z65</f>
        <v>7487028</v>
      </c>
      <c r="AE67" s="51">
        <f>AE65+AD65+AC65+AB65</f>
        <v>9210447</v>
      </c>
      <c r="AF67" s="48">
        <f t="shared" ref="AF67:BL67" si="70">AF65</f>
        <v>9210447</v>
      </c>
      <c r="AG67" s="48">
        <f t="shared" ca="1" si="70"/>
        <v>11787167.592139496</v>
      </c>
      <c r="AH67" s="48">
        <f t="shared" ca="1" si="70"/>
        <v>14563659.0776476</v>
      </c>
      <c r="AI67" s="48">
        <f t="shared" ca="1" si="70"/>
        <v>14557418.074921295</v>
      </c>
      <c r="AJ67" s="48">
        <f t="shared" ca="1" si="70"/>
        <v>14655784.295433339</v>
      </c>
      <c r="AK67" s="48">
        <f t="shared" ca="1" si="70"/>
        <v>13848129.845905164</v>
      </c>
      <c r="AL67" s="48">
        <f t="shared" ca="1" si="70"/>
        <v>13777965.169483136</v>
      </c>
      <c r="AM67" s="48">
        <f t="shared" ca="1" si="70"/>
        <v>12512319.813114699</v>
      </c>
      <c r="AN67" s="48">
        <f t="shared" ca="1" si="70"/>
        <v>10711908.111057743</v>
      </c>
      <c r="AO67" s="48">
        <f t="shared" ca="1" si="70"/>
        <v>9521259.8363578487</v>
      </c>
      <c r="AP67" s="48">
        <f t="shared" ca="1" si="70"/>
        <v>8314166.6345506683</v>
      </c>
      <c r="AQ67" s="48">
        <f t="shared" ca="1" si="70"/>
        <v>7474196.2129836809</v>
      </c>
      <c r="AR67" s="48">
        <f t="shared" ca="1" si="70"/>
        <v>6580325.4960783171</v>
      </c>
      <c r="AS67" s="48">
        <f t="shared" ca="1" si="70"/>
        <v>5683110.9586032843</v>
      </c>
      <c r="AT67" s="48">
        <f t="shared" ca="1" si="70"/>
        <v>4911746.9517360795</v>
      </c>
      <c r="AU67" s="48">
        <f t="shared" ca="1" si="70"/>
        <v>4448967.3505448811</v>
      </c>
      <c r="AV67" s="48">
        <f t="shared" ca="1" si="70"/>
        <v>4108037.663573497</v>
      </c>
      <c r="AW67" s="48">
        <f t="shared" ca="1" si="70"/>
        <v>3384579.903208171</v>
      </c>
      <c r="AX67" s="48">
        <f t="shared" ca="1" si="70"/>
        <v>3084289.4927298543</v>
      </c>
      <c r="AY67" s="48">
        <f t="shared" ca="1" si="70"/>
        <v>2821897.1557734134</v>
      </c>
      <c r="AZ67" s="48">
        <f t="shared" ca="1" si="70"/>
        <v>2574359.3073129328</v>
      </c>
      <c r="BA67" s="48">
        <f t="shared" ca="1" si="70"/>
        <v>2384688.5578555856</v>
      </c>
      <c r="BB67" s="48">
        <f t="shared" ca="1" si="70"/>
        <v>2169637.4986206964</v>
      </c>
      <c r="BC67" s="48">
        <f t="shared" ca="1" si="70"/>
        <v>2051163.6277219104</v>
      </c>
      <c r="BD67" s="48">
        <f t="shared" ca="1" si="70"/>
        <v>1960684.6300132205</v>
      </c>
      <c r="BE67" s="48">
        <f t="shared" ca="1" si="70"/>
        <v>1885813.6974478613</v>
      </c>
      <c r="BF67" s="48">
        <f t="shared" ca="1" si="70"/>
        <v>1739709.6373303267</v>
      </c>
      <c r="BG67" s="48">
        <f t="shared" ca="1" si="70"/>
        <v>1661606.1594788383</v>
      </c>
      <c r="BH67" s="48">
        <f t="shared" ca="1" si="70"/>
        <v>1615993.9224468051</v>
      </c>
      <c r="BI67" s="48">
        <f t="shared" ca="1" si="70"/>
        <v>1167998.2631211646</v>
      </c>
      <c r="BJ67" s="48">
        <f t="shared" ca="1" si="70"/>
        <v>0</v>
      </c>
      <c r="BK67" s="48">
        <f t="shared" ca="1" si="70"/>
        <v>0</v>
      </c>
      <c r="BL67" s="48">
        <f t="shared" ca="1" si="70"/>
        <v>0</v>
      </c>
      <c r="BM67" s="48">
        <f ca="1">BM65</f>
        <v>0</v>
      </c>
      <c r="BN67" s="48">
        <f ca="1">BN65</f>
        <v>0</v>
      </c>
      <c r="BO67" s="48">
        <f ca="1">BO65</f>
        <v>0</v>
      </c>
      <c r="BP67" s="48">
        <f ca="1">BP65</f>
        <v>0</v>
      </c>
      <c r="BQ67" s="48">
        <f ca="1">BQ65</f>
        <v>0</v>
      </c>
      <c r="BR67" s="48">
        <f t="shared" ref="BR67:BW67" ca="1" si="71">BR65</f>
        <v>0</v>
      </c>
      <c r="BS67" s="48">
        <f t="shared" ca="1" si="71"/>
        <v>0</v>
      </c>
      <c r="BT67" s="48">
        <f t="shared" ca="1" si="71"/>
        <v>0</v>
      </c>
      <c r="BU67" s="48">
        <f t="shared" ca="1" si="71"/>
        <v>0</v>
      </c>
      <c r="BV67" s="48">
        <f t="shared" ca="1" si="71"/>
        <v>0</v>
      </c>
      <c r="BW67" s="48">
        <f t="shared" ca="1" si="71"/>
        <v>0</v>
      </c>
    </row>
    <row r="68" spans="1:75" x14ac:dyDescent="0.3">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row>
    <row r="69" spans="1:75" s="37" customFormat="1" x14ac:dyDescent="0.3">
      <c r="A69" s="37" t="s">
        <v>246</v>
      </c>
    </row>
    <row r="71" spans="1:75" x14ac:dyDescent="0.3">
      <c r="A71" s="38" t="s">
        <v>546</v>
      </c>
      <c r="AG71" s="48">
        <f t="shared" ref="AG71:BW71" ca="1" si="72">AG75+AG74+AG73+AG72+AG76</f>
        <v>5901353.4029964833</v>
      </c>
      <c r="AH71" s="48">
        <f t="shared" ca="1" si="72"/>
        <v>9762380.5654179975</v>
      </c>
      <c r="AI71" s="48">
        <f t="shared" ca="1" si="72"/>
        <v>10357367.771150488</v>
      </c>
      <c r="AJ71" s="48">
        <f t="shared" ca="1" si="72"/>
        <v>10581015.722521838</v>
      </c>
      <c r="AK71" s="48">
        <f t="shared" ca="1" si="72"/>
        <v>10290345.478296425</v>
      </c>
      <c r="AL71" s="48">
        <f t="shared" ca="1" si="72"/>
        <v>10033747.017374408</v>
      </c>
      <c r="AM71" s="48">
        <f t="shared" ca="1" si="72"/>
        <v>9466278.8398412187</v>
      </c>
      <c r="AN71" s="48">
        <f t="shared" ca="1" si="72"/>
        <v>8278398.0208372679</v>
      </c>
      <c r="AO71" s="48">
        <f t="shared" ca="1" si="72"/>
        <v>7237991.6945383698</v>
      </c>
      <c r="AP71" s="48">
        <f t="shared" ca="1" si="72"/>
        <v>6319787.2883882085</v>
      </c>
      <c r="AQ71" s="48">
        <f t="shared" ca="1" si="72"/>
        <v>5678846.9166660979</v>
      </c>
      <c r="AR71" s="48">
        <f t="shared" ca="1" si="72"/>
        <v>5025333.358778731</v>
      </c>
      <c r="AS71" s="48">
        <f t="shared" ca="1" si="72"/>
        <v>4381331.2735045012</v>
      </c>
      <c r="AT71" s="48">
        <f t="shared" ca="1" si="72"/>
        <v>3803633.7546913405</v>
      </c>
      <c r="AU71" s="48">
        <f t="shared" ca="1" si="72"/>
        <v>3413175.3451719549</v>
      </c>
      <c r="AV71" s="48">
        <f t="shared" ca="1" si="72"/>
        <v>3099810.9162156442</v>
      </c>
      <c r="AW71" s="48">
        <f t="shared" ca="1" si="72"/>
        <v>1970392.3155534954</v>
      </c>
      <c r="AX71" s="48">
        <f t="shared" ca="1" si="72"/>
        <v>2367780.7409718381</v>
      </c>
      <c r="AY71" s="48">
        <f t="shared" ca="1" si="72"/>
        <v>2166282.063374667</v>
      </c>
      <c r="AZ71" s="48">
        <f t="shared" ca="1" si="72"/>
        <v>1985560.0921968464</v>
      </c>
      <c r="BA71" s="48">
        <f t="shared" ca="1" si="72"/>
        <v>1827480.5067135738</v>
      </c>
      <c r="BB71" s="48">
        <f t="shared" ca="1" si="72"/>
        <v>1686497.5844230596</v>
      </c>
      <c r="BC71" s="48">
        <f t="shared" ca="1" si="72"/>
        <v>1584222.6796870441</v>
      </c>
      <c r="BD71" s="48">
        <f t="shared" ca="1" si="72"/>
        <v>1522775.3714456176</v>
      </c>
      <c r="BE71" s="48">
        <f t="shared" ca="1" si="72"/>
        <v>1471010.560634343</v>
      </c>
      <c r="BF71" s="48">
        <f t="shared" ca="1" si="72"/>
        <v>1407943.6349041113</v>
      </c>
      <c r="BG71" s="48">
        <f t="shared" ca="1" si="72"/>
        <v>1376751.0168371738</v>
      </c>
      <c r="BH71" s="48">
        <f t="shared" ca="1" si="72"/>
        <v>1247773.0144074699</v>
      </c>
      <c r="BI71" s="48">
        <f t="shared" ca="1" si="72"/>
        <v>905450.15002185665</v>
      </c>
      <c r="BJ71" s="48">
        <f t="shared" ca="1" si="72"/>
        <v>-10869625.044523465</v>
      </c>
      <c r="BK71" s="48">
        <f t="shared" ca="1" si="72"/>
        <v>0</v>
      </c>
      <c r="BL71" s="48">
        <f t="shared" ca="1" si="72"/>
        <v>0</v>
      </c>
      <c r="BM71" s="48">
        <f t="shared" ca="1" si="72"/>
        <v>0</v>
      </c>
      <c r="BN71" s="48">
        <f t="shared" ca="1" si="72"/>
        <v>0</v>
      </c>
      <c r="BO71" s="48">
        <f t="shared" ca="1" si="72"/>
        <v>0</v>
      </c>
      <c r="BP71" s="48">
        <f t="shared" ca="1" si="72"/>
        <v>0</v>
      </c>
      <c r="BQ71" s="48">
        <f t="shared" ca="1" si="72"/>
        <v>0</v>
      </c>
      <c r="BR71" s="48">
        <f t="shared" ca="1" si="72"/>
        <v>0</v>
      </c>
      <c r="BS71" s="48">
        <f t="shared" ca="1" si="72"/>
        <v>0</v>
      </c>
      <c r="BT71" s="48">
        <f t="shared" ca="1" si="72"/>
        <v>0</v>
      </c>
      <c r="BU71" s="48">
        <f t="shared" ca="1" si="72"/>
        <v>0</v>
      </c>
      <c r="BV71" s="48">
        <f t="shared" ca="1" si="72"/>
        <v>0</v>
      </c>
      <c r="BW71" s="48">
        <f t="shared" ca="1" si="72"/>
        <v>0</v>
      </c>
    </row>
    <row r="72" spans="1:75" x14ac:dyDescent="0.3">
      <c r="A72" s="42" t="s">
        <v>529</v>
      </c>
      <c r="AG72" s="48">
        <f t="shared" ref="AG72:AH72" ca="1" si="73">AG59</f>
        <v>6519907.0604262212</v>
      </c>
      <c r="AH72" s="48">
        <f t="shared" ca="1" si="73"/>
        <v>8510503.7651665211</v>
      </c>
      <c r="AI72" s="48">
        <f t="shared" ref="AI72:BN72" ca="1" si="74">AI59</f>
        <v>8225242.1734176707</v>
      </c>
      <c r="AJ72" s="48">
        <f t="shared" ca="1" si="74"/>
        <v>8204442.0744184488</v>
      </c>
      <c r="AK72" s="48">
        <f t="shared" ca="1" si="74"/>
        <v>7499062.3427402843</v>
      </c>
      <c r="AL72" s="48">
        <f t="shared" ca="1" si="74"/>
        <v>7499044.4641840458</v>
      </c>
      <c r="AM72" s="48">
        <f t="shared" ca="1" si="74"/>
        <v>6809309.4364700923</v>
      </c>
      <c r="AN72" s="48">
        <f t="shared" ca="1" si="74"/>
        <v>5809995.6588232229</v>
      </c>
      <c r="AO72" s="48">
        <f t="shared" ca="1" si="74"/>
        <v>5165470.0594358696</v>
      </c>
      <c r="AP72" s="48">
        <f t="shared" ca="1" si="74"/>
        <v>4483768.8145671254</v>
      </c>
      <c r="AQ72" s="48">
        <f t="shared" ca="1" si="74"/>
        <v>4052704.1801018706</v>
      </c>
      <c r="AR72" s="48">
        <f t="shared" ca="1" si="74"/>
        <v>3570357.1302029882</v>
      </c>
      <c r="AS72" s="48">
        <f t="shared" ca="1" si="74"/>
        <v>3064274.513145851</v>
      </c>
      <c r="AT72" s="48">
        <f t="shared" ca="1" si="74"/>
        <v>2609673.1173974266</v>
      </c>
      <c r="AU72" s="48">
        <f t="shared" ca="1" si="74"/>
        <v>2372853.6769910026</v>
      </c>
      <c r="AV72" s="48">
        <f t="shared" ca="1" si="74"/>
        <v>2255781.0008163955</v>
      </c>
      <c r="AW72" s="48">
        <f t="shared" ca="1" si="74"/>
        <v>1817150.0367568526</v>
      </c>
      <c r="AX72" s="48">
        <f t="shared" ca="1" si="74"/>
        <v>1646153.4707335131</v>
      </c>
      <c r="AY72" s="48">
        <f t="shared" ca="1" si="74"/>
        <v>1501097.9992693318</v>
      </c>
      <c r="AZ72" s="48">
        <f t="shared" ca="1" si="74"/>
        <v>1355213.891780155</v>
      </c>
      <c r="BA72" s="48">
        <f t="shared" ca="1" si="74"/>
        <v>1247108.4035613975</v>
      </c>
      <c r="BB72" s="48">
        <f t="shared" ca="1" si="74"/>
        <v>1107724.3088907618</v>
      </c>
      <c r="BC72" s="48">
        <f t="shared" ca="1" si="74"/>
        <v>1023165.4693593143</v>
      </c>
      <c r="BD72" s="48">
        <f t="shared" ca="1" si="74"/>
        <v>949335.31993794511</v>
      </c>
      <c r="BE72" s="48">
        <f t="shared" ca="1" si="74"/>
        <v>895110.8220403695</v>
      </c>
      <c r="BF72" s="48">
        <f t="shared" ca="1" si="74"/>
        <v>765297.96073941712</v>
      </c>
      <c r="BG72" s="48">
        <f t="shared" ca="1" si="74"/>
        <v>636877.1155015782</v>
      </c>
      <c r="BH72" s="48">
        <f t="shared" ca="1" si="74"/>
        <v>780083.67980064696</v>
      </c>
      <c r="BI72" s="48">
        <f t="shared" ca="1" si="74"/>
        <v>776460.08379536937</v>
      </c>
      <c r="BJ72" s="48">
        <f t="shared" ca="1" si="74"/>
        <v>0</v>
      </c>
      <c r="BK72" s="48">
        <f t="shared" ca="1" si="74"/>
        <v>0</v>
      </c>
      <c r="BL72" s="48">
        <f t="shared" ca="1" si="74"/>
        <v>0</v>
      </c>
      <c r="BM72" s="48">
        <f t="shared" ca="1" si="74"/>
        <v>0</v>
      </c>
      <c r="BN72" s="48">
        <f t="shared" ca="1" si="74"/>
        <v>0</v>
      </c>
      <c r="BO72" s="48">
        <f t="shared" ref="BO72:BW72" ca="1" si="75">BO59</f>
        <v>0</v>
      </c>
      <c r="BP72" s="48">
        <f t="shared" ca="1" si="75"/>
        <v>0</v>
      </c>
      <c r="BQ72" s="48">
        <f t="shared" ca="1" si="75"/>
        <v>0</v>
      </c>
      <c r="BR72" s="48">
        <f t="shared" ca="1" si="75"/>
        <v>0</v>
      </c>
      <c r="BS72" s="48">
        <f t="shared" ca="1" si="75"/>
        <v>0</v>
      </c>
      <c r="BT72" s="48">
        <f t="shared" ca="1" si="75"/>
        <v>0</v>
      </c>
      <c r="BU72" s="48">
        <f t="shared" ca="1" si="75"/>
        <v>0</v>
      </c>
      <c r="BV72" s="48">
        <f t="shared" ca="1" si="75"/>
        <v>0</v>
      </c>
      <c r="BW72" s="48">
        <f t="shared" ca="1" si="75"/>
        <v>0</v>
      </c>
    </row>
    <row r="73" spans="1:75" x14ac:dyDescent="0.3">
      <c r="A73" s="42" t="s">
        <v>530</v>
      </c>
      <c r="AG73" s="51">
        <f t="shared" ref="AG73:BW73" ca="1" si="76">-AG20-AG37</f>
        <v>1596953.1915402797</v>
      </c>
      <c r="AH73" s="51">
        <f t="shared" ca="1" si="76"/>
        <v>1891224.984240544</v>
      </c>
      <c r="AI73" s="51">
        <f t="shared" ca="1" si="76"/>
        <v>2219458.2125376491</v>
      </c>
      <c r="AJ73" s="51">
        <f t="shared" ca="1" si="76"/>
        <v>2392330.1476040916</v>
      </c>
      <c r="AK73" s="51">
        <f t="shared" ca="1" si="76"/>
        <v>2655350.8833659366</v>
      </c>
      <c r="AL73" s="51">
        <f t="shared" ca="1" si="76"/>
        <v>2587698.1410118365</v>
      </c>
      <c r="AM73" s="51">
        <f t="shared" ca="1" si="76"/>
        <v>2369012.5761992</v>
      </c>
      <c r="AN73" s="51">
        <f t="shared" ca="1" si="76"/>
        <v>2064726.7952979868</v>
      </c>
      <c r="AO73" s="51">
        <f t="shared" ca="1" si="76"/>
        <v>1828137.3740146561</v>
      </c>
      <c r="AP73" s="51">
        <f t="shared" ca="1" si="76"/>
        <v>1639355.053219323</v>
      </c>
      <c r="AQ73" s="51">
        <f t="shared" ca="1" si="76"/>
        <v>1457684.5995409428</v>
      </c>
      <c r="AR73" s="51">
        <f t="shared" ca="1" si="76"/>
        <v>1283119.9727102192</v>
      </c>
      <c r="AS73" s="51">
        <f t="shared" ca="1" si="76"/>
        <v>1140996.334725976</v>
      </c>
      <c r="AT73" s="51">
        <f t="shared" ca="1" si="76"/>
        <v>1046619.3330039277</v>
      </c>
      <c r="AU73" s="51">
        <f t="shared" ca="1" si="76"/>
        <v>932589.41753807059</v>
      </c>
      <c r="AV73" s="51">
        <f t="shared" ca="1" si="76"/>
        <v>761804.33286916395</v>
      </c>
      <c r="AW73" s="51">
        <f t="shared" ca="1" si="76"/>
        <v>696697.33130685333</v>
      </c>
      <c r="AX73" s="51">
        <f t="shared" ca="1" si="76"/>
        <v>643182.37575193064</v>
      </c>
      <c r="AY73" s="51">
        <f t="shared" ca="1" si="76"/>
        <v>595396.294670515</v>
      </c>
      <c r="AZ73" s="51">
        <f t="shared" ca="1" si="76"/>
        <v>564354.75797985075</v>
      </c>
      <c r="BA73" s="51">
        <f t="shared" ca="1" si="76"/>
        <v>528544.82289560908</v>
      </c>
      <c r="BB73" s="51">
        <f t="shared" ca="1" si="76"/>
        <v>521838.92808162619</v>
      </c>
      <c r="BC73" s="51">
        <f t="shared" ca="1" si="76"/>
        <v>528272.1710367637</v>
      </c>
      <c r="BD73" s="51">
        <f t="shared" ca="1" si="76"/>
        <v>547834.74978688557</v>
      </c>
      <c r="BE73" s="51">
        <f t="shared" ca="1" si="76"/>
        <v>553699.42097995011</v>
      </c>
      <c r="BF73" s="51">
        <f t="shared" ca="1" si="76"/>
        <v>603081.83312543749</v>
      </c>
      <c r="BG73" s="51">
        <f t="shared" ca="1" si="76"/>
        <v>717323.58145156072</v>
      </c>
      <c r="BH73" s="51">
        <f t="shared" ca="1" si="76"/>
        <v>453473.01428149233</v>
      </c>
      <c r="BI73" s="51">
        <f t="shared" ca="1" si="76"/>
        <v>10173.088515200187</v>
      </c>
      <c r="BJ73" s="51">
        <f t="shared" ca="1" si="76"/>
        <v>0</v>
      </c>
      <c r="BK73" s="51">
        <f t="shared" ca="1" si="76"/>
        <v>0</v>
      </c>
      <c r="BL73" s="51">
        <f t="shared" ca="1" si="76"/>
        <v>0</v>
      </c>
      <c r="BM73" s="51">
        <f t="shared" ca="1" si="76"/>
        <v>0</v>
      </c>
      <c r="BN73" s="51">
        <f t="shared" ca="1" si="76"/>
        <v>0</v>
      </c>
      <c r="BO73" s="51">
        <f t="shared" ca="1" si="76"/>
        <v>0</v>
      </c>
      <c r="BP73" s="51">
        <f t="shared" ca="1" si="76"/>
        <v>0</v>
      </c>
      <c r="BQ73" s="51">
        <f t="shared" ca="1" si="76"/>
        <v>0</v>
      </c>
      <c r="BR73" s="51">
        <f t="shared" ca="1" si="76"/>
        <v>0</v>
      </c>
      <c r="BS73" s="51">
        <f t="shared" ca="1" si="76"/>
        <v>0</v>
      </c>
      <c r="BT73" s="51">
        <f t="shared" ca="1" si="76"/>
        <v>0</v>
      </c>
      <c r="BU73" s="51">
        <f t="shared" ca="1" si="76"/>
        <v>0</v>
      </c>
      <c r="BV73" s="51">
        <f t="shared" ca="1" si="76"/>
        <v>0</v>
      </c>
      <c r="BW73" s="51">
        <f t="shared" ca="1" si="76"/>
        <v>0</v>
      </c>
    </row>
    <row r="74" spans="1:75" x14ac:dyDescent="0.3">
      <c r="A74" s="42" t="s">
        <v>15</v>
      </c>
      <c r="AG74" s="51">
        <f ca="1">-'CAPEX, Impostos e Abandono ($)'!AG38*'Fluxo de Caixa dos Acionistas'!AG9*1000</f>
        <v>-57710.249999999985</v>
      </c>
      <c r="AH74" s="51">
        <f ca="1">-'CAPEX, Impostos e Abandono ($)'!AH38*'Fluxo de Caixa dos Acionistas'!AH9*1000</f>
        <v>-58866.841799999987</v>
      </c>
      <c r="AI74" s="51">
        <f ca="1">-'CAPEX, Impostos e Abandono ($)'!AI38*'Fluxo de Caixa dos Acionistas'!AI9*1000</f>
        <v>-121726.8</v>
      </c>
      <c r="AJ74" s="51">
        <f ca="1">-'CAPEX, Impostos e Abandono ($)'!AJ38*'Fluxo de Caixa dos Acionistas'!AJ9*1000</f>
        <v>0</v>
      </c>
      <c r="AK74" s="51">
        <f ca="1">-'CAPEX, Impostos e Abandono ($)'!AK38*'Fluxo de Caixa dos Acionistas'!AK9*1000</f>
        <v>-64588.726987199989</v>
      </c>
      <c r="AL74" s="51">
        <f ca="1">-'CAPEX, Impostos e Abandono ($)'!AL38*'Fluxo de Caixa dos Acionistas'!AL9*1000</f>
        <v>-66526.388796815998</v>
      </c>
      <c r="AM74" s="51">
        <f ca="1">-'CAPEX, Impostos e Abandono ($)'!AM38*'Fluxo de Caixa dos Acionistas'!AM9*1000</f>
        <v>0</v>
      </c>
      <c r="AN74" s="51">
        <f ca="1">-'CAPEX, Impostos e Abandono ($)'!AN38*'Fluxo de Caixa dos Acionistas'!AN9*1000</f>
        <v>0</v>
      </c>
      <c r="AO74" s="51">
        <f ca="1">-'CAPEX, Impostos e Abandono ($)'!AO38*'Fluxo de Caixa dos Acionistas'!AO9*1000</f>
        <v>0</v>
      </c>
      <c r="AP74" s="51">
        <f ca="1">-'CAPEX, Impostos e Abandono ($)'!AP38*'Fluxo de Caixa dos Acionistas'!AP9*1000</f>
        <v>0</v>
      </c>
      <c r="AQ74" s="51">
        <f ca="1">-'CAPEX, Impostos e Abandono ($)'!AQ38*'Fluxo de Caixa dos Acionistas'!AQ9*1000</f>
        <v>0</v>
      </c>
      <c r="AR74" s="51">
        <f ca="1">-'CAPEX, Impostos e Abandono ($)'!AR38*'Fluxo de Caixa dos Acionistas'!AR9*1000</f>
        <v>0</v>
      </c>
      <c r="AS74" s="51">
        <f ca="1">-'CAPEX, Impostos e Abandono ($)'!AS38*'Fluxo de Caixa dos Acionistas'!AS9*1000</f>
        <v>0</v>
      </c>
      <c r="AT74" s="51">
        <f ca="1">-'CAPEX, Impostos e Abandono ($)'!AT38*'Fluxo de Caixa dos Acionistas'!AT9*1000</f>
        <v>0</v>
      </c>
      <c r="AU74" s="51">
        <f ca="1">-'CAPEX, Impostos e Abandono ($)'!AU38*'Fluxo de Caixa dos Acionistas'!AU9*1000</f>
        <v>0</v>
      </c>
      <c r="AV74" s="51">
        <f ca="1">-'CAPEX, Impostos e Abandono ($)'!AV38*'Fluxo de Caixa dos Acionistas'!AV9*1000</f>
        <v>0</v>
      </c>
      <c r="AW74" s="51">
        <f ca="1">-'CAPEX, Impostos e Abandono ($)'!AW38*'Fluxo de Caixa dos Acionistas'!AW9*1000</f>
        <v>-732769.25729348755</v>
      </c>
      <c r="AX74" s="51">
        <f ca="1">-'CAPEX, Impostos e Abandono ($)'!AX38*'Fluxo de Caixa dos Acionistas'!AX9*1000</f>
        <v>0</v>
      </c>
      <c r="AY74" s="51">
        <f ca="1">-'CAPEX, Impostos e Abandono ($)'!AY38*'Fluxo de Caixa dos Acionistas'!AY9*1000</f>
        <v>0</v>
      </c>
      <c r="AZ74" s="51">
        <f ca="1">-'CAPEX, Impostos e Abandono ($)'!AZ38*'Fluxo de Caixa dos Acionistas'!AZ9*1000</f>
        <v>0</v>
      </c>
      <c r="BA74" s="51">
        <f ca="1">-'CAPEX, Impostos e Abandono ($)'!BA38*'Fluxo de Caixa dos Acionistas'!BA9*1000</f>
        <v>0</v>
      </c>
      <c r="BB74" s="51">
        <f ca="1">-'CAPEX, Impostos e Abandono ($)'!BB38*'Fluxo de Caixa dos Acionistas'!BB9*1000</f>
        <v>0</v>
      </c>
      <c r="BC74" s="51">
        <f ca="1">-'CAPEX, Impostos e Abandono ($)'!BC38*'Fluxo de Caixa dos Acionistas'!BC9*1000</f>
        <v>0</v>
      </c>
      <c r="BD74" s="51">
        <f ca="1">-'CAPEX, Impostos e Abandono ($)'!BD38*'Fluxo de Caixa dos Acionistas'!BD9*1000</f>
        <v>0</v>
      </c>
      <c r="BE74" s="51">
        <f ca="1">-'CAPEX, Impostos e Abandono ($)'!BE38*'Fluxo de Caixa dos Acionistas'!BE9*1000</f>
        <v>0</v>
      </c>
      <c r="BF74" s="51">
        <f ca="1">-'CAPEX, Impostos e Abandono ($)'!BF38*'Fluxo de Caixa dos Acionistas'!BF9*1000</f>
        <v>0</v>
      </c>
      <c r="BG74" s="51">
        <f ca="1">-'CAPEX, Impostos e Abandono ($)'!BG38*'Fluxo de Caixa dos Acionistas'!BG9*1000</f>
        <v>0</v>
      </c>
      <c r="BH74" s="51">
        <f ca="1">-'CAPEX, Impostos e Abandono ($)'!BH38*'Fluxo de Caixa dos Acionistas'!BH9*1000</f>
        <v>0</v>
      </c>
      <c r="BI74" s="51">
        <f ca="1">-'CAPEX, Impostos e Abandono ($)'!BI38*'Fluxo de Caixa dos Acionistas'!BI9*1000</f>
        <v>0</v>
      </c>
      <c r="BJ74" s="51">
        <f ca="1">-'CAPEX, Impostos e Abandono ($)'!BJ38*'Fluxo de Caixa dos Acionistas'!BJ9*1000</f>
        <v>-10869625.044523465</v>
      </c>
      <c r="BK74" s="51">
        <f ca="1">-'CAPEX, Impostos e Abandono ($)'!BK38*'Fluxo de Caixa dos Acionistas'!BK9*1000</f>
        <v>0</v>
      </c>
      <c r="BL74" s="51">
        <f ca="1">-'CAPEX, Impostos e Abandono ($)'!BL38*'Fluxo de Caixa dos Acionistas'!BL9*1000</f>
        <v>0</v>
      </c>
      <c r="BM74" s="51">
        <f ca="1">-'CAPEX, Impostos e Abandono ($)'!BM38*'Fluxo de Caixa dos Acionistas'!BM9*1000</f>
        <v>0</v>
      </c>
      <c r="BN74" s="51">
        <f ca="1">-'CAPEX, Impostos e Abandono ($)'!BN38*'Fluxo de Caixa dos Acionistas'!BN9*1000</f>
        <v>0</v>
      </c>
      <c r="BO74" s="51">
        <f ca="1">-'CAPEX, Impostos e Abandono ($)'!BO38*'Fluxo de Caixa dos Acionistas'!BO9*1000</f>
        <v>0</v>
      </c>
      <c r="BP74" s="51">
        <f ca="1">-'CAPEX, Impostos e Abandono ($)'!BP38*'Fluxo de Caixa dos Acionistas'!BP9*1000</f>
        <v>0</v>
      </c>
      <c r="BQ74" s="51">
        <f ca="1">-'CAPEX, Impostos e Abandono ($)'!BQ38*'Fluxo de Caixa dos Acionistas'!BQ9*1000</f>
        <v>0</v>
      </c>
      <c r="BR74" s="51">
        <f ca="1">-'CAPEX, Impostos e Abandono ($)'!BR38*'Fluxo de Caixa dos Acionistas'!BR9*1000</f>
        <v>0</v>
      </c>
      <c r="BS74" s="51">
        <f ca="1">-'CAPEX, Impostos e Abandono ($)'!BS38*'Fluxo de Caixa dos Acionistas'!BS9*1000</f>
        <v>0</v>
      </c>
      <c r="BT74" s="51">
        <f ca="1">-'CAPEX, Impostos e Abandono ($)'!BT38*'Fluxo de Caixa dos Acionistas'!BT9*1000</f>
        <v>0</v>
      </c>
      <c r="BU74" s="51">
        <f ca="1">-'CAPEX, Impostos e Abandono ($)'!BU38*'Fluxo de Caixa dos Acionistas'!BU9*1000</f>
        <v>0</v>
      </c>
      <c r="BV74" s="51">
        <f ca="1">-'CAPEX, Impostos e Abandono ($)'!BV38*'Fluxo de Caixa dos Acionistas'!BV9*1000</f>
        <v>0</v>
      </c>
      <c r="BW74" s="51">
        <f ca="1">-'CAPEX, Impostos e Abandono ($)'!BW38*'Fluxo de Caixa dos Acionistas'!BW9*1000</f>
        <v>0</v>
      </c>
    </row>
    <row r="75" spans="1:75" x14ac:dyDescent="0.3">
      <c r="A75" s="42" t="s">
        <v>543</v>
      </c>
      <c r="AG75" s="51">
        <f ca="1">IF(AG11=0,0,'Balanço Planilhado'!AG69)</f>
        <v>-1082608.5989700174</v>
      </c>
      <c r="AH75" s="51">
        <f ca="1">IF(AH11=0,0,'Balanço Planilhado'!AH69)</f>
        <v>-580481.34218906704</v>
      </c>
      <c r="AI75" s="51">
        <f ca="1">IF(AI11=0,0,'Balanço Planilhado'!AI69)</f>
        <v>34394.18519516848</v>
      </c>
      <c r="AJ75" s="51">
        <f ca="1">IF(AJ11=0,0,'Balanço Planilhado'!AJ69)</f>
        <v>-15756.499500703532</v>
      </c>
      <c r="AK75" s="51">
        <f ca="1">IF(AK11=0,0,'Balanço Planilhado'!AK69)</f>
        <v>200520.97917740373</v>
      </c>
      <c r="AL75" s="51">
        <f ca="1">IF(AL11=0,0,'Balanço Planilhado'!AL69)</f>
        <v>13530.800975340419</v>
      </c>
      <c r="AM75" s="51">
        <f ca="1">IF(AM11=0,0,'Balanço Planilhado'!AM69)</f>
        <v>287956.82717192639</v>
      </c>
      <c r="AN75" s="51">
        <f ca="1">IF(AN11=0,0,'Balanço Planilhado'!AN69)</f>
        <v>403675.56671605771</v>
      </c>
      <c r="AO75" s="51">
        <f ca="1">IF(AO11=0,0,'Balanço Planilhado'!AO69)</f>
        <v>244384.26108784438</v>
      </c>
      <c r="AP75" s="51">
        <f ca="1">IF(AP11=0,0,'Balanço Planilhado'!AP69)</f>
        <v>196663.4206017598</v>
      </c>
      <c r="AQ75" s="51">
        <f ca="1">IF(AQ11=0,0,'Balanço Planilhado'!AQ69)</f>
        <v>168458.1370232841</v>
      </c>
      <c r="AR75" s="51">
        <f ca="1">IF(AR11=0,0,'Balanço Planilhado'!AR69)</f>
        <v>171856.25586552359</v>
      </c>
      <c r="AS75" s="51">
        <f ca="1">IF(AS11=0,0,'Balanço Planilhado'!AS69)</f>
        <v>176060.42563267401</v>
      </c>
      <c r="AT75" s="51">
        <f ca="1">IF(AT11=0,0,'Balanço Planilhado'!AT69)</f>
        <v>147341.30428998615</v>
      </c>
      <c r="AU75" s="51">
        <f ca="1">IF(AU11=0,0,'Balanço Planilhado'!AU69)</f>
        <v>107732.25064288185</v>
      </c>
      <c r="AV75" s="51">
        <f ca="1">IF(AV11=0,0,'Balanço Planilhado'!AV69)</f>
        <v>82225.582530084881</v>
      </c>
      <c r="AW75" s="51">
        <f ca="1">IF(AW11=0,0,'Balanço Planilhado'!AW69)</f>
        <v>189314.204783277</v>
      </c>
      <c r="AX75" s="51">
        <f ca="1">IF(AX11=0,0,'Balanço Planilhado'!AX69)</f>
        <v>78444.894486394478</v>
      </c>
      <c r="AY75" s="51">
        <f ca="1">IF(AY11=0,0,'Balanço Planilhado'!AY69)</f>
        <v>69787.769434820162</v>
      </c>
      <c r="AZ75" s="51">
        <f ca="1">IF(AZ11=0,0,'Balanço Planilhado'!AZ69)</f>
        <v>65991.442436840734</v>
      </c>
      <c r="BA75" s="51">
        <f ca="1">IF(BA11=0,0,'Balanço Planilhado'!BA69)</f>
        <v>51827.280256567348</v>
      </c>
      <c r="BB75" s="51">
        <f ca="1">IF(BB11=0,0,'Balanço Planilhado'!BB69)</f>
        <v>56934.347450671601</v>
      </c>
      <c r="BC75" s="51">
        <f ca="1">IF(BC11=0,0,'Balanço Planilhado'!BC69)</f>
        <v>32785.039290965971</v>
      </c>
      <c r="BD75" s="51">
        <f ca="1">IF(BD11=0,0,'Balanço Planilhado'!BD69)</f>
        <v>25605.301720787014</v>
      </c>
      <c r="BE75" s="51">
        <f ca="1">IF(BE11=0,0,'Balanço Planilhado'!BE69)</f>
        <v>22200.317614023195</v>
      </c>
      <c r="BF75" s="51">
        <f ca="1">IF(BF11=0,0,'Balanço Planilhado'!BF69)</f>
        <v>39563.841039256484</v>
      </c>
      <c r="BG75" s="51">
        <f ca="1">IF(BG11=0,0,'Balanço Planilhado'!BG69)</f>
        <v>22550.319884034951</v>
      </c>
      <c r="BH75" s="51">
        <f ca="1">IF(BH11=0,0,'Balanço Planilhado'!BH69)</f>
        <v>14216.320325330627</v>
      </c>
      <c r="BI75" s="51">
        <f ca="1">IF(BI11=0,0,'Balanço Planilhado'!BI69)</f>
        <v>118816.97771128709</v>
      </c>
      <c r="BJ75" s="51">
        <f ca="1">IF(BJ11=0,0,'Balanço Planilhado'!BJ69)</f>
        <v>0</v>
      </c>
      <c r="BK75" s="51">
        <f ca="1">IF(BK11=0,0,'Balanço Planilhado'!BK69)</f>
        <v>0</v>
      </c>
      <c r="BL75" s="51">
        <f ca="1">IF(BL11=0,0,'Balanço Planilhado'!BL69)</f>
        <v>0</v>
      </c>
      <c r="BM75" s="51">
        <f ca="1">IF(BM11=0,0,'Balanço Planilhado'!BM69)</f>
        <v>0</v>
      </c>
      <c r="BN75" s="51">
        <f ca="1">IF(BN11=0,0,'Balanço Planilhado'!BN69)</f>
        <v>0</v>
      </c>
      <c r="BO75" s="51">
        <f ca="1">IF(BO11=0,0,'Balanço Planilhado'!BO69)</f>
        <v>0</v>
      </c>
      <c r="BP75" s="51">
        <f ca="1">IF(BP11=0,0,'Balanço Planilhado'!BP69)</f>
        <v>0</v>
      </c>
      <c r="BQ75" s="51">
        <f ca="1">IF(BQ11=0,0,'Balanço Planilhado'!BQ69)</f>
        <v>0</v>
      </c>
      <c r="BR75" s="51">
        <f ca="1">IF(BR11=0,0,'Balanço Planilhado'!BR69)</f>
        <v>0</v>
      </c>
      <c r="BS75" s="51">
        <f ca="1">IF(BS11=0,0,'Balanço Planilhado'!BS69)</f>
        <v>0</v>
      </c>
      <c r="BT75" s="51">
        <f ca="1">IF(BT11=0,0,'Balanço Planilhado'!BT69)</f>
        <v>0</v>
      </c>
      <c r="BU75" s="51">
        <f ca="1">IF(BU11=0,0,'Balanço Planilhado'!BU69)</f>
        <v>0</v>
      </c>
      <c r="BV75" s="51">
        <f ca="1">IF(BV11=0,0,'Balanço Planilhado'!BV69)</f>
        <v>0</v>
      </c>
      <c r="BW75" s="51">
        <f ca="1">IF(BW11=0,0,'Balanço Planilhado'!BW69)</f>
        <v>0</v>
      </c>
    </row>
    <row r="76" spans="1:75" x14ac:dyDescent="0.3">
      <c r="A76" s="42" t="s">
        <v>701</v>
      </c>
      <c r="AG76" s="51">
        <f ca="1">IF(AG11=0,0,'Balanço Planilhado'!AG71)</f>
        <v>-1075188</v>
      </c>
      <c r="AH76" s="51">
        <f ca="1">IF(AH11=0,0,'Balanço Planilhado'!AH71)</f>
        <v>0</v>
      </c>
      <c r="AI76" s="51">
        <f ca="1">IF(AI11=0,0,'Balanço Planilhado'!AI71)</f>
        <v>0</v>
      </c>
      <c r="AJ76" s="51">
        <f ca="1">IF(AJ11=0,0,'Balanço Planilhado'!AJ71)</f>
        <v>0</v>
      </c>
      <c r="AK76" s="51">
        <f ca="1">IF(AK11=0,0,'Balanço Planilhado'!AK71)</f>
        <v>0</v>
      </c>
      <c r="AL76" s="51">
        <f ca="1">IF(AL11=0,0,'Balanço Planilhado'!AL71)</f>
        <v>0</v>
      </c>
      <c r="AM76" s="51">
        <f ca="1">IF(AM11=0,0,'Balanço Planilhado'!AM71)</f>
        <v>0</v>
      </c>
      <c r="AN76" s="51">
        <f ca="1">IF(AN11=0,0,'Balanço Planilhado'!AN71)</f>
        <v>0</v>
      </c>
      <c r="AO76" s="51">
        <f ca="1">IF(AO11=0,0,'Balanço Planilhado'!AO71)</f>
        <v>0</v>
      </c>
      <c r="AP76" s="51">
        <f ca="1">IF(AP11=0,0,'Balanço Planilhado'!AP71)</f>
        <v>0</v>
      </c>
      <c r="AQ76" s="51">
        <f ca="1">IF(AQ11=0,0,'Balanço Planilhado'!AQ71)</f>
        <v>0</v>
      </c>
      <c r="AR76" s="51">
        <f ca="1">IF(AR11=0,0,'Balanço Planilhado'!AR71)</f>
        <v>0</v>
      </c>
      <c r="AS76" s="51">
        <f ca="1">IF(AS11=0,0,'Balanço Planilhado'!AS71)</f>
        <v>0</v>
      </c>
      <c r="AT76" s="51">
        <f ca="1">IF(AT11=0,0,'Balanço Planilhado'!AT71)</f>
        <v>0</v>
      </c>
      <c r="AU76" s="51">
        <f ca="1">IF(AU11=0,0,'Balanço Planilhado'!AU71)</f>
        <v>0</v>
      </c>
      <c r="AV76" s="51">
        <f ca="1">IF(AV11=0,0,'Balanço Planilhado'!AV71)</f>
        <v>0</v>
      </c>
      <c r="AW76" s="51">
        <f ca="1">IF(AW11=0,0,'Balanço Planilhado'!AW71)</f>
        <v>0</v>
      </c>
      <c r="AX76" s="51">
        <f ca="1">IF(AX11=0,0,'Balanço Planilhado'!AX71)</f>
        <v>0</v>
      </c>
      <c r="AY76" s="51">
        <f ca="1">IF(AY11=0,0,'Balanço Planilhado'!AY71)</f>
        <v>0</v>
      </c>
      <c r="AZ76" s="51">
        <f ca="1">IF(AZ11=0,0,'Balanço Planilhado'!AZ71)</f>
        <v>0</v>
      </c>
      <c r="BA76" s="51">
        <f ca="1">IF(BA11=0,0,'Balanço Planilhado'!BA71)</f>
        <v>0</v>
      </c>
      <c r="BB76" s="51">
        <f ca="1">IF(BB11=0,0,'Balanço Planilhado'!BB71)</f>
        <v>0</v>
      </c>
      <c r="BC76" s="51">
        <f ca="1">IF(BC11=0,0,'Balanço Planilhado'!BC71)</f>
        <v>0</v>
      </c>
      <c r="BD76" s="51">
        <f ca="1">IF(BD11=0,0,'Balanço Planilhado'!BD71)</f>
        <v>0</v>
      </c>
      <c r="BE76" s="51">
        <f ca="1">IF(BE11=0,0,'Balanço Planilhado'!BE71)</f>
        <v>0</v>
      </c>
      <c r="BF76" s="51">
        <f ca="1">IF(BF11=0,0,'Balanço Planilhado'!BF71)</f>
        <v>0</v>
      </c>
      <c r="BG76" s="51">
        <f ca="1">IF(BG11=0,0,'Balanço Planilhado'!BG71)</f>
        <v>0</v>
      </c>
      <c r="BH76" s="51">
        <f ca="1">IF(BH11=0,0,'Balanço Planilhado'!BH71)</f>
        <v>0</v>
      </c>
      <c r="BI76" s="51">
        <f ca="1">IF(BI11=0,0,'Balanço Planilhado'!BI71)</f>
        <v>0</v>
      </c>
      <c r="BJ76" s="51">
        <f ca="1">IF(BJ11=0,0,'Balanço Planilhado'!BJ71)</f>
        <v>0</v>
      </c>
      <c r="BK76" s="51">
        <f ca="1">IF(BK11=0,0,'Balanço Planilhado'!BK71)</f>
        <v>0</v>
      </c>
      <c r="BL76" s="51">
        <f ca="1">IF(BL11=0,0,'Balanço Planilhado'!BL71)</f>
        <v>0</v>
      </c>
      <c r="BM76" s="51">
        <f ca="1">IF(BM11=0,0,'Balanço Planilhado'!BM71)</f>
        <v>0</v>
      </c>
      <c r="BN76" s="51">
        <f ca="1">IF(BN11=0,0,'Balanço Planilhado'!BN71)</f>
        <v>0</v>
      </c>
      <c r="BO76" s="51">
        <f ca="1">IF(BO11=0,0,'Balanço Planilhado'!BO71)</f>
        <v>0</v>
      </c>
      <c r="BP76" s="51">
        <f ca="1">IF(BP11=0,0,'Balanço Planilhado'!BP71)</f>
        <v>0</v>
      </c>
      <c r="BQ76" s="51">
        <f ca="1">IF(BQ11=0,0,'Balanço Planilhado'!BQ71)</f>
        <v>0</v>
      </c>
      <c r="BR76" s="51">
        <f ca="1">IF(BR11=0,0,'Balanço Planilhado'!BR71)</f>
        <v>0</v>
      </c>
      <c r="BS76" s="51">
        <f ca="1">IF(BS11=0,0,'Balanço Planilhado'!BS71)</f>
        <v>0</v>
      </c>
      <c r="BT76" s="51">
        <f ca="1">IF(BT11=0,0,'Balanço Planilhado'!BT71)</f>
        <v>0</v>
      </c>
      <c r="BU76" s="51">
        <f ca="1">IF(BU11=0,0,'Balanço Planilhado'!BU71)</f>
        <v>0</v>
      </c>
      <c r="BV76" s="51">
        <f ca="1">IF(BV11=0,0,'Balanço Planilhado'!BV71)</f>
        <v>0</v>
      </c>
      <c r="BW76" s="51">
        <f ca="1">IF(BW11=0,0,'Balanço Planilhado'!BW71)</f>
        <v>0</v>
      </c>
    </row>
    <row r="77" spans="1:75" x14ac:dyDescent="0.3">
      <c r="A77" s="38" t="s">
        <v>531</v>
      </c>
      <c r="AG77" s="48">
        <f ca="1">-IF(AG16=0,0,'CAPEX, D&amp;A, Imob&amp;Intang'!AG60+'CAPEX, D&amp;A, Imob&amp;Intang'!AG20)</f>
        <v>-2019903.0495151998</v>
      </c>
      <c r="AH77" s="48">
        <f ca="1">-IF(AH16=0,0,'CAPEX, D&amp;A, Imob&amp;Intang'!AH60+'CAPEX, D&amp;A, Imob&amp;Intang'!AH20)</f>
        <v>-2014360.8885152002</v>
      </c>
      <c r="AI77" s="48">
        <f ca="1">-IF(AI16=0,0,'CAPEX, D&amp;A, Imob&amp;Intang'!AI60+'CAPEX, D&amp;A, Imob&amp;Intang'!AI20)</f>
        <v>-1632652.7512352003</v>
      </c>
      <c r="AJ77" s="48">
        <f ca="1">-IF(AJ16=0,0,'CAPEX, D&amp;A, Imob&amp;Intang'!AJ60+'CAPEX, D&amp;A, Imob&amp;Intang'!AJ20)</f>
        <v>-1629518.6606792</v>
      </c>
      <c r="AK77" s="48">
        <f ca="1">-IF(AK16=0,0,'CAPEX, D&amp;A, Imob&amp;Intang'!AK60+'CAPEX, D&amp;A, Imob&amp;Intang'!AK20)</f>
        <v>-1320236.7267642082</v>
      </c>
      <c r="AL77" s="48">
        <f ca="1">-IF(AL16=0,0,'CAPEX, D&amp;A, Imob&amp;Intang'!AL60+'CAPEX, D&amp;A, Imob&amp;Intang'!AL20)</f>
        <v>-1373958.3728337917</v>
      </c>
      <c r="AM77" s="48">
        <f ca="1">-IF(AM16=0,0,'CAPEX, D&amp;A, Imob&amp;Intang'!AM60+'CAPEX, D&amp;A, Imob&amp;Intang'!AM20)</f>
        <v>-245069.46577319829</v>
      </c>
      <c r="AN77" s="48">
        <f ca="1">-IF(AN16=0,0,'CAPEX, D&amp;A, Imob&amp;Intang'!AN60+'CAPEX, D&amp;A, Imob&amp;Intang'!AN20)</f>
        <v>-252110.32479641904</v>
      </c>
      <c r="AO77" s="48">
        <f ca="1">-IF(AO16=0,0,'CAPEX, D&amp;A, Imob&amp;Intang'!AO60+'CAPEX, D&amp;A, Imob&amp;Intang'!AO20)</f>
        <v>-259374.65514821038</v>
      </c>
      <c r="AP77" s="48">
        <f ca="1">-IF(AP16=0,0,'CAPEX, D&amp;A, Imob&amp;Intang'!AP60+'CAPEX, D&amp;A, Imob&amp;Intang'!AP20)</f>
        <v>-266844.30248594529</v>
      </c>
      <c r="AQ77" s="48">
        <f ca="1">-IF(AQ16=0,0,'CAPEX, D&amp;A, Imob&amp;Intang'!AQ60+'CAPEX, D&amp;A, Imob&amp;Intang'!AQ20)</f>
        <v>-274551.03055616067</v>
      </c>
      <c r="AR77" s="48">
        <f ca="1">-IF(AR16=0,0,'CAPEX, D&amp;A, Imob&amp;Intang'!AR60+'CAPEX, D&amp;A, Imob&amp;Intang'!AR20)</f>
        <v>-282475.57941676368</v>
      </c>
      <c r="AS77" s="48">
        <f ca="1">-IF(AS16=0,0,'CAPEX, D&amp;A, Imob&amp;Intang'!AS60+'CAPEX, D&amp;A, Imob&amp;Intang'!AS20)</f>
        <v>-290651.64722645521</v>
      </c>
      <c r="AT77" s="48">
        <f ca="1">-IF(AT16=0,0,'CAPEX, D&amp;A, Imob&amp;Intang'!AT60+'CAPEX, D&amp;A, Imob&amp;Intang'!AT20)</f>
        <v>-187414.23669097779</v>
      </c>
      <c r="AU77" s="48">
        <f ca="1">-IF(AU16=0,0,'CAPEX, D&amp;A, Imob&amp;Intang'!AU60+'CAPEX, D&amp;A, Imob&amp;Intang'!AU20)</f>
        <v>-192738.89009762881</v>
      </c>
      <c r="AV77" s="48">
        <f ca="1">-IF(AV16=0,0,'CAPEX, D&amp;A, Imob&amp;Intang'!AV60+'CAPEX, D&amp;A, Imob&amp;Intang'!AV20)</f>
        <v>-198208.22261488263</v>
      </c>
      <c r="AW77" s="48">
        <f ca="1">-IF(AW16=0,0,'CAPEX, D&amp;A, Imob&amp;Intang'!AW60+'CAPEX, D&amp;A, Imob&amp;Intang'!AW20)</f>
        <v>-203857.1474139987</v>
      </c>
      <c r="AX77" s="48">
        <f ca="1">-IF(AX16=0,0,'CAPEX, D&amp;A, Imob&amp;Intang'!AX60+'CAPEX, D&amp;A, Imob&amp;Intang'!AX20)</f>
        <v>-209659.56228155328</v>
      </c>
      <c r="AY77" s="48">
        <f ca="1">-IF(AY16=0,0,'CAPEX, D&amp;A, Imob&amp;Intang'!AY60+'CAPEX, D&amp;A, Imob&amp;Intang'!AY20)</f>
        <v>-215652.50660093554</v>
      </c>
      <c r="AZ77" s="48">
        <f ca="1">-IF(AZ16=0,0,'CAPEX, D&amp;A, Imob&amp;Intang'!AZ60+'CAPEX, D&amp;A, Imob&amp;Intang'!AZ20)</f>
        <v>-221808.28853392418</v>
      </c>
      <c r="BA77" s="48">
        <f ca="1">-IF(BA16=0,0,'CAPEX, D&amp;A, Imob&amp;Intang'!BA60+'CAPEX, D&amp;A, Imob&amp;Intang'!BA20)</f>
        <v>-228166.20316235683</v>
      </c>
      <c r="BB77" s="48">
        <f ca="1">-IF(BB16=0,0,'CAPEX, D&amp;A, Imob&amp;Intang'!BB60+'CAPEX, D&amp;A, Imob&amp;Intang'!BB20)</f>
        <v>-234696.87221506459</v>
      </c>
      <c r="BC77" s="48">
        <f ca="1">-IF(BC16=0,0,'CAPEX, D&amp;A, Imob&amp;Intang'!BC60+'CAPEX, D&amp;A, Imob&amp;Intang'!BC20)</f>
        <v>-241441.98384436866</v>
      </c>
      <c r="BD77" s="48">
        <f ca="1">-IF(BD16=0,0,'CAPEX, D&amp;A, Imob&amp;Intang'!BD60+'CAPEX, D&amp;A, Imob&amp;Intang'!BD20)</f>
        <v>-248370.37064238629</v>
      </c>
      <c r="BE77" s="48">
        <f ca="1">-IF(BE16=0,0,'CAPEX, D&amp;A, Imob&amp;Intang'!BE60+'CAPEX, D&amp;A, Imob&amp;Intang'!BE20)</f>
        <v>-255526.25956991507</v>
      </c>
      <c r="BF77" s="48">
        <f ca="1">-IF(BF16=0,0,'CAPEX, D&amp;A, Imob&amp;Intang'!BF60+'CAPEX, D&amp;A, Imob&amp;Intang'!BF20)</f>
        <v>-262876.58512393187</v>
      </c>
      <c r="BG77" s="48">
        <f ca="1">-IF(BG16=0,0,'CAPEX, D&amp;A, Imob&amp;Intang'!BG60+'CAPEX, D&amp;A, Imob&amp;Intang'!BG20)</f>
        <v>-10173.088515200187</v>
      </c>
      <c r="BH77" s="48">
        <f ca="1">-IF(BH16=0,0,'CAPEX, D&amp;A, Imob&amp;Intang'!BH60+'CAPEX, D&amp;A, Imob&amp;Intang'!BH20)</f>
        <v>-10173.088515200187</v>
      </c>
      <c r="BI77" s="48">
        <f ca="1">-IF(BI16=0,0,'CAPEX, D&amp;A, Imob&amp;Intang'!BI60+'CAPEX, D&amp;A, Imob&amp;Intang'!BI20)</f>
        <v>-10173.088515200187</v>
      </c>
      <c r="BJ77" s="48">
        <f ca="1">-IF(BJ16=0,0,'CAPEX, D&amp;A, Imob&amp;Intang'!BJ60+'CAPEX, D&amp;A, Imob&amp;Intang'!BJ20)</f>
        <v>0</v>
      </c>
      <c r="BK77" s="48">
        <f ca="1">-IF(BK16=0,0,'CAPEX, D&amp;A, Imob&amp;Intang'!BK60+'CAPEX, D&amp;A, Imob&amp;Intang'!BK20)</f>
        <v>0</v>
      </c>
      <c r="BL77" s="48">
        <f ca="1">-IF(BL16=0,0,'CAPEX, D&amp;A, Imob&amp;Intang'!BL60+'CAPEX, D&amp;A, Imob&amp;Intang'!BL20)</f>
        <v>0</v>
      </c>
      <c r="BM77" s="48">
        <f ca="1">-IF(BM16=0,0,'CAPEX, D&amp;A, Imob&amp;Intang'!BM60+'CAPEX, D&amp;A, Imob&amp;Intang'!BM20)</f>
        <v>0</v>
      </c>
      <c r="BN77" s="48">
        <f ca="1">-IF(BN16=0,0,'CAPEX, D&amp;A, Imob&amp;Intang'!BN60+'CAPEX, D&amp;A, Imob&amp;Intang'!BN20)</f>
        <v>0</v>
      </c>
      <c r="BO77" s="48">
        <f ca="1">-IF(BO16=0,0,'CAPEX, D&amp;A, Imob&amp;Intang'!BO60+'CAPEX, D&amp;A, Imob&amp;Intang'!BO20)</f>
        <v>0</v>
      </c>
      <c r="BP77" s="48">
        <f ca="1">-IF(BP16=0,0,'CAPEX, D&amp;A, Imob&amp;Intang'!BP60+'CAPEX, D&amp;A, Imob&amp;Intang'!BP20)</f>
        <v>0</v>
      </c>
      <c r="BQ77" s="48">
        <f ca="1">-IF(BQ16=0,0,'CAPEX, D&amp;A, Imob&amp;Intang'!BQ60+'CAPEX, D&amp;A, Imob&amp;Intang'!BQ20)</f>
        <v>0</v>
      </c>
      <c r="BR77" s="48">
        <f ca="1">-IF(BR16=0,0,'CAPEX, D&amp;A, Imob&amp;Intang'!BR60+'CAPEX, D&amp;A, Imob&amp;Intang'!BR20)</f>
        <v>0</v>
      </c>
      <c r="BS77" s="48">
        <f ca="1">-IF(BS16=0,0,'CAPEX, D&amp;A, Imob&amp;Intang'!BS60+'CAPEX, D&amp;A, Imob&amp;Intang'!BS20)</f>
        <v>0</v>
      </c>
      <c r="BT77" s="48">
        <f ca="1">-IF(BT16=0,0,'CAPEX, D&amp;A, Imob&amp;Intang'!BT60+'CAPEX, D&amp;A, Imob&amp;Intang'!BT20)</f>
        <v>0</v>
      </c>
      <c r="BU77" s="48">
        <f ca="1">-IF(BU16=0,0,'CAPEX, D&amp;A, Imob&amp;Intang'!BU60+'CAPEX, D&amp;A, Imob&amp;Intang'!BU20)</f>
        <v>0</v>
      </c>
      <c r="BV77" s="48">
        <f ca="1">-IF(BV16=0,0,'CAPEX, D&amp;A, Imob&amp;Intang'!BV60+'CAPEX, D&amp;A, Imob&amp;Intang'!BV20)</f>
        <v>0</v>
      </c>
      <c r="BW77" s="48">
        <f ca="1">-IF(BW16=0,0,'CAPEX, D&amp;A, Imob&amp;Intang'!BW60+'CAPEX, D&amp;A, Imob&amp;Intang'!BW20)</f>
        <v>0</v>
      </c>
    </row>
    <row r="78" spans="1:75" x14ac:dyDescent="0.3">
      <c r="A78" s="38" t="s">
        <v>625</v>
      </c>
      <c r="AG78" s="48">
        <f ca="1">IF(AG11=0,0,'Resultado Financeiro e Dívida'!AG27*1000)</f>
        <v>-2927860.2894113609</v>
      </c>
      <c r="AH78" s="48">
        <f ca="1">IF(AH11=0,0,'Resultado Financeiro e Dívida'!AH27*1000)</f>
        <v>-2358613.0355949015</v>
      </c>
      <c r="AI78" s="48">
        <f ca="1">IF(AI11=0,0,'Resultado Financeiro e Dívida'!AI27*1000)</f>
        <v>-3249675.9554585558</v>
      </c>
      <c r="AJ78" s="48">
        <f ca="1">IF(AJ11=0,0,'Resultado Financeiro e Dívida'!AJ27*1000)</f>
        <v>-905210.40074048773</v>
      </c>
      <c r="AK78" s="48">
        <f ca="1">IF(AK11=0,0,'Resultado Financeiro e Dívida'!AK27*1000)</f>
        <v>-756655.30500743445</v>
      </c>
      <c r="AL78" s="48">
        <f ca="1">IF(AL11=0,0,'Resultado Financeiro e Dívida'!AL27*1000)</f>
        <v>-57008.682623194545</v>
      </c>
      <c r="AM78" s="48">
        <f ca="1">IF(AM11=0,0,'Resultado Financeiro e Dívida'!AM27*1000)</f>
        <v>455046.75059220975</v>
      </c>
      <c r="AN78" s="48">
        <f ca="1">IF(AN11=0,0,'Resultado Financeiro e Dívida'!AN27*1000)</f>
        <v>684515.53455207567</v>
      </c>
      <c r="AO78" s="48">
        <f ca="1">IF(AO11=0,0,'Resultado Financeiro e Dívida'!AO27*1000)</f>
        <v>443352.38758296374</v>
      </c>
      <c r="AP78" s="48">
        <f ca="1">IF(AP11=0,0,'Resultado Financeiro e Dívida'!AP27*1000)</f>
        <v>361263.29089177534</v>
      </c>
      <c r="AQ78" s="48">
        <f ca="1">IF(AQ11=0,0,'Resultado Financeiro e Dívida'!AQ27*1000)</f>
        <v>302418.55638163362</v>
      </c>
      <c r="AR78" s="48">
        <f ca="1">IF(AR11=0,0,'Resultado Financeiro e Dívida'!AR27*1000)</f>
        <v>307094.70968286949</v>
      </c>
      <c r="AS78" s="48">
        <f ca="1">IF(AS11=0,0,'Resultado Financeiro e Dívida'!AS27*1000)</f>
        <v>309772.88108693756</v>
      </c>
      <c r="AT78" s="48">
        <f ca="1">IF(AT11=0,0,'Resultado Financeiro e Dívida'!AT27*1000)</f>
        <v>264228.37055405579</v>
      </c>
      <c r="AU78" s="48">
        <f ca="1">IF(AU11=0,0,'Resultado Financeiro e Dívida'!AU27*1000)</f>
        <v>189969.73478251288</v>
      </c>
      <c r="AV78" s="48">
        <f ca="1">IF(AV11=0,0,'Resultado Financeiro e Dívida'!AV27*1000)</f>
        <v>163812.90479372023</v>
      </c>
      <c r="AW78" s="48">
        <f ca="1">IF(AW11=0,0,'Resultado Financeiro e Dívida'!AW27*1000)</f>
        <v>323086.14049065206</v>
      </c>
      <c r="AX78" s="48">
        <f ca="1">IF(AX11=0,0,'Resultado Financeiro e Dívida'!AX27*1000)</f>
        <v>135813.12809331599</v>
      </c>
      <c r="AY78" s="48">
        <f ca="1">IF(AY11=0,0,'Resultado Financeiro e Dívida'!AY27*1000)</f>
        <v>119159.26273211358</v>
      </c>
      <c r="AZ78" s="48">
        <f ca="1">IF(AZ11=0,0,'Resultado Financeiro e Dívida'!AZ27*1000)</f>
        <v>112712.71725237602</v>
      </c>
      <c r="BA78" s="48">
        <f ca="1">IF(BA11=0,0,'Resultado Financeiro e Dívida'!BA27*1000)</f>
        <v>87207.043441012836</v>
      </c>
      <c r="BB78" s="48">
        <f ca="1">IF(BB11=0,0,'Resultado Financeiro e Dívida'!BB27*1000)</f>
        <v>98541.218488193525</v>
      </c>
      <c r="BC78" s="48">
        <f ca="1">IF(BC11=0,0,'Resultado Financeiro e Dívida'!BC27*1000)</f>
        <v>55900.15799925186</v>
      </c>
      <c r="BD78" s="48">
        <f ca="1">IF(BD11=0,0,'Resultado Financeiro e Dívida'!BD27*1000)</f>
        <v>43643.323182323911</v>
      </c>
      <c r="BE78" s="48">
        <f ca="1">IF(BE11=0,0,'Resultado Financeiro e Dívida'!BE27*1000)</f>
        <v>36801.22596468823</v>
      </c>
      <c r="BF78" s="48">
        <f ca="1">IF(BF11=0,0,'Resultado Financeiro e Dívida'!BF27*1000)</f>
        <v>68462.703586833188</v>
      </c>
      <c r="BG78" s="48">
        <f ca="1">IF(BG11=0,0,'Resultado Financeiro e Dívida'!BG27*1000)</f>
        <v>38611.285564778089</v>
      </c>
      <c r="BH78" s="48">
        <f ca="1">IF(BH11=0,0,'Resultado Financeiro e Dívida'!BH27*1000)</f>
        <v>24373.898111109156</v>
      </c>
      <c r="BI78" s="48">
        <f ca="1">IF(BI11=0,0,'Resultado Financeiro e Dívida'!BI27*1000)</f>
        <v>202196.06585288761</v>
      </c>
      <c r="BJ78" s="48">
        <f ca="1">IF(BJ11=0,0,'Resultado Financeiro e Dívida'!BJ27*1000)</f>
        <v>0</v>
      </c>
      <c r="BK78" s="48">
        <f ca="1">IF(BK11=0,0,'Resultado Financeiro e Dívida'!BK27*1000)</f>
        <v>0</v>
      </c>
      <c r="BL78" s="48">
        <f ca="1">IF(BL11=0,0,'Resultado Financeiro e Dívida'!BL27*1000)</f>
        <v>0</v>
      </c>
      <c r="BM78" s="48">
        <f ca="1">IF(BM11=0,0,'Resultado Financeiro e Dívida'!BM27*1000)</f>
        <v>0</v>
      </c>
      <c r="BN78" s="48">
        <f ca="1">IF(BN11=0,0,'Resultado Financeiro e Dívida'!BN27*1000)</f>
        <v>0</v>
      </c>
      <c r="BO78" s="48">
        <f ca="1">IF(BO11=0,0,'Resultado Financeiro e Dívida'!BO27*1000)</f>
        <v>0</v>
      </c>
      <c r="BP78" s="48">
        <f ca="1">IF(BP11=0,0,'Resultado Financeiro e Dívida'!BP27*1000)</f>
        <v>0</v>
      </c>
      <c r="BQ78" s="48">
        <f ca="1">IF(BQ11=0,0,'Resultado Financeiro e Dívida'!BQ27*1000)</f>
        <v>0</v>
      </c>
      <c r="BR78" s="48">
        <f ca="1">IF(BR11=0,0,'Resultado Financeiro e Dívida'!BR27*1000)</f>
        <v>0</v>
      </c>
      <c r="BS78" s="48">
        <f ca="1">IF(BS11=0,0,'Resultado Financeiro e Dívida'!BS27*1000)</f>
        <v>0</v>
      </c>
      <c r="BT78" s="48">
        <f ca="1">IF(BT11=0,0,'Resultado Financeiro e Dívida'!BT27*1000)</f>
        <v>0</v>
      </c>
      <c r="BU78" s="48">
        <f ca="1">IF(BU11=0,0,'Resultado Financeiro e Dívida'!BU27*1000)</f>
        <v>0</v>
      </c>
      <c r="BV78" s="48">
        <f ca="1">IF(BV11=0,0,'Resultado Financeiro e Dívida'!BV27*1000)</f>
        <v>0</v>
      </c>
      <c r="BW78" s="48">
        <f ca="1">IF(BW11=0,0,'Resultado Financeiro e Dívida'!BW27*1000)</f>
        <v>0</v>
      </c>
    </row>
    <row r="80" spans="1:75" x14ac:dyDescent="0.3">
      <c r="A80" s="38" t="s">
        <v>1194</v>
      </c>
      <c r="AG80" s="48">
        <f t="shared" ref="AG80:BW80" ca="1" si="77">AG71+AG77+AG78</f>
        <v>953590.06406992255</v>
      </c>
      <c r="AH80" s="48">
        <f t="shared" ca="1" si="77"/>
        <v>5389406.641307896</v>
      </c>
      <c r="AI80" s="48">
        <f t="shared" ca="1" si="77"/>
        <v>5475039.0644567329</v>
      </c>
      <c r="AJ80" s="48">
        <f t="shared" ca="1" si="77"/>
        <v>8046286.6611021496</v>
      </c>
      <c r="AK80" s="48">
        <f t="shared" ca="1" si="77"/>
        <v>8213453.446524783</v>
      </c>
      <c r="AL80" s="48">
        <f t="shared" ca="1" si="77"/>
        <v>8602779.9619174208</v>
      </c>
      <c r="AM80" s="48">
        <f t="shared" ca="1" si="77"/>
        <v>9676256.1246602293</v>
      </c>
      <c r="AN80" s="48">
        <f t="shared" ca="1" si="77"/>
        <v>8710803.2305929251</v>
      </c>
      <c r="AO80" s="48">
        <f t="shared" ca="1" si="77"/>
        <v>7421969.4269731231</v>
      </c>
      <c r="AP80" s="48">
        <f t="shared" ca="1" si="77"/>
        <v>6414206.2767940378</v>
      </c>
      <c r="AQ80" s="48">
        <f t="shared" ca="1" si="77"/>
        <v>5706714.4424915705</v>
      </c>
      <c r="AR80" s="48">
        <f t="shared" ca="1" si="77"/>
        <v>5049952.4890448367</v>
      </c>
      <c r="AS80" s="48">
        <f t="shared" ca="1" si="77"/>
        <v>4400452.5073649837</v>
      </c>
      <c r="AT80" s="48">
        <f t="shared" ca="1" si="77"/>
        <v>3880447.8885544185</v>
      </c>
      <c r="AU80" s="48">
        <f t="shared" ca="1" si="77"/>
        <v>3410406.1898568389</v>
      </c>
      <c r="AV80" s="48">
        <f t="shared" ca="1" si="77"/>
        <v>3065415.5983944819</v>
      </c>
      <c r="AW80" s="48">
        <f t="shared" ca="1" si="77"/>
        <v>2089621.3086301489</v>
      </c>
      <c r="AX80" s="48">
        <f t="shared" ca="1" si="77"/>
        <v>2293934.3067836007</v>
      </c>
      <c r="AY80" s="48">
        <f t="shared" ca="1" si="77"/>
        <v>2069788.819505845</v>
      </c>
      <c r="AZ80" s="48">
        <f t="shared" ca="1" si="77"/>
        <v>1876464.5209152983</v>
      </c>
      <c r="BA80" s="48">
        <f t="shared" ca="1" si="77"/>
        <v>1686521.3469922298</v>
      </c>
      <c r="BB80" s="48">
        <f t="shared" ca="1" si="77"/>
        <v>1550341.9306961885</v>
      </c>
      <c r="BC80" s="48">
        <f t="shared" ca="1" si="77"/>
        <v>1398680.8538419274</v>
      </c>
      <c r="BD80" s="48">
        <f t="shared" ca="1" si="77"/>
        <v>1318048.3239855552</v>
      </c>
      <c r="BE80" s="48">
        <f t="shared" ca="1" si="77"/>
        <v>1252285.5270291162</v>
      </c>
      <c r="BF80" s="48">
        <f t="shared" ca="1" si="77"/>
        <v>1213529.7533670124</v>
      </c>
      <c r="BG80" s="48">
        <f t="shared" ca="1" si="77"/>
        <v>1405189.2138867518</v>
      </c>
      <c r="BH80" s="48">
        <f t="shared" ca="1" si="77"/>
        <v>1261973.8240033789</v>
      </c>
      <c r="BI80" s="48">
        <f t="shared" ca="1" si="77"/>
        <v>1097473.1273595442</v>
      </c>
      <c r="BJ80" s="48">
        <f t="shared" ca="1" si="77"/>
        <v>-10869625.044523465</v>
      </c>
      <c r="BK80" s="48">
        <f t="shared" ca="1" si="77"/>
        <v>0</v>
      </c>
      <c r="BL80" s="48">
        <f t="shared" ca="1" si="77"/>
        <v>0</v>
      </c>
      <c r="BM80" s="48">
        <f t="shared" ca="1" si="77"/>
        <v>0</v>
      </c>
      <c r="BN80" s="48">
        <f t="shared" ca="1" si="77"/>
        <v>0</v>
      </c>
      <c r="BO80" s="48">
        <f t="shared" ca="1" si="77"/>
        <v>0</v>
      </c>
      <c r="BP80" s="48">
        <f t="shared" ca="1" si="77"/>
        <v>0</v>
      </c>
      <c r="BQ80" s="48">
        <f t="shared" ca="1" si="77"/>
        <v>0</v>
      </c>
      <c r="BR80" s="48">
        <f t="shared" ca="1" si="77"/>
        <v>0</v>
      </c>
      <c r="BS80" s="48">
        <f t="shared" ca="1" si="77"/>
        <v>0</v>
      </c>
      <c r="BT80" s="48">
        <f t="shared" ca="1" si="77"/>
        <v>0</v>
      </c>
      <c r="BU80" s="48">
        <f t="shared" ca="1" si="77"/>
        <v>0</v>
      </c>
      <c r="BV80" s="48">
        <f t="shared" ca="1" si="77"/>
        <v>0</v>
      </c>
      <c r="BW80" s="48">
        <f t="shared" ca="1" si="77"/>
        <v>0</v>
      </c>
    </row>
    <row r="134" spans="22:29" x14ac:dyDescent="0.3">
      <c r="V134"/>
      <c r="W134"/>
      <c r="X134"/>
      <c r="Y134"/>
      <c r="AA134" s="76"/>
      <c r="AB134" s="76"/>
      <c r="AC134" s="76"/>
    </row>
  </sheetData>
  <phoneticPr fontId="19" type="noConversion"/>
  <pageMargins left="0.511811024" right="0.511811024" top="0.78740157499999996" bottom="0.78740157499999996" header="0.31496062000000002" footer="0.31496062000000002"/>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1D29C-25A6-4BAB-BFB8-7DAD24BAC3E3}">
  <sheetPr>
    <tabColor theme="8" tint="0.79998168889431442"/>
  </sheetPr>
  <dimension ref="A1:XFD1048576"/>
  <sheetViews>
    <sheetView showGridLines="0" tabSelected="1" zoomScaleNormal="100" workbookViewId="0">
      <pane xSplit="1" ySplit="1" topLeftCell="B103" activePane="bottomRight" state="frozen"/>
      <selection pane="topRight" activeCell="B1" sqref="B1"/>
      <selection pane="bottomLeft" activeCell="A2" sqref="A2"/>
      <selection pane="bottomRight" activeCell="E111" sqref="E111"/>
    </sheetView>
  </sheetViews>
  <sheetFormatPr defaultRowHeight="14.4" x14ac:dyDescent="0.3"/>
  <cols>
    <col min="1" max="1" width="43.33203125" customWidth="1"/>
    <col min="2" max="2" width="14.33203125" customWidth="1"/>
    <col min="3" max="3" width="9.77734375" customWidth="1"/>
    <col min="4" max="4" width="13.109375" customWidth="1"/>
    <col min="5" max="5" width="10.44140625" customWidth="1"/>
    <col min="6" max="6" width="11.6640625" customWidth="1"/>
    <col min="7" max="7" width="10" bestFit="1" customWidth="1"/>
    <col min="8" max="10" width="9" bestFit="1" customWidth="1"/>
    <col min="11" max="11" width="9.21875" bestFit="1" customWidth="1"/>
    <col min="12" max="14" width="10.21875" bestFit="1" customWidth="1"/>
    <col min="15" max="30" width="9.109375" bestFit="1" customWidth="1"/>
    <col min="31" max="47" width="10.6640625" bestFit="1" customWidth="1"/>
  </cols>
  <sheetData>
    <row r="1" spans="1:47" x14ac:dyDescent="0.3">
      <c r="B1" s="3">
        <v>2022</v>
      </c>
      <c r="C1" s="3" t="s">
        <v>547</v>
      </c>
      <c r="D1" s="3">
        <v>2023</v>
      </c>
      <c r="E1" s="3">
        <f>D1+1</f>
        <v>2024</v>
      </c>
      <c r="F1" s="3">
        <f t="shared" ref="F1:AJ1" si="0">E1+1</f>
        <v>2025</v>
      </c>
      <c r="G1" s="3">
        <f t="shared" si="0"/>
        <v>2026</v>
      </c>
      <c r="H1" s="3">
        <f t="shared" si="0"/>
        <v>2027</v>
      </c>
      <c r="I1" s="3">
        <f t="shared" si="0"/>
        <v>2028</v>
      </c>
      <c r="J1" s="3">
        <f t="shared" si="0"/>
        <v>2029</v>
      </c>
      <c r="K1" s="3">
        <f t="shared" si="0"/>
        <v>2030</v>
      </c>
      <c r="L1" s="3">
        <f t="shared" si="0"/>
        <v>2031</v>
      </c>
      <c r="M1" s="3">
        <f t="shared" si="0"/>
        <v>2032</v>
      </c>
      <c r="N1" s="3">
        <f t="shared" si="0"/>
        <v>2033</v>
      </c>
      <c r="O1" s="3">
        <f t="shared" si="0"/>
        <v>2034</v>
      </c>
      <c r="P1" s="3">
        <f t="shared" si="0"/>
        <v>2035</v>
      </c>
      <c r="Q1" s="3">
        <f t="shared" si="0"/>
        <v>2036</v>
      </c>
      <c r="R1" s="3">
        <f t="shared" si="0"/>
        <v>2037</v>
      </c>
      <c r="S1" s="3">
        <f t="shared" si="0"/>
        <v>2038</v>
      </c>
      <c r="T1" s="3">
        <f t="shared" si="0"/>
        <v>2039</v>
      </c>
      <c r="U1" s="3">
        <f t="shared" si="0"/>
        <v>2040</v>
      </c>
      <c r="V1" s="3">
        <f t="shared" si="0"/>
        <v>2041</v>
      </c>
      <c r="W1" s="3">
        <f t="shared" si="0"/>
        <v>2042</v>
      </c>
      <c r="X1" s="3">
        <f t="shared" si="0"/>
        <v>2043</v>
      </c>
      <c r="Y1" s="3">
        <f t="shared" si="0"/>
        <v>2044</v>
      </c>
      <c r="Z1" s="3">
        <f t="shared" si="0"/>
        <v>2045</v>
      </c>
      <c r="AA1" s="3">
        <f t="shared" si="0"/>
        <v>2046</v>
      </c>
      <c r="AB1" s="3">
        <f t="shared" si="0"/>
        <v>2047</v>
      </c>
      <c r="AC1" s="3">
        <f t="shared" si="0"/>
        <v>2048</v>
      </c>
      <c r="AD1" s="3">
        <f t="shared" si="0"/>
        <v>2049</v>
      </c>
      <c r="AE1" s="3">
        <f t="shared" si="0"/>
        <v>2050</v>
      </c>
      <c r="AF1" s="3">
        <f t="shared" si="0"/>
        <v>2051</v>
      </c>
      <c r="AG1" s="3">
        <f t="shared" si="0"/>
        <v>2052</v>
      </c>
      <c r="AH1" s="3">
        <f t="shared" si="0"/>
        <v>2053</v>
      </c>
      <c r="AI1" s="3">
        <f t="shared" si="0"/>
        <v>2054</v>
      </c>
      <c r="AJ1" s="3">
        <f t="shared" si="0"/>
        <v>2055</v>
      </c>
      <c r="AK1" s="3">
        <f t="shared" ref="AK1:AU1" si="1">AJ1+1</f>
        <v>2056</v>
      </c>
      <c r="AL1" s="3">
        <f t="shared" si="1"/>
        <v>2057</v>
      </c>
      <c r="AM1" s="3">
        <f t="shared" si="1"/>
        <v>2058</v>
      </c>
      <c r="AN1" s="3">
        <f t="shared" si="1"/>
        <v>2059</v>
      </c>
      <c r="AO1" s="3">
        <f t="shared" si="1"/>
        <v>2060</v>
      </c>
      <c r="AP1" s="3">
        <f t="shared" si="1"/>
        <v>2061</v>
      </c>
      <c r="AQ1" s="3">
        <f t="shared" si="1"/>
        <v>2062</v>
      </c>
      <c r="AR1" s="3">
        <f t="shared" si="1"/>
        <v>2063</v>
      </c>
      <c r="AS1" s="3">
        <f t="shared" si="1"/>
        <v>2064</v>
      </c>
      <c r="AT1" s="3">
        <f t="shared" si="1"/>
        <v>2065</v>
      </c>
      <c r="AU1" s="3">
        <f t="shared" si="1"/>
        <v>2066</v>
      </c>
    </row>
    <row r="3" spans="1:47" x14ac:dyDescent="0.3">
      <c r="A3" s="215" t="s">
        <v>106</v>
      </c>
      <c r="B3" s="26"/>
      <c r="E3" s="70">
        <f>'Resultado Financeiro e Dívida'!AF7</f>
        <v>4.9324999999999992</v>
      </c>
      <c r="F3" s="70">
        <f>'Resultado Financeiro e Dívida'!AG7</f>
        <v>4.9326999999999996</v>
      </c>
      <c r="G3" s="70">
        <f>'Resultado Financeiro e Dívida'!AH7</f>
        <v>5</v>
      </c>
      <c r="H3" s="70">
        <f>'Resultado Financeiro e Dívida'!AI7</f>
        <v>5.04</v>
      </c>
      <c r="I3" s="70">
        <f>'Resultado Financeiro e Dívida'!AJ7</f>
        <v>5.0999999999999996</v>
      </c>
      <c r="J3" s="70">
        <f>SUMIFS('Drivers Macroeconômico'!$K:$K,'Drivers Macroeconômico'!$H:$H,J$1)</f>
        <v>5.15</v>
      </c>
      <c r="K3" s="70">
        <f>SUMIFS('Drivers Macroeconômico'!$K:$K,'Drivers Macroeconômico'!$H:$H,K$1)</f>
        <v>5.200490196078432</v>
      </c>
      <c r="L3" s="70">
        <f>SUMIFS('Drivers Macroeconômico'!$K:$K,'Drivers Macroeconômico'!$H:$H,L$1)</f>
        <v>5.2514753940792014</v>
      </c>
      <c r="M3" s="70">
        <f>SUMIFS('Drivers Macroeconômico'!$K:$K,'Drivers Macroeconômico'!$H:$H,M$1)</f>
        <v>5.3029604469623308</v>
      </c>
      <c r="N3" s="70">
        <f>SUMIFS('Drivers Macroeconômico'!$K:$K,'Drivers Macroeconômico'!$H:$H,N$1)</f>
        <v>5.3549502552658828</v>
      </c>
      <c r="O3" s="70">
        <f>SUMIFS('Drivers Macroeconômico'!$K:$K,'Drivers Macroeconômico'!$H:$H,O$1)</f>
        <v>5.4074497675724107</v>
      </c>
      <c r="P3" s="70">
        <f>SUMIFS('Drivers Macroeconômico'!$K:$K,'Drivers Macroeconômico'!$H:$H,P$1)</f>
        <v>5.4604639809799842</v>
      </c>
      <c r="Q3" s="70">
        <f>SUMIFS('Drivers Macroeconômico'!$K:$K,'Drivers Macroeconômico'!$H:$H,Q$1)</f>
        <v>5.5139979415778271</v>
      </c>
      <c r="R3" s="70">
        <f>SUMIFS('Drivers Macroeconômico'!$K:$K,'Drivers Macroeconômico'!$H:$H,R$1)</f>
        <v>5.5680567449266292</v>
      </c>
      <c r="S3" s="70">
        <f>SUMIFS('Drivers Macroeconômico'!$K:$K,'Drivers Macroeconômico'!$H:$H,S$1)</f>
        <v>5.6226455365435566</v>
      </c>
      <c r="T3" s="70">
        <f>SUMIFS('Drivers Macroeconômico'!$K:$K,'Drivers Macroeconômico'!$H:$H,T$1)</f>
        <v>5.6777695123920227</v>
      </c>
      <c r="U3" s="70">
        <f>SUMIFS('Drivers Macroeconômico'!$K:$K,'Drivers Macroeconômico'!$H:$H,U$1)</f>
        <v>5.7334339193762576</v>
      </c>
      <c r="V3" s="70">
        <f>SUMIFS('Drivers Macroeconômico'!$K:$K,'Drivers Macroeconômico'!$H:$H,V$1)</f>
        <v>5.7896440558407303</v>
      </c>
      <c r="W3" s="70">
        <f>SUMIFS('Drivers Macroeconômico'!$K:$K,'Drivers Macroeconômico'!$H:$H,W$1)</f>
        <v>5.8464052720744633</v>
      </c>
      <c r="X3" s="70">
        <f>SUMIFS('Drivers Macroeconômico'!$K:$K,'Drivers Macroeconômico'!$H:$H,X$1)</f>
        <v>5.903722970820291</v>
      </c>
      <c r="Y3" s="70">
        <f>SUMIFS('Drivers Macroeconômico'!$K:$K,'Drivers Macroeconômico'!$H:$H,Y$1)</f>
        <v>5.9616026077891178</v>
      </c>
      <c r="Z3" s="70">
        <f>SUMIFS('Drivers Macroeconômico'!$K:$K,'Drivers Macroeconômico'!$H:$H,Z$1)</f>
        <v>6.0200496921792075</v>
      </c>
      <c r="AA3" s="70">
        <f>SUMIFS('Drivers Macroeconômico'!$K:$K,'Drivers Macroeconômico'!$H:$H,AA$1)</f>
        <v>6.0790697872005719</v>
      </c>
      <c r="AB3" s="70">
        <f>SUMIFS('Drivers Macroeconômico'!$K:$K,'Drivers Macroeconômico'!$H:$H,AB$1)</f>
        <v>6.1386685106044991</v>
      </c>
      <c r="AC3" s="70">
        <f>SUMIFS('Drivers Macroeconômico'!$K:$K,'Drivers Macroeconômico'!$H:$H,AC$1)</f>
        <v>6.1988515352182691</v>
      </c>
      <c r="AD3" s="70">
        <f>SUMIFS('Drivers Macroeconômico'!$K:$K,'Drivers Macroeconômico'!$H:$H,AD$1)</f>
        <v>6.2596245894851146</v>
      </c>
      <c r="AE3" s="70">
        <f>SUMIFS('Drivers Macroeconômico'!$K:$K,'Drivers Macroeconômico'!$H:$H,AE$1)</f>
        <v>6.3209934580094789</v>
      </c>
      <c r="AF3" s="70">
        <f>SUMIFS('Drivers Macroeconômico'!$K:$K,'Drivers Macroeconômico'!$H:$H,AF$1)</f>
        <v>6.3829639821076105</v>
      </c>
      <c r="AG3" s="70">
        <f>SUMIFS('Drivers Macroeconômico'!$K:$K,'Drivers Macroeconômico'!$H:$H,AG$1)</f>
        <v>6.445542060363568</v>
      </c>
      <c r="AH3" s="70">
        <f>SUMIFS('Drivers Macroeconômico'!$K:$K,'Drivers Macroeconômico'!$H:$H,AH$1)</f>
        <v>6.5087336491906616</v>
      </c>
      <c r="AI3" s="70">
        <f>SUMIFS('Drivers Macroeconômico'!$K:$K,'Drivers Macroeconômico'!$H:$H,AI$1)</f>
        <v>6.5725447633984135</v>
      </c>
      <c r="AJ3" s="70">
        <f>SUMIFS('Drivers Macroeconômico'!$K:$K,'Drivers Macroeconômico'!$H:$H,AJ$1)</f>
        <v>6.6369814767650652</v>
      </c>
      <c r="AK3" s="70">
        <f>SUMIFS('Drivers Macroeconômico'!$K:$K,'Drivers Macroeconômico'!$H:$H,AK$1)</f>
        <v>6.7020499226157026</v>
      </c>
      <c r="AL3" s="70">
        <f>SUMIFS('Drivers Macroeconômico'!$K:$K,'Drivers Macroeconômico'!$H:$H,AL$1)</f>
        <v>6.7677562944060528</v>
      </c>
      <c r="AM3" s="70">
        <f>SUMIFS('Drivers Macroeconômico'!$K:$K,'Drivers Macroeconômico'!$H:$H,AM$1)</f>
        <v>6.8341068463119949</v>
      </c>
      <c r="AN3" s="70">
        <f>SUMIFS('Drivers Macroeconômico'!$K:$K,'Drivers Macroeconômico'!$H:$H,AN$1)</f>
        <v>6.9011078938248582</v>
      </c>
      <c r="AO3" s="70">
        <f>SUMIFS('Drivers Macroeconômico'!$K:$K,'Drivers Macroeconômico'!$H:$H,AO$1)</f>
        <v>6.9687658143525528</v>
      </c>
      <c r="AP3" s="70">
        <f>SUMIFS('Drivers Macroeconômico'!$K:$K,'Drivers Macroeconômico'!$H:$H,AP$1)</f>
        <v>7.0370870478265974</v>
      </c>
      <c r="AQ3" s="70">
        <f>SUMIFS('Drivers Macroeconômico'!$K:$K,'Drivers Macroeconômico'!$H:$H,AQ$1)</f>
        <v>7.106078097315093</v>
      </c>
      <c r="AR3" s="70">
        <f>SUMIFS('Drivers Macroeconômico'!$K:$K,'Drivers Macroeconômico'!$H:$H,AR$1)</f>
        <v>7.175745529641711</v>
      </c>
      <c r="AS3" s="70">
        <f>SUMIFS('Drivers Macroeconômico'!$K:$K,'Drivers Macroeconômico'!$H:$H,AS$1)</f>
        <v>7.2460959760107482</v>
      </c>
      <c r="AT3" s="70">
        <f>SUMIFS('Drivers Macroeconômico'!$K:$K,'Drivers Macroeconômico'!$H:$H,AT$1)</f>
        <v>7.3171361326383053</v>
      </c>
      <c r="AU3" s="70">
        <f>SUMIFS('Drivers Macroeconômico'!$K:$K,'Drivers Macroeconômico'!$H:$H,AU$1)</f>
        <v>7.3888727613896608</v>
      </c>
    </row>
    <row r="5" spans="1:47" x14ac:dyDescent="0.3">
      <c r="A5" s="38" t="s">
        <v>1194</v>
      </c>
      <c r="B5" s="25"/>
      <c r="E5" s="48">
        <f ca="1">'Fluxo de Caixa dos Acionistas'!AG80/1000</f>
        <v>953.59006406992251</v>
      </c>
      <c r="F5" s="48">
        <f ca="1">'Fluxo de Caixa dos Acionistas'!AH80/1000</f>
        <v>5389.4066413078963</v>
      </c>
      <c r="G5" s="48">
        <f ca="1">'Fluxo de Caixa dos Acionistas'!AI80/1000</f>
        <v>5475.0390644567333</v>
      </c>
      <c r="H5" s="48">
        <f ca="1">'Fluxo de Caixa dos Acionistas'!AJ80/1000</f>
        <v>8046.28666110215</v>
      </c>
      <c r="I5" s="48">
        <f ca="1">'Fluxo de Caixa dos Acionistas'!AK80/1000</f>
        <v>8213.4534465247834</v>
      </c>
      <c r="J5" s="48">
        <f ca="1">'Fluxo de Caixa dos Acionistas'!AL80/1000</f>
        <v>8602.7799619174202</v>
      </c>
      <c r="K5" s="48">
        <f ca="1">'Fluxo de Caixa dos Acionistas'!AM80/1000</f>
        <v>9676.256124660229</v>
      </c>
      <c r="L5" s="48">
        <f ca="1">'Fluxo de Caixa dos Acionistas'!AN80/1000</f>
        <v>8710.8032305929246</v>
      </c>
      <c r="M5" s="48">
        <f ca="1">'Fluxo de Caixa dos Acionistas'!AO80/1000</f>
        <v>7421.9694269731235</v>
      </c>
      <c r="N5" s="48">
        <f ca="1">'Fluxo de Caixa dos Acionistas'!AP80/1000</f>
        <v>6414.2062767940379</v>
      </c>
      <c r="O5" s="48">
        <f ca="1">'Fluxo de Caixa dos Acionistas'!AQ80/1000</f>
        <v>5706.7144424915705</v>
      </c>
      <c r="P5" s="48">
        <f ca="1">'Fluxo de Caixa dos Acionistas'!AR80/1000</f>
        <v>5049.9524890448365</v>
      </c>
      <c r="Q5" s="48">
        <f ca="1">'Fluxo de Caixa dos Acionistas'!AS80/1000</f>
        <v>4400.4525073649838</v>
      </c>
      <c r="R5" s="48">
        <f ca="1">'Fluxo de Caixa dos Acionistas'!AT80/1000</f>
        <v>3880.4478885544186</v>
      </c>
      <c r="S5" s="48">
        <f ca="1">'Fluxo de Caixa dos Acionistas'!AU80/1000</f>
        <v>3410.4061898568389</v>
      </c>
      <c r="T5" s="48">
        <f ca="1">'Fluxo de Caixa dos Acionistas'!AV80/1000</f>
        <v>3065.415598394482</v>
      </c>
      <c r="U5" s="48">
        <f ca="1">'Fluxo de Caixa dos Acionistas'!AW80/1000</f>
        <v>2089.6213086301491</v>
      </c>
      <c r="V5" s="48">
        <f ca="1">'Fluxo de Caixa dos Acionistas'!AX80/1000</f>
        <v>2293.9343067836007</v>
      </c>
      <c r="W5" s="48">
        <f ca="1">'Fluxo de Caixa dos Acionistas'!AY80/1000</f>
        <v>2069.7888195058449</v>
      </c>
      <c r="X5" s="48">
        <f ca="1">'Fluxo de Caixa dos Acionistas'!AZ80/1000</f>
        <v>1876.4645209152982</v>
      </c>
      <c r="Y5" s="48">
        <f ca="1">'Fluxo de Caixa dos Acionistas'!BA80/1000</f>
        <v>1686.5213469922298</v>
      </c>
      <c r="Z5" s="48">
        <f ca="1">'Fluxo de Caixa dos Acionistas'!BB80/1000</f>
        <v>1550.3419306961885</v>
      </c>
      <c r="AA5" s="48">
        <f ca="1">'Fluxo de Caixa dos Acionistas'!BC80/1000</f>
        <v>1398.6808538419273</v>
      </c>
      <c r="AB5" s="48">
        <f ca="1">'Fluxo de Caixa dos Acionistas'!BD80/1000</f>
        <v>1318.0483239855553</v>
      </c>
      <c r="AC5" s="48">
        <f ca="1">'Fluxo de Caixa dos Acionistas'!BE80/1000</f>
        <v>1252.2855270291161</v>
      </c>
      <c r="AD5" s="48">
        <f ca="1">'Fluxo de Caixa dos Acionistas'!BF80/1000</f>
        <v>1213.5297533670123</v>
      </c>
      <c r="AE5" s="48">
        <f ca="1">'Fluxo de Caixa dos Acionistas'!BG80/1000</f>
        <v>1405.1892138867518</v>
      </c>
      <c r="AF5" s="48">
        <f ca="1">'Fluxo de Caixa dos Acionistas'!BH80/1000</f>
        <v>1261.9738240033789</v>
      </c>
      <c r="AG5" s="48">
        <f ca="1">'Fluxo de Caixa dos Acionistas'!BI80/1000</f>
        <v>1097.4731273595442</v>
      </c>
      <c r="AH5" s="48">
        <f ca="1">'Fluxo de Caixa dos Acionistas'!BJ80/1000</f>
        <v>-10869.625044523464</v>
      </c>
      <c r="AI5" s="48">
        <f ca="1">'Fluxo de Caixa dos Acionistas'!BK80/1000</f>
        <v>0</v>
      </c>
      <c r="AJ5" s="48">
        <f ca="1">'Fluxo de Caixa dos Acionistas'!BL80/1000</f>
        <v>0</v>
      </c>
      <c r="AK5" s="48">
        <f ca="1">'Fluxo de Caixa dos Acionistas'!BM80/1000</f>
        <v>0</v>
      </c>
      <c r="AL5" s="48">
        <f ca="1">'Fluxo de Caixa dos Acionistas'!BN80/1000</f>
        <v>0</v>
      </c>
      <c r="AM5" s="48">
        <f ca="1">'Fluxo de Caixa dos Acionistas'!BO80/1000</f>
        <v>0</v>
      </c>
      <c r="AN5" s="48">
        <f ca="1">'Fluxo de Caixa dos Acionistas'!BP80/1000</f>
        <v>0</v>
      </c>
      <c r="AO5" s="48">
        <f ca="1">'Fluxo de Caixa dos Acionistas'!BQ80/1000</f>
        <v>0</v>
      </c>
      <c r="AP5" s="48">
        <f ca="1">'Fluxo de Caixa dos Acionistas'!BR80/1000</f>
        <v>0</v>
      </c>
      <c r="AQ5" s="48">
        <f ca="1">'Fluxo de Caixa dos Acionistas'!BS80/1000</f>
        <v>0</v>
      </c>
      <c r="AR5" s="48">
        <f ca="1">'Fluxo de Caixa dos Acionistas'!BT80/1000</f>
        <v>0</v>
      </c>
      <c r="AS5" s="48">
        <f ca="1">'Fluxo de Caixa dos Acionistas'!BU80/1000</f>
        <v>0</v>
      </c>
      <c r="AT5" s="48">
        <f ca="1">'Fluxo de Caixa dos Acionistas'!BV80/1000</f>
        <v>0</v>
      </c>
      <c r="AU5" s="48">
        <f ca="1">'Fluxo de Caixa dos Acionistas'!BW80/1000</f>
        <v>0</v>
      </c>
    </row>
    <row r="6" spans="1:47" x14ac:dyDescent="0.3">
      <c r="A6" s="34"/>
      <c r="B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row>
    <row r="7" spans="1:47" x14ac:dyDescent="0.3">
      <c r="A7" s="67" t="s">
        <v>383</v>
      </c>
      <c r="B7" s="206">
        <v>2024</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row>
    <row r="8" spans="1:47" x14ac:dyDescent="0.3">
      <c r="A8" s="216" t="s">
        <v>385</v>
      </c>
      <c r="B8" s="218">
        <f>'Drivers Macroeconômico'!AN189</f>
        <v>4.1799999999999997E-2</v>
      </c>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row>
    <row r="9" spans="1:47" x14ac:dyDescent="0.3">
      <c r="A9" s="216" t="s">
        <v>17</v>
      </c>
      <c r="B9" s="219">
        <f>'Drivers Macroeconômico'!Z153</f>
        <v>1.0900000000000001</v>
      </c>
      <c r="E9" s="25"/>
      <c r="F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row>
    <row r="10" spans="1:47" x14ac:dyDescent="0.3">
      <c r="A10" s="216" t="s">
        <v>386</v>
      </c>
      <c r="B10" s="220">
        <v>2.1662000000000001E-2</v>
      </c>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row>
    <row r="11" spans="1:47" x14ac:dyDescent="0.3">
      <c r="A11" s="34"/>
      <c r="B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row>
    <row r="12" spans="1:47" x14ac:dyDescent="0.3">
      <c r="A12" s="34" t="s">
        <v>526</v>
      </c>
      <c r="B12" s="25"/>
      <c r="E12" s="69">
        <f t="shared" ref="E12:AU12" ca="1" si="2">E13+E14*E17</f>
        <v>0.10562384585151227</v>
      </c>
      <c r="F12" s="69">
        <f t="shared" ca="1" si="2"/>
        <v>9.5276403010809918E-2</v>
      </c>
      <c r="G12" s="69">
        <f t="shared" ca="1" si="2"/>
        <v>8.7819208840734186E-2</v>
      </c>
      <c r="H12" s="69">
        <f t="shared" ca="1" si="2"/>
        <v>8.704830827606308E-2</v>
      </c>
      <c r="I12" s="69">
        <f t="shared" ca="1" si="2"/>
        <v>8.5917185985008193E-2</v>
      </c>
      <c r="J12" s="69">
        <f t="shared" ca="1" si="2"/>
        <v>8.8812041952341825E-2</v>
      </c>
      <c r="K12" s="69">
        <f t="shared" ca="1" si="2"/>
        <v>8.8812041952341825E-2</v>
      </c>
      <c r="L12" s="69">
        <f t="shared" ca="1" si="2"/>
        <v>8.8228703950685605E-2</v>
      </c>
      <c r="M12" s="69">
        <f t="shared" ca="1" si="2"/>
        <v>8.8228703950685605E-2</v>
      </c>
      <c r="N12" s="69">
        <f t="shared" ca="1" si="2"/>
        <v>8.8228703950685605E-2</v>
      </c>
      <c r="O12" s="69">
        <f t="shared" ca="1" si="2"/>
        <v>9.3467992904401442E-2</v>
      </c>
      <c r="P12" s="69">
        <f t="shared" ca="1" si="2"/>
        <v>9.3467992904401442E-2</v>
      </c>
      <c r="Q12" s="69">
        <f t="shared" ca="1" si="2"/>
        <v>9.3467992904401442E-2</v>
      </c>
      <c r="R12" s="69">
        <f t="shared" ca="1" si="2"/>
        <v>9.3467992904401442E-2</v>
      </c>
      <c r="S12" s="69">
        <f t="shared" ca="1" si="2"/>
        <v>9.3467992904401442E-2</v>
      </c>
      <c r="T12" s="69">
        <f t="shared" ca="1" si="2"/>
        <v>9.3467992904401442E-2</v>
      </c>
      <c r="U12" s="69">
        <f t="shared" ca="1" si="2"/>
        <v>9.3467992904401442E-2</v>
      </c>
      <c r="V12" s="69">
        <f t="shared" ca="1" si="2"/>
        <v>9.3467992904401442E-2</v>
      </c>
      <c r="W12" s="69">
        <f t="shared" ca="1" si="2"/>
        <v>9.3467992904401442E-2</v>
      </c>
      <c r="X12" s="69">
        <f t="shared" ca="1" si="2"/>
        <v>9.3467992904401442E-2</v>
      </c>
      <c r="Y12" s="69">
        <f t="shared" ca="1" si="2"/>
        <v>8.7964868799912055E-2</v>
      </c>
      <c r="Z12" s="69">
        <f t="shared" ca="1" si="2"/>
        <v>8.7964868799912055E-2</v>
      </c>
      <c r="AA12" s="69">
        <f t="shared" ca="1" si="2"/>
        <v>8.7964868799912055E-2</v>
      </c>
      <c r="AB12" s="69">
        <f t="shared" ca="1" si="2"/>
        <v>8.7964868799912055E-2</v>
      </c>
      <c r="AC12" s="69">
        <f t="shared" ca="1" si="2"/>
        <v>8.7964868799912055E-2</v>
      </c>
      <c r="AD12" s="69">
        <f t="shared" ca="1" si="2"/>
        <v>8.7964868799912055E-2</v>
      </c>
      <c r="AE12" s="69">
        <f t="shared" ca="1" si="2"/>
        <v>8.7964868799912055E-2</v>
      </c>
      <c r="AF12" s="69">
        <f t="shared" ca="1" si="2"/>
        <v>8.7964868799912055E-2</v>
      </c>
      <c r="AG12" s="69">
        <f t="shared" ca="1" si="2"/>
        <v>8.7964868799912055E-2</v>
      </c>
      <c r="AH12" s="69">
        <f t="shared" ca="1" si="2"/>
        <v>8.7964868799912055E-2</v>
      </c>
      <c r="AI12" s="69">
        <f t="shared" ca="1" si="2"/>
        <v>8.7964868799912055E-2</v>
      </c>
      <c r="AJ12" s="69">
        <f t="shared" ca="1" si="2"/>
        <v>8.7964868799912055E-2</v>
      </c>
      <c r="AK12" s="69">
        <f t="shared" ca="1" si="2"/>
        <v>8.7964868799912055E-2</v>
      </c>
      <c r="AL12" s="69">
        <f t="shared" ca="1" si="2"/>
        <v>8.7964868799912055E-2</v>
      </c>
      <c r="AM12" s="69">
        <f t="shared" ca="1" si="2"/>
        <v>8.7964868799912055E-2</v>
      </c>
      <c r="AN12" s="69">
        <f t="shared" ca="1" si="2"/>
        <v>8.7964868799912055E-2</v>
      </c>
      <c r="AO12" s="69">
        <f t="shared" ca="1" si="2"/>
        <v>8.7964868799912055E-2</v>
      </c>
      <c r="AP12" s="69">
        <f t="shared" ca="1" si="2"/>
        <v>8.7964868799912055E-2</v>
      </c>
      <c r="AQ12" s="69">
        <f t="shared" ca="1" si="2"/>
        <v>8.7964868799912055E-2</v>
      </c>
      <c r="AR12" s="69">
        <f t="shared" ca="1" si="2"/>
        <v>8.7964868799912055E-2</v>
      </c>
      <c r="AS12" s="69">
        <f t="shared" ca="1" si="2"/>
        <v>8.7964868799912055E-2</v>
      </c>
      <c r="AT12" s="69">
        <f t="shared" ca="1" si="2"/>
        <v>8.7964868799912055E-2</v>
      </c>
      <c r="AU12" s="69">
        <f t="shared" ca="1" si="2"/>
        <v>8.7964868799912055E-2</v>
      </c>
    </row>
    <row r="13" spans="1:47" x14ac:dyDescent="0.3">
      <c r="A13" s="43" t="s">
        <v>384</v>
      </c>
      <c r="B13" s="25"/>
      <c r="E13" s="69">
        <f>SUMIFS('Drivers Macroeconômico'!$AT:$AT,'Drivers Macroeconômico'!$AW:$AW,'Avaliação e Simulações'!E$1)</f>
        <v>5.04E-2</v>
      </c>
      <c r="F13" s="69">
        <f>SUMIFS('Drivers Macroeconômico'!$AT:$AT,'Drivers Macroeconômico'!$AW:$AW,'Avaliação e Simulações'!F$1)</f>
        <v>4.3212338156892516E-2</v>
      </c>
      <c r="G13" s="69">
        <f>SUMIFS('Drivers Macroeconômico'!$AT:$AT,'Drivers Macroeconômico'!$AW:$AW,'Avaliação e Simulações'!G$1)</f>
        <v>4.0213861127290196E-2</v>
      </c>
      <c r="H13" s="69">
        <f>SUMIFS('Drivers Macroeconômico'!$AT:$AT,'Drivers Macroeconômico'!$AW:$AW,'Avaliação e Simulações'!H$1)</f>
        <v>4.0355185985008202E-2</v>
      </c>
      <c r="I13" s="69">
        <f>SUMIFS('Drivers Macroeconômico'!$AT:$AT,'Drivers Macroeconômico'!$AW:$AW,'Avaliação e Simulações'!I$1)</f>
        <v>4.0355185985008202E-2</v>
      </c>
      <c r="J13" s="69">
        <f>SUMIFS('Drivers Macroeconômico'!$AT:$AT,'Drivers Macroeconômico'!$AW:$AW,'Avaliação e Simulações'!J$1)</f>
        <v>4.3250041952341833E-2</v>
      </c>
      <c r="K13" s="69">
        <f>SUMIFS('Drivers Macroeconômico'!$AT:$AT,'Drivers Macroeconômico'!$AW:$AW,'Avaliação e Simulações'!K$1)</f>
        <v>4.3250041952341833E-2</v>
      </c>
      <c r="L13" s="69">
        <f>SUMIFS('Drivers Macroeconômico'!$AT:$AT,'Drivers Macroeconômico'!$AW:$AW,'Avaliação e Simulações'!L$1)</f>
        <v>4.2666703950685614E-2</v>
      </c>
      <c r="M13" s="69">
        <f>SUMIFS('Drivers Macroeconômico'!$AT:$AT,'Drivers Macroeconômico'!$AW:$AW,'Avaliação e Simulações'!M$1)</f>
        <v>4.2666703950685614E-2</v>
      </c>
      <c r="N13" s="69">
        <f>SUMIFS('Drivers Macroeconômico'!$AT:$AT,'Drivers Macroeconômico'!$AW:$AW,'Avaliação e Simulações'!N$1)</f>
        <v>4.2666703950685614E-2</v>
      </c>
      <c r="O13" s="69">
        <f>SUMIFS('Drivers Macroeconômico'!$AT:$AT,'Drivers Macroeconômico'!$AW:$AW,'Avaliação e Simulações'!O$1)</f>
        <v>4.7905992904401451E-2</v>
      </c>
      <c r="P13" s="69">
        <f>SUMIFS('Drivers Macroeconômico'!$AT:$AT,'Drivers Macroeconômico'!$AW:$AW,'Avaliação e Simulações'!P$1)</f>
        <v>4.7905992904401451E-2</v>
      </c>
      <c r="Q13" s="69">
        <f>SUMIFS('Drivers Macroeconômico'!$AT:$AT,'Drivers Macroeconômico'!$AW:$AW,'Avaliação e Simulações'!Q$1)</f>
        <v>4.7905992904401451E-2</v>
      </c>
      <c r="R13" s="69">
        <f>SUMIFS('Drivers Macroeconômico'!$AT:$AT,'Drivers Macroeconômico'!$AW:$AW,'Avaliação e Simulações'!R$1)</f>
        <v>4.7905992904401451E-2</v>
      </c>
      <c r="S13" s="69">
        <f>SUMIFS('Drivers Macroeconômico'!$AT:$AT,'Drivers Macroeconômico'!$AW:$AW,'Avaliação e Simulações'!S$1)</f>
        <v>4.7905992904401451E-2</v>
      </c>
      <c r="T13" s="69">
        <f>SUMIFS('Drivers Macroeconômico'!$AT:$AT,'Drivers Macroeconômico'!$AW:$AW,'Avaliação e Simulações'!T$1)</f>
        <v>4.7905992904401451E-2</v>
      </c>
      <c r="U13" s="69">
        <f>SUMIFS('Drivers Macroeconômico'!$AT:$AT,'Drivers Macroeconômico'!$AW:$AW,'Avaliação e Simulações'!U$1)</f>
        <v>4.7905992904401451E-2</v>
      </c>
      <c r="V13" s="69">
        <f>SUMIFS('Drivers Macroeconômico'!$AT:$AT,'Drivers Macroeconômico'!$AW:$AW,'Avaliação e Simulações'!V$1)</f>
        <v>4.7905992904401451E-2</v>
      </c>
      <c r="W13" s="69">
        <f>SUMIFS('Drivers Macroeconômico'!$AT:$AT,'Drivers Macroeconômico'!$AW:$AW,'Avaliação e Simulações'!W$1)</f>
        <v>4.7905992904401451E-2</v>
      </c>
      <c r="X13" s="69">
        <f>SUMIFS('Drivers Macroeconômico'!$AT:$AT,'Drivers Macroeconômico'!$AW:$AW,'Avaliação e Simulações'!X$1)</f>
        <v>4.7905992904401451E-2</v>
      </c>
      <c r="Y13" s="69">
        <f>SUMIFS('Drivers Macroeconômico'!$AT:$AT,'Drivers Macroeconômico'!$AW:$AW,'Avaliação e Simulações'!Y$1)</f>
        <v>4.2402868799912063E-2</v>
      </c>
      <c r="Z13" s="69">
        <f>SUMIFS('Drivers Macroeconômico'!$AT:$AT,'Drivers Macroeconômico'!$AW:$AW,'Avaliação e Simulações'!Z$1)</f>
        <v>4.2402868799912063E-2</v>
      </c>
      <c r="AA13" s="69">
        <f>SUMIFS('Drivers Macroeconômico'!$AT:$AT,'Drivers Macroeconômico'!$AW:$AW,'Avaliação e Simulações'!AA$1)</f>
        <v>4.2402868799912063E-2</v>
      </c>
      <c r="AB13" s="69">
        <f>SUMIFS('Drivers Macroeconômico'!$AT:$AT,'Drivers Macroeconômico'!$AW:$AW,'Avaliação e Simulações'!AB$1)</f>
        <v>4.2402868799912063E-2</v>
      </c>
      <c r="AC13" s="69">
        <f>SUMIFS('Drivers Macroeconômico'!$AT:$AT,'Drivers Macroeconômico'!$AW:$AW,'Avaliação e Simulações'!AC$1)</f>
        <v>4.2402868799912063E-2</v>
      </c>
      <c r="AD13" s="69">
        <f>SUMIFS('Drivers Macroeconômico'!$AT:$AT,'Drivers Macroeconômico'!$AW:$AW,'Avaliação e Simulações'!AD$1)</f>
        <v>4.2402868799912063E-2</v>
      </c>
      <c r="AE13" s="69">
        <f>SUMIFS('Drivers Macroeconômico'!$AT:$AT,'Drivers Macroeconômico'!$AW:$AW,'Avaliação e Simulações'!AE$1)</f>
        <v>4.2402868799912063E-2</v>
      </c>
      <c r="AF13" s="69">
        <f>SUMIFS('Drivers Macroeconômico'!$AT:$AT,'Drivers Macroeconômico'!$AW:$AW,'Avaliação e Simulações'!AF$1)</f>
        <v>4.2402868799912063E-2</v>
      </c>
      <c r="AG13" s="69">
        <f>SUMIFS('Drivers Macroeconômico'!$AT:$AT,'Drivers Macroeconômico'!$AW:$AW,'Avaliação e Simulações'!AG$1)</f>
        <v>4.2402868799912063E-2</v>
      </c>
      <c r="AH13" s="69">
        <f>SUMIFS('Drivers Macroeconômico'!$AT:$AT,'Drivers Macroeconômico'!$AW:$AW,'Avaliação e Simulações'!AH$1)</f>
        <v>4.2402868799912063E-2</v>
      </c>
      <c r="AI13" s="69">
        <f>SUMIFS('Drivers Macroeconômico'!$AT:$AT,'Drivers Macroeconômico'!$AW:$AW,'Avaliação e Simulações'!AI$1)</f>
        <v>4.2402868799912063E-2</v>
      </c>
      <c r="AJ13" s="69">
        <f>SUMIFS('Drivers Macroeconômico'!$AT:$AT,'Drivers Macroeconômico'!$AW:$AW,'Avaliação e Simulações'!AJ$1)</f>
        <v>4.2402868799912063E-2</v>
      </c>
      <c r="AK13" s="69">
        <f>SUMIFS('Drivers Macroeconômico'!$AT:$AT,'Drivers Macroeconômico'!$AW:$AW,'Avaliação e Simulações'!AK$1)</f>
        <v>4.2402868799912063E-2</v>
      </c>
      <c r="AL13" s="69">
        <f>SUMIFS('Drivers Macroeconômico'!$AT:$AT,'Drivers Macroeconômico'!$AW:$AW,'Avaliação e Simulações'!AL$1)</f>
        <v>4.2402868799912063E-2</v>
      </c>
      <c r="AM13" s="69">
        <f>SUMIFS('Drivers Macroeconômico'!$AT:$AT,'Drivers Macroeconômico'!$AW:$AW,'Avaliação e Simulações'!AM$1)</f>
        <v>4.2402868799912063E-2</v>
      </c>
      <c r="AN13" s="69">
        <f>SUMIFS('Drivers Macroeconômico'!$AT:$AT,'Drivers Macroeconômico'!$AW:$AW,'Avaliação e Simulações'!AN$1)</f>
        <v>4.2402868799912063E-2</v>
      </c>
      <c r="AO13" s="69">
        <f>SUMIFS('Drivers Macroeconômico'!$AT:$AT,'Drivers Macroeconômico'!$AW:$AW,'Avaliação e Simulações'!AO$1)</f>
        <v>4.2402868799912063E-2</v>
      </c>
      <c r="AP13" s="69">
        <f>SUMIFS('Drivers Macroeconômico'!$AT:$AT,'Drivers Macroeconômico'!$AW:$AW,'Avaliação e Simulações'!AP$1)</f>
        <v>4.2402868799912063E-2</v>
      </c>
      <c r="AQ13" s="69">
        <f>SUMIFS('Drivers Macroeconômico'!$AT:$AT,'Drivers Macroeconômico'!$AW:$AW,'Avaliação e Simulações'!AQ$1)</f>
        <v>4.2402868799912063E-2</v>
      </c>
      <c r="AR13" s="69">
        <f>SUMIFS('Drivers Macroeconômico'!$AT:$AT,'Drivers Macroeconômico'!$AW:$AW,'Avaliação e Simulações'!AR$1)</f>
        <v>4.2402868799912063E-2</v>
      </c>
      <c r="AS13" s="69">
        <f>SUMIFS('Drivers Macroeconômico'!$AT:$AT,'Drivers Macroeconômico'!$AW:$AW,'Avaliação e Simulações'!AS$1)</f>
        <v>4.2402868799912063E-2</v>
      </c>
      <c r="AT13" s="69">
        <f>SUMIFS('Drivers Macroeconômico'!$AT:$AT,'Drivers Macroeconômico'!$AW:$AW,'Avaliação e Simulações'!AT$1)</f>
        <v>4.2402868799912063E-2</v>
      </c>
      <c r="AU13" s="69">
        <f>SUMIFS('Drivers Macroeconômico'!$AT:$AT,'Drivers Macroeconômico'!$AW:$AW,'Avaliação e Simulações'!AU$1)</f>
        <v>4.2402868799912063E-2</v>
      </c>
    </row>
    <row r="14" spans="1:47" x14ac:dyDescent="0.3">
      <c r="A14" s="43" t="s">
        <v>520</v>
      </c>
      <c r="B14" s="2"/>
      <c r="E14" s="70">
        <f ca="1">E15*(1+(1-'Fluxo de Caixa dos Acionistas'!$B$50)*'Avaliação e Simulações'!E16)</f>
        <v>1.3211446375959874</v>
      </c>
      <c r="F14" s="70">
        <f ca="1">F15*(1+(1-'Fluxo de Caixa dos Acionistas'!$B$50)*'Avaliação e Simulações'!F16)</f>
        <v>1.2455517907635743</v>
      </c>
      <c r="G14" s="70">
        <f ca="1">G15*(1+(1-'Fluxo de Caixa dos Acionistas'!$B$50)*'Avaliação e Simulações'!G16)</f>
        <v>1.138883916589569</v>
      </c>
      <c r="H14" s="70">
        <f ca="1">H15*(1+(1-'Fluxo de Caixa dos Acionistas'!$B$50)*'Avaliação e Simulações'!H16)</f>
        <v>1.117060341891265</v>
      </c>
      <c r="I14" s="70">
        <f ca="1">I15*(1+(1-'Fluxo de Caixa dos Acionistas'!$B$50)*'Avaliação e Simulações'!I16)</f>
        <v>1.0900000000000001</v>
      </c>
      <c r="J14" s="70">
        <f ca="1">J15*(1+(1-'Fluxo de Caixa dos Acionistas'!$B$50)*'Avaliação e Simulações'!J16)</f>
        <v>1.0900000000000001</v>
      </c>
      <c r="K14" s="70">
        <f ca="1">K15*(1+(1-'Fluxo de Caixa dos Acionistas'!$B$50)*'Avaliação e Simulações'!K16)</f>
        <v>1.0900000000000001</v>
      </c>
      <c r="L14" s="70">
        <f ca="1">L15*(1+(1-'Fluxo de Caixa dos Acionistas'!$B$50)*'Avaliação e Simulações'!L16)</f>
        <v>1.0900000000000001</v>
      </c>
      <c r="M14" s="70">
        <f ca="1">M15*(1+(1-'Fluxo de Caixa dos Acionistas'!$B$50)*'Avaliação e Simulações'!M16)</f>
        <v>1.0900000000000001</v>
      </c>
      <c r="N14" s="70">
        <f ca="1">N15*(1+(1-'Fluxo de Caixa dos Acionistas'!$B$50)*'Avaliação e Simulações'!N16)</f>
        <v>1.0900000000000001</v>
      </c>
      <c r="O14" s="70">
        <f ca="1">O15*(1+(1-'Fluxo de Caixa dos Acionistas'!$B$50)*'Avaliação e Simulações'!O16)</f>
        <v>1.0900000000000001</v>
      </c>
      <c r="P14" s="70">
        <f ca="1">P15*(1+(1-'Fluxo de Caixa dos Acionistas'!$B$50)*'Avaliação e Simulações'!P16)</f>
        <v>1.0900000000000001</v>
      </c>
      <c r="Q14" s="70">
        <f ca="1">Q15*(1+(1-'Fluxo de Caixa dos Acionistas'!$B$50)*'Avaliação e Simulações'!Q16)</f>
        <v>1.0900000000000001</v>
      </c>
      <c r="R14" s="70">
        <f ca="1">R15*(1+(1-'Fluxo de Caixa dos Acionistas'!$B$50)*'Avaliação e Simulações'!R16)</f>
        <v>1.0900000000000001</v>
      </c>
      <c r="S14" s="70">
        <f ca="1">S15*(1+(1-'Fluxo de Caixa dos Acionistas'!$B$50)*'Avaliação e Simulações'!S16)</f>
        <v>1.0900000000000001</v>
      </c>
      <c r="T14" s="70">
        <f ca="1">T15*(1+(1-'Fluxo de Caixa dos Acionistas'!$B$50)*'Avaliação e Simulações'!T16)</f>
        <v>1.0900000000000001</v>
      </c>
      <c r="U14" s="70">
        <f ca="1">U15*(1+(1-'Fluxo de Caixa dos Acionistas'!$B$50)*'Avaliação e Simulações'!U16)</f>
        <v>1.0900000000000001</v>
      </c>
      <c r="V14" s="70">
        <f ca="1">V15*(1+(1-'Fluxo de Caixa dos Acionistas'!$B$50)*'Avaliação e Simulações'!V16)</f>
        <v>1.0900000000000001</v>
      </c>
      <c r="W14" s="70">
        <f ca="1">W15*(1+(1-'Fluxo de Caixa dos Acionistas'!$B$50)*'Avaliação e Simulações'!W16)</f>
        <v>1.0900000000000001</v>
      </c>
      <c r="X14" s="70">
        <f ca="1">X15*(1+(1-'Fluxo de Caixa dos Acionistas'!$B$50)*'Avaliação e Simulações'!X16)</f>
        <v>1.0900000000000001</v>
      </c>
      <c r="Y14" s="70">
        <f ca="1">Y15*(1+(1-'Fluxo de Caixa dos Acionistas'!$B$50)*'Avaliação e Simulações'!Y16)</f>
        <v>1.0900000000000001</v>
      </c>
      <c r="Z14" s="70">
        <f ca="1">Z15*(1+(1-'Fluxo de Caixa dos Acionistas'!$B$50)*'Avaliação e Simulações'!Z16)</f>
        <v>1.0900000000000001</v>
      </c>
      <c r="AA14" s="70">
        <f ca="1">AA15*(1+(1-'Fluxo de Caixa dos Acionistas'!$B$50)*'Avaliação e Simulações'!AA16)</f>
        <v>1.0900000000000001</v>
      </c>
      <c r="AB14" s="70">
        <f ca="1">AB15*(1+(1-'Fluxo de Caixa dos Acionistas'!$B$50)*'Avaliação e Simulações'!AB16)</f>
        <v>1.0900000000000001</v>
      </c>
      <c r="AC14" s="70">
        <f ca="1">AC15*(1+(1-'Fluxo de Caixa dos Acionistas'!$B$50)*'Avaliação e Simulações'!AC16)</f>
        <v>1.0900000000000001</v>
      </c>
      <c r="AD14" s="70">
        <f ca="1">AD15*(1+(1-'Fluxo de Caixa dos Acionistas'!$B$50)*'Avaliação e Simulações'!AD16)</f>
        <v>1.0900000000000001</v>
      </c>
      <c r="AE14" s="70">
        <f ca="1">AE15*(1+(1-'Fluxo de Caixa dos Acionistas'!$B$50)*'Avaliação e Simulações'!AE16)</f>
        <v>1.0900000000000001</v>
      </c>
      <c r="AF14" s="70">
        <f ca="1">AF15*(1+(1-'Fluxo de Caixa dos Acionistas'!$B$50)*'Avaliação e Simulações'!AF16)</f>
        <v>1.0900000000000001</v>
      </c>
      <c r="AG14" s="70">
        <f ca="1">AG15*(1+(1-'Fluxo de Caixa dos Acionistas'!$B$50)*'Avaliação e Simulações'!AG16)</f>
        <v>1.0900000000000001</v>
      </c>
      <c r="AH14" s="70">
        <f ca="1">AH15*(1+(1-'Fluxo de Caixa dos Acionistas'!$B$50)*'Avaliação e Simulações'!AH16)</f>
        <v>1.0900000000000001</v>
      </c>
      <c r="AI14" s="70">
        <f ca="1">AI15*(1+(1-'Fluxo de Caixa dos Acionistas'!$B$50)*'Avaliação e Simulações'!AI16)</f>
        <v>1.0900000000000001</v>
      </c>
      <c r="AJ14" s="70">
        <f ca="1">AJ15*(1+(1-'Fluxo de Caixa dos Acionistas'!$B$50)*'Avaliação e Simulações'!AJ16)</f>
        <v>1.0900000000000001</v>
      </c>
      <c r="AK14" s="70">
        <f ca="1">AK15*(1+(1-'Fluxo de Caixa dos Acionistas'!$B$50)*'Avaliação e Simulações'!AK16)</f>
        <v>1.0900000000000001</v>
      </c>
      <c r="AL14" s="70">
        <f ca="1">AL15*(1+(1-'Fluxo de Caixa dos Acionistas'!$B$50)*'Avaliação e Simulações'!AL16)</f>
        <v>1.0900000000000001</v>
      </c>
      <c r="AM14" s="70">
        <f ca="1">AM15*(1+(1-'Fluxo de Caixa dos Acionistas'!$B$50)*'Avaliação e Simulações'!AM16)</f>
        <v>1.0900000000000001</v>
      </c>
      <c r="AN14" s="70">
        <f ca="1">AN15*(1+(1-'Fluxo de Caixa dos Acionistas'!$B$50)*'Avaliação e Simulações'!AN16)</f>
        <v>1.0900000000000001</v>
      </c>
      <c r="AO14" s="70">
        <f ca="1">AO15*(1+(1-'Fluxo de Caixa dos Acionistas'!$B$50)*'Avaliação e Simulações'!AO16)</f>
        <v>1.0900000000000001</v>
      </c>
      <c r="AP14" s="70">
        <f ca="1">AP15*(1+(1-'Fluxo de Caixa dos Acionistas'!$B$50)*'Avaliação e Simulações'!AP16)</f>
        <v>1.0900000000000001</v>
      </c>
      <c r="AQ14" s="70">
        <f ca="1">AQ15*(1+(1-'Fluxo de Caixa dos Acionistas'!$B$50)*'Avaliação e Simulações'!AQ16)</f>
        <v>1.0900000000000001</v>
      </c>
      <c r="AR14" s="70">
        <f ca="1">AR15*(1+(1-'Fluxo de Caixa dos Acionistas'!$B$50)*'Avaliação e Simulações'!AR16)</f>
        <v>1.0900000000000001</v>
      </c>
      <c r="AS14" s="70">
        <f ca="1">AS15*(1+(1-'Fluxo de Caixa dos Acionistas'!$B$50)*'Avaliação e Simulações'!AS16)</f>
        <v>1.0900000000000001</v>
      </c>
      <c r="AT14" s="70">
        <f ca="1">AT15*(1+(1-'Fluxo de Caixa dos Acionistas'!$B$50)*'Avaliação e Simulações'!AT16)</f>
        <v>1.0900000000000001</v>
      </c>
      <c r="AU14" s="70">
        <f ca="1">AU15*(1+(1-'Fluxo de Caixa dos Acionistas'!$B$50)*'Avaliação e Simulações'!AU16)</f>
        <v>1.0900000000000001</v>
      </c>
    </row>
    <row r="15" spans="1:47" x14ac:dyDescent="0.3">
      <c r="A15" s="44" t="s">
        <v>17</v>
      </c>
      <c r="B15" s="25"/>
      <c r="E15" s="70">
        <f>$B$9</f>
        <v>1.0900000000000001</v>
      </c>
      <c r="F15" s="70">
        <f t="shared" ref="F15:AU15" si="3">$B$9</f>
        <v>1.0900000000000001</v>
      </c>
      <c r="G15" s="70">
        <f t="shared" si="3"/>
        <v>1.0900000000000001</v>
      </c>
      <c r="H15" s="70">
        <f t="shared" si="3"/>
        <v>1.0900000000000001</v>
      </c>
      <c r="I15" s="70">
        <f t="shared" si="3"/>
        <v>1.0900000000000001</v>
      </c>
      <c r="J15" s="70">
        <f t="shared" si="3"/>
        <v>1.0900000000000001</v>
      </c>
      <c r="K15" s="70">
        <f t="shared" si="3"/>
        <v>1.0900000000000001</v>
      </c>
      <c r="L15" s="70">
        <f t="shared" si="3"/>
        <v>1.0900000000000001</v>
      </c>
      <c r="M15" s="70">
        <f t="shared" si="3"/>
        <v>1.0900000000000001</v>
      </c>
      <c r="N15" s="70">
        <f t="shared" si="3"/>
        <v>1.0900000000000001</v>
      </c>
      <c r="O15" s="70">
        <f t="shared" si="3"/>
        <v>1.0900000000000001</v>
      </c>
      <c r="P15" s="70">
        <f t="shared" si="3"/>
        <v>1.0900000000000001</v>
      </c>
      <c r="Q15" s="70">
        <f t="shared" si="3"/>
        <v>1.0900000000000001</v>
      </c>
      <c r="R15" s="70">
        <f t="shared" si="3"/>
        <v>1.0900000000000001</v>
      </c>
      <c r="S15" s="70">
        <f t="shared" si="3"/>
        <v>1.0900000000000001</v>
      </c>
      <c r="T15" s="70">
        <f t="shared" si="3"/>
        <v>1.0900000000000001</v>
      </c>
      <c r="U15" s="70">
        <f t="shared" si="3"/>
        <v>1.0900000000000001</v>
      </c>
      <c r="V15" s="70">
        <f t="shared" si="3"/>
        <v>1.0900000000000001</v>
      </c>
      <c r="W15" s="70">
        <f t="shared" si="3"/>
        <v>1.0900000000000001</v>
      </c>
      <c r="X15" s="70">
        <f t="shared" si="3"/>
        <v>1.0900000000000001</v>
      </c>
      <c r="Y15" s="70">
        <f t="shared" si="3"/>
        <v>1.0900000000000001</v>
      </c>
      <c r="Z15" s="70">
        <f t="shared" si="3"/>
        <v>1.0900000000000001</v>
      </c>
      <c r="AA15" s="70">
        <f t="shared" si="3"/>
        <v>1.0900000000000001</v>
      </c>
      <c r="AB15" s="70">
        <f t="shared" si="3"/>
        <v>1.0900000000000001</v>
      </c>
      <c r="AC15" s="70">
        <f t="shared" si="3"/>
        <v>1.0900000000000001</v>
      </c>
      <c r="AD15" s="70">
        <f t="shared" si="3"/>
        <v>1.0900000000000001</v>
      </c>
      <c r="AE15" s="70">
        <f t="shared" si="3"/>
        <v>1.0900000000000001</v>
      </c>
      <c r="AF15" s="70">
        <f t="shared" si="3"/>
        <v>1.0900000000000001</v>
      </c>
      <c r="AG15" s="70">
        <f t="shared" si="3"/>
        <v>1.0900000000000001</v>
      </c>
      <c r="AH15" s="70">
        <f t="shared" si="3"/>
        <v>1.0900000000000001</v>
      </c>
      <c r="AI15" s="70">
        <f t="shared" si="3"/>
        <v>1.0900000000000001</v>
      </c>
      <c r="AJ15" s="70">
        <f t="shared" si="3"/>
        <v>1.0900000000000001</v>
      </c>
      <c r="AK15" s="70">
        <f t="shared" si="3"/>
        <v>1.0900000000000001</v>
      </c>
      <c r="AL15" s="70">
        <f t="shared" si="3"/>
        <v>1.0900000000000001</v>
      </c>
      <c r="AM15" s="70">
        <f t="shared" si="3"/>
        <v>1.0900000000000001</v>
      </c>
      <c r="AN15" s="70">
        <f t="shared" si="3"/>
        <v>1.0900000000000001</v>
      </c>
      <c r="AO15" s="70">
        <f t="shared" si="3"/>
        <v>1.0900000000000001</v>
      </c>
      <c r="AP15" s="70">
        <f t="shared" si="3"/>
        <v>1.0900000000000001</v>
      </c>
      <c r="AQ15" s="70">
        <f t="shared" si="3"/>
        <v>1.0900000000000001</v>
      </c>
      <c r="AR15" s="70">
        <f t="shared" si="3"/>
        <v>1.0900000000000001</v>
      </c>
      <c r="AS15" s="70">
        <f t="shared" si="3"/>
        <v>1.0900000000000001</v>
      </c>
      <c r="AT15" s="70">
        <f t="shared" si="3"/>
        <v>1.0900000000000001</v>
      </c>
      <c r="AU15" s="70">
        <f t="shared" si="3"/>
        <v>1.0900000000000001</v>
      </c>
    </row>
    <row r="16" spans="1:47" x14ac:dyDescent="0.3">
      <c r="A16" s="44" t="s">
        <v>390</v>
      </c>
      <c r="B16" s="2"/>
      <c r="E16" s="70">
        <f ca="1">'Resultado Financeiro e Dívida'!AG31</f>
        <v>0.32130197052542037</v>
      </c>
      <c r="F16" s="70">
        <f ca="1">'Resultado Financeiro e Dívida'!AH31</f>
        <v>0.21622434078895497</v>
      </c>
      <c r="G16" s="70">
        <f ca="1">'Resultado Financeiro e Dívida'!AI31</f>
        <v>6.795095439195005E-2</v>
      </c>
      <c r="H16" s="70">
        <f ca="1">'Resultado Financeiro e Dívida'!AJ31</f>
        <v>3.7615154144099244E-2</v>
      </c>
      <c r="I16" s="70">
        <f ca="1">'Resultado Financeiro e Dívida'!AK31</f>
        <v>0</v>
      </c>
      <c r="J16" s="70">
        <f ca="1">'Resultado Financeiro e Dívida'!AL31</f>
        <v>0</v>
      </c>
      <c r="K16" s="70">
        <f ca="1">'Resultado Financeiro e Dívida'!AM31</f>
        <v>0</v>
      </c>
      <c r="L16" s="70">
        <f ca="1">'Resultado Financeiro e Dívida'!AN31</f>
        <v>0</v>
      </c>
      <c r="M16" s="70">
        <f ca="1">'Resultado Financeiro e Dívida'!AO31</f>
        <v>0</v>
      </c>
      <c r="N16" s="70">
        <f ca="1">'Resultado Financeiro e Dívida'!AP31</f>
        <v>0</v>
      </c>
      <c r="O16" s="70">
        <f ca="1">'Resultado Financeiro e Dívida'!AQ31</f>
        <v>0</v>
      </c>
      <c r="P16" s="70">
        <f ca="1">'Resultado Financeiro e Dívida'!AR31</f>
        <v>0</v>
      </c>
      <c r="Q16" s="70">
        <f ca="1">'Resultado Financeiro e Dívida'!AS31</f>
        <v>0</v>
      </c>
      <c r="R16" s="70">
        <f ca="1">'Resultado Financeiro e Dívida'!AT31</f>
        <v>0</v>
      </c>
      <c r="S16" s="70">
        <f ca="1">'Resultado Financeiro e Dívida'!AU31</f>
        <v>0</v>
      </c>
      <c r="T16" s="70">
        <f ca="1">'Resultado Financeiro e Dívida'!AV31</f>
        <v>0</v>
      </c>
      <c r="U16" s="70">
        <f ca="1">'Resultado Financeiro e Dívida'!AW31</f>
        <v>0</v>
      </c>
      <c r="V16" s="70">
        <f ca="1">'Resultado Financeiro e Dívida'!AX31</f>
        <v>0</v>
      </c>
      <c r="W16" s="70">
        <f ca="1">'Resultado Financeiro e Dívida'!AY31</f>
        <v>0</v>
      </c>
      <c r="X16" s="70">
        <f ca="1">'Resultado Financeiro e Dívida'!AZ31</f>
        <v>0</v>
      </c>
      <c r="Y16" s="70">
        <f ca="1">'Resultado Financeiro e Dívida'!BA31</f>
        <v>0</v>
      </c>
      <c r="Z16" s="70">
        <f ca="1">'Resultado Financeiro e Dívida'!BB31</f>
        <v>0</v>
      </c>
      <c r="AA16" s="70">
        <f ca="1">'Resultado Financeiro e Dívida'!BC31</f>
        <v>0</v>
      </c>
      <c r="AB16" s="70">
        <f ca="1">'Resultado Financeiro e Dívida'!BD31</f>
        <v>0</v>
      </c>
      <c r="AC16" s="70">
        <f ca="1">'Resultado Financeiro e Dívida'!BE31</f>
        <v>0</v>
      </c>
      <c r="AD16" s="70">
        <f ca="1">'Resultado Financeiro e Dívida'!BF31</f>
        <v>0</v>
      </c>
      <c r="AE16" s="70">
        <f ca="1">'Resultado Financeiro e Dívida'!BG31</f>
        <v>0</v>
      </c>
      <c r="AF16" s="70">
        <f ca="1">'Resultado Financeiro e Dívida'!BH31</f>
        <v>0</v>
      </c>
      <c r="AG16" s="70">
        <f ca="1">'Resultado Financeiro e Dívida'!BI31</f>
        <v>0</v>
      </c>
      <c r="AH16" s="70">
        <f ca="1">'Resultado Financeiro e Dívida'!BJ31</f>
        <v>0</v>
      </c>
      <c r="AI16" s="70">
        <f ca="1">'Resultado Financeiro e Dívida'!BK31</f>
        <v>0</v>
      </c>
      <c r="AJ16" s="70">
        <f ca="1">'Resultado Financeiro e Dívida'!BL31</f>
        <v>0</v>
      </c>
      <c r="AK16" s="70">
        <f ca="1">'Resultado Financeiro e Dívida'!BM31</f>
        <v>0</v>
      </c>
      <c r="AL16" s="70">
        <f ca="1">'Resultado Financeiro e Dívida'!BN31</f>
        <v>0</v>
      </c>
      <c r="AM16" s="70">
        <f ca="1">'Resultado Financeiro e Dívida'!BO31</f>
        <v>0</v>
      </c>
      <c r="AN16" s="70">
        <f ca="1">'Resultado Financeiro e Dívida'!BP31</f>
        <v>0</v>
      </c>
      <c r="AO16" s="70">
        <f ca="1">'Resultado Financeiro e Dívida'!BQ31</f>
        <v>0</v>
      </c>
      <c r="AP16" s="70">
        <f ca="1">'Resultado Financeiro e Dívida'!BR31</f>
        <v>0</v>
      </c>
      <c r="AQ16" s="70">
        <f ca="1">'Resultado Financeiro e Dívida'!BS31</f>
        <v>0</v>
      </c>
      <c r="AR16" s="70">
        <f ca="1">'Resultado Financeiro e Dívida'!BT31</f>
        <v>0</v>
      </c>
      <c r="AS16" s="70">
        <f ca="1">'Resultado Financeiro e Dívida'!BU31</f>
        <v>0</v>
      </c>
      <c r="AT16" s="70">
        <f ca="1">'Resultado Financeiro e Dívida'!BV31</f>
        <v>0</v>
      </c>
      <c r="AU16" s="70">
        <f ca="1">'Resultado Financeiro e Dívida'!BW31</f>
        <v>0</v>
      </c>
    </row>
    <row r="17" spans="1:47" x14ac:dyDescent="0.3">
      <c r="A17" s="43" t="s">
        <v>18</v>
      </c>
      <c r="B17" s="25"/>
      <c r="E17" s="74">
        <f>B8</f>
        <v>4.1799999999999997E-2</v>
      </c>
      <c r="F17" s="74">
        <f t="shared" ref="F17:AJ17" si="4">E17</f>
        <v>4.1799999999999997E-2</v>
      </c>
      <c r="G17" s="74">
        <f t="shared" si="4"/>
        <v>4.1799999999999997E-2</v>
      </c>
      <c r="H17" s="74">
        <f t="shared" si="4"/>
        <v>4.1799999999999997E-2</v>
      </c>
      <c r="I17" s="74">
        <f t="shared" si="4"/>
        <v>4.1799999999999997E-2</v>
      </c>
      <c r="J17" s="74">
        <f t="shared" si="4"/>
        <v>4.1799999999999997E-2</v>
      </c>
      <c r="K17" s="74">
        <f t="shared" si="4"/>
        <v>4.1799999999999997E-2</v>
      </c>
      <c r="L17" s="74">
        <f t="shared" si="4"/>
        <v>4.1799999999999997E-2</v>
      </c>
      <c r="M17" s="74">
        <f t="shared" si="4"/>
        <v>4.1799999999999997E-2</v>
      </c>
      <c r="N17" s="74">
        <f t="shared" si="4"/>
        <v>4.1799999999999997E-2</v>
      </c>
      <c r="O17" s="74">
        <f t="shared" si="4"/>
        <v>4.1799999999999997E-2</v>
      </c>
      <c r="P17" s="74">
        <f t="shared" si="4"/>
        <v>4.1799999999999997E-2</v>
      </c>
      <c r="Q17" s="74">
        <f t="shared" si="4"/>
        <v>4.1799999999999997E-2</v>
      </c>
      <c r="R17" s="74">
        <f t="shared" si="4"/>
        <v>4.1799999999999997E-2</v>
      </c>
      <c r="S17" s="74">
        <f t="shared" si="4"/>
        <v>4.1799999999999997E-2</v>
      </c>
      <c r="T17" s="74">
        <f t="shared" si="4"/>
        <v>4.1799999999999997E-2</v>
      </c>
      <c r="U17" s="74">
        <f t="shared" si="4"/>
        <v>4.1799999999999997E-2</v>
      </c>
      <c r="V17" s="74">
        <f t="shared" si="4"/>
        <v>4.1799999999999997E-2</v>
      </c>
      <c r="W17" s="74">
        <f t="shared" si="4"/>
        <v>4.1799999999999997E-2</v>
      </c>
      <c r="X17" s="74">
        <f t="shared" si="4"/>
        <v>4.1799999999999997E-2</v>
      </c>
      <c r="Y17" s="74">
        <f t="shared" si="4"/>
        <v>4.1799999999999997E-2</v>
      </c>
      <c r="Z17" s="74">
        <f t="shared" si="4"/>
        <v>4.1799999999999997E-2</v>
      </c>
      <c r="AA17" s="74">
        <f t="shared" si="4"/>
        <v>4.1799999999999997E-2</v>
      </c>
      <c r="AB17" s="74">
        <f t="shared" si="4"/>
        <v>4.1799999999999997E-2</v>
      </c>
      <c r="AC17" s="74">
        <f t="shared" si="4"/>
        <v>4.1799999999999997E-2</v>
      </c>
      <c r="AD17" s="74">
        <f t="shared" si="4"/>
        <v>4.1799999999999997E-2</v>
      </c>
      <c r="AE17" s="74">
        <f t="shared" si="4"/>
        <v>4.1799999999999997E-2</v>
      </c>
      <c r="AF17" s="74">
        <f t="shared" si="4"/>
        <v>4.1799999999999997E-2</v>
      </c>
      <c r="AG17" s="74">
        <f t="shared" si="4"/>
        <v>4.1799999999999997E-2</v>
      </c>
      <c r="AH17" s="74">
        <f t="shared" si="4"/>
        <v>4.1799999999999997E-2</v>
      </c>
      <c r="AI17" s="74">
        <f t="shared" si="4"/>
        <v>4.1799999999999997E-2</v>
      </c>
      <c r="AJ17" s="74">
        <f t="shared" si="4"/>
        <v>4.1799999999999997E-2</v>
      </c>
      <c r="AK17" s="74">
        <f t="shared" ref="AK17:AU17" si="5">AJ17</f>
        <v>4.1799999999999997E-2</v>
      </c>
      <c r="AL17" s="74">
        <f t="shared" si="5"/>
        <v>4.1799999999999997E-2</v>
      </c>
      <c r="AM17" s="74">
        <f t="shared" si="5"/>
        <v>4.1799999999999997E-2</v>
      </c>
      <c r="AN17" s="74">
        <f t="shared" si="5"/>
        <v>4.1799999999999997E-2</v>
      </c>
      <c r="AO17" s="74">
        <f t="shared" si="5"/>
        <v>4.1799999999999997E-2</v>
      </c>
      <c r="AP17" s="74">
        <f t="shared" si="5"/>
        <v>4.1799999999999997E-2</v>
      </c>
      <c r="AQ17" s="74">
        <f t="shared" si="5"/>
        <v>4.1799999999999997E-2</v>
      </c>
      <c r="AR17" s="74">
        <f t="shared" si="5"/>
        <v>4.1799999999999997E-2</v>
      </c>
      <c r="AS17" s="74">
        <f t="shared" si="5"/>
        <v>4.1799999999999997E-2</v>
      </c>
      <c r="AT17" s="74">
        <f t="shared" si="5"/>
        <v>4.1799999999999997E-2</v>
      </c>
      <c r="AU17" s="74">
        <f t="shared" si="5"/>
        <v>4.1799999999999997E-2</v>
      </c>
    </row>
    <row r="18" spans="1:47" x14ac:dyDescent="0.3">
      <c r="A18" s="34" t="s">
        <v>525</v>
      </c>
      <c r="B18" s="25"/>
      <c r="E18" s="69">
        <f ca="1">E19+E12</f>
        <v>0.12728584585151226</v>
      </c>
      <c r="F18" s="69">
        <f t="shared" ref="F18:AU18" ca="1" si="6">F19+F12</f>
        <v>0.11693840301080992</v>
      </c>
      <c r="G18" s="69">
        <f t="shared" ca="1" si="6"/>
        <v>0.10948120884073419</v>
      </c>
      <c r="H18" s="69">
        <f t="shared" ca="1" si="6"/>
        <v>0.10871030827606308</v>
      </c>
      <c r="I18" s="69">
        <f t="shared" ca="1" si="6"/>
        <v>0.10757918598500819</v>
      </c>
      <c r="J18" s="69">
        <f t="shared" ca="1" si="6"/>
        <v>0.11047404195234183</v>
      </c>
      <c r="K18" s="69">
        <f t="shared" ca="1" si="6"/>
        <v>0.11047404195234183</v>
      </c>
      <c r="L18" s="69">
        <f t="shared" ca="1" si="6"/>
        <v>0.10989070395068561</v>
      </c>
      <c r="M18" s="69">
        <f t="shared" ca="1" si="6"/>
        <v>0.10989070395068561</v>
      </c>
      <c r="N18" s="69">
        <f t="shared" ca="1" si="6"/>
        <v>0.10989070395068561</v>
      </c>
      <c r="O18" s="69">
        <f t="shared" ca="1" si="6"/>
        <v>0.11512999290440144</v>
      </c>
      <c r="P18" s="69">
        <f t="shared" ca="1" si="6"/>
        <v>0.11512999290440144</v>
      </c>
      <c r="Q18" s="69">
        <f t="shared" ca="1" si="6"/>
        <v>0.11512999290440144</v>
      </c>
      <c r="R18" s="69">
        <f t="shared" ca="1" si="6"/>
        <v>0.11512999290440144</v>
      </c>
      <c r="S18" s="69">
        <f t="shared" ca="1" si="6"/>
        <v>0.11512999290440144</v>
      </c>
      <c r="T18" s="69">
        <f t="shared" ca="1" si="6"/>
        <v>0.11512999290440144</v>
      </c>
      <c r="U18" s="69">
        <f t="shared" ca="1" si="6"/>
        <v>0.11512999290440144</v>
      </c>
      <c r="V18" s="69">
        <f t="shared" ca="1" si="6"/>
        <v>0.11512999290440144</v>
      </c>
      <c r="W18" s="69">
        <f t="shared" ca="1" si="6"/>
        <v>0.11512999290440144</v>
      </c>
      <c r="X18" s="69">
        <f t="shared" ca="1" si="6"/>
        <v>0.11512999290440144</v>
      </c>
      <c r="Y18" s="69">
        <f t="shared" ca="1" si="6"/>
        <v>0.10962686879991206</v>
      </c>
      <c r="Z18" s="69">
        <f t="shared" ca="1" si="6"/>
        <v>0.10962686879991206</v>
      </c>
      <c r="AA18" s="69">
        <f t="shared" ca="1" si="6"/>
        <v>0.10962686879991206</v>
      </c>
      <c r="AB18" s="69">
        <f t="shared" ca="1" si="6"/>
        <v>0.10962686879991206</v>
      </c>
      <c r="AC18" s="69">
        <f t="shared" ca="1" si="6"/>
        <v>0.10962686879991206</v>
      </c>
      <c r="AD18" s="69">
        <f t="shared" ca="1" si="6"/>
        <v>0.10962686879991206</v>
      </c>
      <c r="AE18" s="69">
        <f t="shared" ca="1" si="6"/>
        <v>0.10962686879991206</v>
      </c>
      <c r="AF18" s="69">
        <f t="shared" ca="1" si="6"/>
        <v>0.10962686879991206</v>
      </c>
      <c r="AG18" s="69">
        <f t="shared" ca="1" si="6"/>
        <v>0.10962686879991206</v>
      </c>
      <c r="AH18" s="69">
        <f t="shared" ca="1" si="6"/>
        <v>0.10962686879991206</v>
      </c>
      <c r="AI18" s="69">
        <f t="shared" ca="1" si="6"/>
        <v>0.10962686879991206</v>
      </c>
      <c r="AJ18" s="69">
        <f t="shared" ca="1" si="6"/>
        <v>0.10962686879991206</v>
      </c>
      <c r="AK18" s="69">
        <f t="shared" ca="1" si="6"/>
        <v>0.10962686879991206</v>
      </c>
      <c r="AL18" s="69">
        <f t="shared" ca="1" si="6"/>
        <v>0.10962686879991206</v>
      </c>
      <c r="AM18" s="69">
        <f t="shared" ca="1" si="6"/>
        <v>0.10962686879991206</v>
      </c>
      <c r="AN18" s="69">
        <f t="shared" ca="1" si="6"/>
        <v>0.10962686879991206</v>
      </c>
      <c r="AO18" s="69">
        <f t="shared" ca="1" si="6"/>
        <v>0.10962686879991206</v>
      </c>
      <c r="AP18" s="69">
        <f t="shared" ca="1" si="6"/>
        <v>0.10962686879991206</v>
      </c>
      <c r="AQ18" s="69">
        <f t="shared" ca="1" si="6"/>
        <v>0.10962686879991206</v>
      </c>
      <c r="AR18" s="69">
        <f t="shared" ca="1" si="6"/>
        <v>0.10962686879991206</v>
      </c>
      <c r="AS18" s="69">
        <f t="shared" ca="1" si="6"/>
        <v>0.10962686879991206</v>
      </c>
      <c r="AT18" s="69">
        <f t="shared" ca="1" si="6"/>
        <v>0.10962686879991206</v>
      </c>
      <c r="AU18" s="69">
        <f t="shared" ca="1" si="6"/>
        <v>0.10962686879991206</v>
      </c>
    </row>
    <row r="19" spans="1:47" x14ac:dyDescent="0.3">
      <c r="A19" s="43" t="s">
        <v>523</v>
      </c>
      <c r="B19" s="25"/>
      <c r="E19" s="74">
        <f t="shared" ref="E19:AU19" si="7">$B10</f>
        <v>2.1662000000000001E-2</v>
      </c>
      <c r="F19" s="74">
        <f t="shared" si="7"/>
        <v>2.1662000000000001E-2</v>
      </c>
      <c r="G19" s="74">
        <f t="shared" si="7"/>
        <v>2.1662000000000001E-2</v>
      </c>
      <c r="H19" s="74">
        <f t="shared" si="7"/>
        <v>2.1662000000000001E-2</v>
      </c>
      <c r="I19" s="74">
        <f t="shared" si="7"/>
        <v>2.1662000000000001E-2</v>
      </c>
      <c r="J19" s="74">
        <f t="shared" si="7"/>
        <v>2.1662000000000001E-2</v>
      </c>
      <c r="K19" s="74">
        <f t="shared" si="7"/>
        <v>2.1662000000000001E-2</v>
      </c>
      <c r="L19" s="74">
        <f t="shared" si="7"/>
        <v>2.1662000000000001E-2</v>
      </c>
      <c r="M19" s="74">
        <f t="shared" si="7"/>
        <v>2.1662000000000001E-2</v>
      </c>
      <c r="N19" s="74">
        <f t="shared" si="7"/>
        <v>2.1662000000000001E-2</v>
      </c>
      <c r="O19" s="74">
        <f t="shared" si="7"/>
        <v>2.1662000000000001E-2</v>
      </c>
      <c r="P19" s="74">
        <f t="shared" si="7"/>
        <v>2.1662000000000001E-2</v>
      </c>
      <c r="Q19" s="74">
        <f t="shared" si="7"/>
        <v>2.1662000000000001E-2</v>
      </c>
      <c r="R19" s="74">
        <f t="shared" si="7"/>
        <v>2.1662000000000001E-2</v>
      </c>
      <c r="S19" s="74">
        <f t="shared" si="7"/>
        <v>2.1662000000000001E-2</v>
      </c>
      <c r="T19" s="74">
        <f t="shared" si="7"/>
        <v>2.1662000000000001E-2</v>
      </c>
      <c r="U19" s="74">
        <f t="shared" si="7"/>
        <v>2.1662000000000001E-2</v>
      </c>
      <c r="V19" s="74">
        <f t="shared" si="7"/>
        <v>2.1662000000000001E-2</v>
      </c>
      <c r="W19" s="74">
        <f t="shared" si="7"/>
        <v>2.1662000000000001E-2</v>
      </c>
      <c r="X19" s="74">
        <f t="shared" si="7"/>
        <v>2.1662000000000001E-2</v>
      </c>
      <c r="Y19" s="74">
        <f t="shared" si="7"/>
        <v>2.1662000000000001E-2</v>
      </c>
      <c r="Z19" s="74">
        <f t="shared" si="7"/>
        <v>2.1662000000000001E-2</v>
      </c>
      <c r="AA19" s="74">
        <f t="shared" si="7"/>
        <v>2.1662000000000001E-2</v>
      </c>
      <c r="AB19" s="74">
        <f t="shared" si="7"/>
        <v>2.1662000000000001E-2</v>
      </c>
      <c r="AC19" s="74">
        <f t="shared" si="7"/>
        <v>2.1662000000000001E-2</v>
      </c>
      <c r="AD19" s="74">
        <f t="shared" si="7"/>
        <v>2.1662000000000001E-2</v>
      </c>
      <c r="AE19" s="74">
        <f t="shared" si="7"/>
        <v>2.1662000000000001E-2</v>
      </c>
      <c r="AF19" s="74">
        <f t="shared" si="7"/>
        <v>2.1662000000000001E-2</v>
      </c>
      <c r="AG19" s="74">
        <f t="shared" si="7"/>
        <v>2.1662000000000001E-2</v>
      </c>
      <c r="AH19" s="74">
        <f t="shared" si="7"/>
        <v>2.1662000000000001E-2</v>
      </c>
      <c r="AI19" s="74">
        <f t="shared" si="7"/>
        <v>2.1662000000000001E-2</v>
      </c>
      <c r="AJ19" s="74">
        <f t="shared" si="7"/>
        <v>2.1662000000000001E-2</v>
      </c>
      <c r="AK19" s="74">
        <f t="shared" si="7"/>
        <v>2.1662000000000001E-2</v>
      </c>
      <c r="AL19" s="74">
        <f t="shared" si="7"/>
        <v>2.1662000000000001E-2</v>
      </c>
      <c r="AM19" s="74">
        <f t="shared" si="7"/>
        <v>2.1662000000000001E-2</v>
      </c>
      <c r="AN19" s="74">
        <f t="shared" si="7"/>
        <v>2.1662000000000001E-2</v>
      </c>
      <c r="AO19" s="74">
        <f t="shared" si="7"/>
        <v>2.1662000000000001E-2</v>
      </c>
      <c r="AP19" s="74">
        <f t="shared" si="7"/>
        <v>2.1662000000000001E-2</v>
      </c>
      <c r="AQ19" s="74">
        <f t="shared" si="7"/>
        <v>2.1662000000000001E-2</v>
      </c>
      <c r="AR19" s="74">
        <f t="shared" si="7"/>
        <v>2.1662000000000001E-2</v>
      </c>
      <c r="AS19" s="74">
        <f t="shared" si="7"/>
        <v>2.1662000000000001E-2</v>
      </c>
      <c r="AT19" s="74">
        <f t="shared" si="7"/>
        <v>2.1662000000000001E-2</v>
      </c>
      <c r="AU19" s="74">
        <f t="shared" si="7"/>
        <v>2.1662000000000001E-2</v>
      </c>
    </row>
    <row r="20" spans="1:47" x14ac:dyDescent="0.3">
      <c r="A20" s="34" t="s">
        <v>667</v>
      </c>
      <c r="B20" s="25"/>
      <c r="E20" s="69">
        <f ca="1">(1+E22)/(E21+1)*(1+E18)-1</f>
        <v>0.1390504512028623</v>
      </c>
      <c r="F20" s="69">
        <f t="shared" ref="F20:AU20" ca="1" si="8">(1+F22)/(F21+1)*(1+F18)-1</f>
        <v>0.1334187196434693</v>
      </c>
      <c r="G20" s="69">
        <f t="shared" ca="1" si="8"/>
        <v>0.12579710897074503</v>
      </c>
      <c r="H20" s="69">
        <f t="shared" ca="1" si="8"/>
        <v>0.12501487163306391</v>
      </c>
      <c r="I20" s="69">
        <f t="shared" ca="1" si="8"/>
        <v>0.12386711519067006</v>
      </c>
      <c r="J20" s="69">
        <f t="shared" ca="1" si="8"/>
        <v>0.12136104236363932</v>
      </c>
      <c r="K20" s="69">
        <f t="shared" ca="1" si="8"/>
        <v>0.12136104236363932</v>
      </c>
      <c r="L20" s="69">
        <f t="shared" ca="1" si="8"/>
        <v>0.12077198536196665</v>
      </c>
      <c r="M20" s="69">
        <f t="shared" ca="1" si="8"/>
        <v>0.12077198536196665</v>
      </c>
      <c r="N20" s="69">
        <f t="shared" ca="1" si="8"/>
        <v>0.12077198536196665</v>
      </c>
      <c r="O20" s="69">
        <f t="shared" ca="1" si="8"/>
        <v>0.12606263989366018</v>
      </c>
      <c r="P20" s="69">
        <f t="shared" ca="1" si="8"/>
        <v>0.12606263989366018</v>
      </c>
      <c r="Q20" s="69">
        <f t="shared" ca="1" si="8"/>
        <v>0.12606263989366018</v>
      </c>
      <c r="R20" s="69">
        <f t="shared" ca="1" si="8"/>
        <v>0.12606263989366018</v>
      </c>
      <c r="S20" s="69">
        <f t="shared" ca="1" si="8"/>
        <v>0.12606263989366018</v>
      </c>
      <c r="T20" s="69">
        <f t="shared" ca="1" si="8"/>
        <v>0.12606263989366018</v>
      </c>
      <c r="U20" s="69">
        <f t="shared" ca="1" si="8"/>
        <v>0.12606263989366018</v>
      </c>
      <c r="V20" s="69">
        <f t="shared" ca="1" si="8"/>
        <v>0.12606263989366018</v>
      </c>
      <c r="W20" s="69">
        <f t="shared" ca="1" si="8"/>
        <v>0.12606263989366018</v>
      </c>
      <c r="X20" s="69">
        <f t="shared" ca="1" si="8"/>
        <v>0.12606263989366018</v>
      </c>
      <c r="Y20" s="69">
        <f t="shared" ca="1" si="8"/>
        <v>0.12050556359206799</v>
      </c>
      <c r="Z20" s="69">
        <f t="shared" ca="1" si="8"/>
        <v>0.12050556359206799</v>
      </c>
      <c r="AA20" s="69">
        <f t="shared" ca="1" si="8"/>
        <v>0.12050556359206799</v>
      </c>
      <c r="AB20" s="69">
        <f t="shared" ca="1" si="8"/>
        <v>0.12050556359206799</v>
      </c>
      <c r="AC20" s="69">
        <f t="shared" ca="1" si="8"/>
        <v>0.12050556359206799</v>
      </c>
      <c r="AD20" s="69">
        <f t="shared" ca="1" si="8"/>
        <v>0.12050556359206799</v>
      </c>
      <c r="AE20" s="69">
        <f t="shared" ca="1" si="8"/>
        <v>0.12050556359206799</v>
      </c>
      <c r="AF20" s="69">
        <f t="shared" ca="1" si="8"/>
        <v>0.12050556359206799</v>
      </c>
      <c r="AG20" s="69">
        <f t="shared" ca="1" si="8"/>
        <v>0.12050556359206799</v>
      </c>
      <c r="AH20" s="69">
        <f t="shared" ca="1" si="8"/>
        <v>0.12050556359206799</v>
      </c>
      <c r="AI20" s="69">
        <f t="shared" ca="1" si="8"/>
        <v>0.12050556359206799</v>
      </c>
      <c r="AJ20" s="69">
        <f t="shared" ca="1" si="8"/>
        <v>0.12050556359206799</v>
      </c>
      <c r="AK20" s="69">
        <f t="shared" ca="1" si="8"/>
        <v>0.12050556359206799</v>
      </c>
      <c r="AL20" s="69">
        <f t="shared" ca="1" si="8"/>
        <v>0.12050556359206799</v>
      </c>
      <c r="AM20" s="69">
        <f t="shared" ca="1" si="8"/>
        <v>0.12050556359206799</v>
      </c>
      <c r="AN20" s="69">
        <f t="shared" ca="1" si="8"/>
        <v>0.12050556359206799</v>
      </c>
      <c r="AO20" s="69">
        <f t="shared" ca="1" si="8"/>
        <v>0.12050556359206799</v>
      </c>
      <c r="AP20" s="69">
        <f t="shared" ca="1" si="8"/>
        <v>0.12050556359206799</v>
      </c>
      <c r="AQ20" s="69">
        <f t="shared" ca="1" si="8"/>
        <v>0.12050556359206799</v>
      </c>
      <c r="AR20" s="69">
        <f t="shared" ca="1" si="8"/>
        <v>0.12050556359206799</v>
      </c>
      <c r="AS20" s="69">
        <f t="shared" ca="1" si="8"/>
        <v>0.12050556359206799</v>
      </c>
      <c r="AT20" s="69">
        <f t="shared" ca="1" si="8"/>
        <v>0.12050556359206799</v>
      </c>
      <c r="AU20" s="69">
        <f t="shared" ca="1" si="8"/>
        <v>0.12050556359206799</v>
      </c>
    </row>
    <row r="21" spans="1:47" x14ac:dyDescent="0.3">
      <c r="A21" s="43" t="s">
        <v>524</v>
      </c>
      <c r="B21" s="25"/>
      <c r="E21" s="74">
        <f>VLOOKUP(E1,'Drivers Macroeconômico'!$H:$J,3,0)</f>
        <v>2.7E-2</v>
      </c>
      <c r="F21" s="74">
        <f>VLOOKUP(F1,'Drivers Macroeconômico'!$H:$J,3,0)</f>
        <v>0.02</v>
      </c>
      <c r="G21" s="74">
        <f>VLOOKUP(G1,'Drivers Macroeconômico'!$H:$J,3,0)</f>
        <v>0.02</v>
      </c>
      <c r="H21" s="74">
        <f>VLOOKUP(H1,'Drivers Macroeconômico'!$H:$J,3,0)</f>
        <v>0.02</v>
      </c>
      <c r="I21" s="74">
        <f>VLOOKUP(I1,'Drivers Macroeconômico'!$H:$J,3,0)</f>
        <v>0.02</v>
      </c>
      <c r="J21" s="74">
        <f>VLOOKUP(J1,'Drivers Macroeconômico'!$H:$J,3,0)</f>
        <v>0.02</v>
      </c>
      <c r="K21" s="74">
        <f>VLOOKUP(K1,'Drivers Macroeconômico'!$H:$J,3,0)</f>
        <v>0.02</v>
      </c>
      <c r="L21" s="74">
        <f>VLOOKUP(L1,'Drivers Macroeconômico'!$H:$J,3,0)</f>
        <v>0.02</v>
      </c>
      <c r="M21" s="74">
        <f>VLOOKUP(M1,'Drivers Macroeconômico'!$H:$J,3,0)</f>
        <v>0.02</v>
      </c>
      <c r="N21" s="74">
        <f>VLOOKUP(N1,'Drivers Macroeconômico'!$H:$J,3,0)</f>
        <v>0.02</v>
      </c>
      <c r="O21" s="74">
        <f>VLOOKUP(O1,'Drivers Macroeconômico'!$H:$J,3,0)</f>
        <v>0.02</v>
      </c>
      <c r="P21" s="74">
        <f>VLOOKUP(P1,'Drivers Macroeconômico'!$H:$J,3,0)</f>
        <v>0.02</v>
      </c>
      <c r="Q21" s="74">
        <f>VLOOKUP(Q1,'Drivers Macroeconômico'!$H:$J,3,0)</f>
        <v>0.02</v>
      </c>
      <c r="R21" s="74">
        <f>VLOOKUP(R1,'Drivers Macroeconômico'!$H:$J,3,0)</f>
        <v>0.02</v>
      </c>
      <c r="S21" s="74">
        <f>VLOOKUP(S1,'Drivers Macroeconômico'!$H:$J,3,0)</f>
        <v>0.02</v>
      </c>
      <c r="T21" s="74">
        <f>VLOOKUP(T1,'Drivers Macroeconômico'!$H:$J,3,0)</f>
        <v>0.02</v>
      </c>
      <c r="U21" s="74">
        <f>VLOOKUP(U1,'Drivers Macroeconômico'!$H:$J,3,0)</f>
        <v>0.02</v>
      </c>
      <c r="V21" s="74">
        <f>VLOOKUP(V1,'Drivers Macroeconômico'!$H:$J,3,0)</f>
        <v>0.02</v>
      </c>
      <c r="W21" s="74">
        <f>VLOOKUP(W1,'Drivers Macroeconômico'!$H:$J,3,0)</f>
        <v>0.02</v>
      </c>
      <c r="X21" s="74">
        <f>VLOOKUP(X1,'Drivers Macroeconômico'!$H:$J,3,0)</f>
        <v>0.02</v>
      </c>
      <c r="Y21" s="74">
        <f>VLOOKUP(Y1,'Drivers Macroeconômico'!$H:$J,3,0)</f>
        <v>0.02</v>
      </c>
      <c r="Z21" s="74">
        <f>VLOOKUP(Z1,'Drivers Macroeconômico'!$H:$J,3,0)</f>
        <v>0.02</v>
      </c>
      <c r="AA21" s="74">
        <f>VLOOKUP(AA1,'Drivers Macroeconômico'!$H:$J,3,0)</f>
        <v>0.02</v>
      </c>
      <c r="AB21" s="74">
        <f>VLOOKUP(AB1,'Drivers Macroeconômico'!$H:$J,3,0)</f>
        <v>0.02</v>
      </c>
      <c r="AC21" s="74">
        <f>VLOOKUP(AC1,'Drivers Macroeconômico'!$H:$J,3,0)</f>
        <v>0.02</v>
      </c>
      <c r="AD21" s="74">
        <f>VLOOKUP(AD1,'Drivers Macroeconômico'!$H:$J,3,0)</f>
        <v>0.02</v>
      </c>
      <c r="AE21" s="74">
        <f>VLOOKUP(AE1,'Drivers Macroeconômico'!$H:$J,3,0)</f>
        <v>0.02</v>
      </c>
      <c r="AF21" s="74">
        <f>VLOOKUP(AF1,'Drivers Macroeconômico'!$H:$J,3,0)</f>
        <v>0.02</v>
      </c>
      <c r="AG21" s="74">
        <f>VLOOKUP(AG1,'Drivers Macroeconômico'!$H:$J,3,0)</f>
        <v>0.02</v>
      </c>
      <c r="AH21" s="74">
        <f>VLOOKUP(AH1,'Drivers Macroeconômico'!$H:$J,3,0)</f>
        <v>0.02</v>
      </c>
      <c r="AI21" s="74">
        <f>VLOOKUP(AI1,'Drivers Macroeconômico'!$H:$J,3,0)</f>
        <v>0.02</v>
      </c>
      <c r="AJ21" s="74">
        <f>VLOOKUP(AJ1,'Drivers Macroeconômico'!$H:$J,3,0)</f>
        <v>0.02</v>
      </c>
      <c r="AK21" s="74">
        <f>VLOOKUP(AK1,'Drivers Macroeconômico'!$H:$J,3,0)</f>
        <v>0.02</v>
      </c>
      <c r="AL21" s="74">
        <f>VLOOKUP(AL1,'Drivers Macroeconômico'!$H:$J,3,0)</f>
        <v>0.02</v>
      </c>
      <c r="AM21" s="74">
        <f>VLOOKUP(AM1,'Drivers Macroeconômico'!$H:$J,3,0)</f>
        <v>0.02</v>
      </c>
      <c r="AN21" s="74">
        <f>VLOOKUP(AN1,'Drivers Macroeconômico'!$H:$J,3,0)</f>
        <v>0.02</v>
      </c>
      <c r="AO21" s="74">
        <f>VLOOKUP(AO1,'Drivers Macroeconômico'!$H:$J,3,0)</f>
        <v>0.02</v>
      </c>
      <c r="AP21" s="74">
        <f>VLOOKUP(AP1,'Drivers Macroeconômico'!$H:$J,3,0)</f>
        <v>0.02</v>
      </c>
      <c r="AQ21" s="74">
        <f>VLOOKUP(AQ1,'Drivers Macroeconômico'!$H:$J,3,0)</f>
        <v>0.02</v>
      </c>
      <c r="AR21" s="74">
        <f>VLOOKUP(AR1,'Drivers Macroeconômico'!$H:$J,3,0)</f>
        <v>0.02</v>
      </c>
      <c r="AS21" s="74">
        <f>VLOOKUP(AS1,'Drivers Macroeconômico'!$H:$J,3,0)</f>
        <v>0.02</v>
      </c>
      <c r="AT21" s="74">
        <f>VLOOKUP(AT1,'Drivers Macroeconômico'!$H:$J,3,0)</f>
        <v>0.02</v>
      </c>
      <c r="AU21" s="74">
        <f>VLOOKUP(AU1,'Drivers Macroeconômico'!$H:$J,3,0)</f>
        <v>0.02</v>
      </c>
    </row>
    <row r="22" spans="1:47" x14ac:dyDescent="0.3">
      <c r="A22" s="43" t="s">
        <v>527</v>
      </c>
      <c r="B22" s="25"/>
      <c r="E22" s="74">
        <f>VLOOKUP(E1,'Drivers Macroeconômico'!$H:$J,2,0)</f>
        <v>3.7718000000000002E-2</v>
      </c>
      <c r="F22" s="74">
        <f>VLOOKUP(F1,'Drivers Macroeconômico'!$H:$J,2,0)</f>
        <v>3.5049999999999998E-2</v>
      </c>
      <c r="G22" s="74">
        <f>VLOOKUP(G1,'Drivers Macroeconômico'!$H:$J,2,0)</f>
        <v>3.5000000000000003E-2</v>
      </c>
      <c r="H22" s="74">
        <f>VLOOKUP(H1,'Drivers Macroeconômico'!$H:$J,2,0)</f>
        <v>3.5000000000000003E-2</v>
      </c>
      <c r="I22" s="74">
        <f>VLOOKUP(I1,'Drivers Macroeconômico'!$H:$J,2,0)</f>
        <v>3.5000000000000003E-2</v>
      </c>
      <c r="J22" s="74">
        <f>VLOOKUP(J1,'Drivers Macroeconômico'!$H:$J,2,0)</f>
        <v>0.03</v>
      </c>
      <c r="K22" s="74">
        <f>VLOOKUP(K1,'Drivers Macroeconômico'!$H:$J,2,0)</f>
        <v>0.03</v>
      </c>
      <c r="L22" s="74">
        <f>VLOOKUP(L1,'Drivers Macroeconômico'!$H:$J,2,0)</f>
        <v>0.03</v>
      </c>
      <c r="M22" s="74">
        <f>VLOOKUP(M1,'Drivers Macroeconômico'!$H:$J,2,0)</f>
        <v>0.03</v>
      </c>
      <c r="N22" s="74">
        <f>VLOOKUP(N1,'Drivers Macroeconômico'!$H:$J,2,0)</f>
        <v>0.03</v>
      </c>
      <c r="O22" s="74">
        <f>VLOOKUP(O1,'Drivers Macroeconômico'!$H:$J,2,0)</f>
        <v>0.03</v>
      </c>
      <c r="P22" s="74">
        <f>VLOOKUP(P1,'Drivers Macroeconômico'!$H:$J,2,0)</f>
        <v>0.03</v>
      </c>
      <c r="Q22" s="74">
        <f>VLOOKUP(Q1,'Drivers Macroeconômico'!$H:$J,2,0)</f>
        <v>0.03</v>
      </c>
      <c r="R22" s="74">
        <f>VLOOKUP(R1,'Drivers Macroeconômico'!$H:$J,2,0)</f>
        <v>0.03</v>
      </c>
      <c r="S22" s="74">
        <f>VLOOKUP(S1,'Drivers Macroeconômico'!$H:$J,2,0)</f>
        <v>0.03</v>
      </c>
      <c r="T22" s="74">
        <f>VLOOKUP(T1,'Drivers Macroeconômico'!$H:$J,2,0)</f>
        <v>0.03</v>
      </c>
      <c r="U22" s="74">
        <f>VLOOKUP(U1,'Drivers Macroeconômico'!$H:$J,2,0)</f>
        <v>0.03</v>
      </c>
      <c r="V22" s="74">
        <f>VLOOKUP(V1,'Drivers Macroeconômico'!$H:$J,2,0)</f>
        <v>0.03</v>
      </c>
      <c r="W22" s="74">
        <f>VLOOKUP(W1,'Drivers Macroeconômico'!$H:$J,2,0)</f>
        <v>0.03</v>
      </c>
      <c r="X22" s="74">
        <f>VLOOKUP(X1,'Drivers Macroeconômico'!$H:$J,2,0)</f>
        <v>0.03</v>
      </c>
      <c r="Y22" s="74">
        <f>VLOOKUP(Y1,'Drivers Macroeconômico'!$H:$J,2,0)</f>
        <v>0.03</v>
      </c>
      <c r="Z22" s="74">
        <f>VLOOKUP(Z1,'Drivers Macroeconômico'!$H:$J,2,0)</f>
        <v>0.03</v>
      </c>
      <c r="AA22" s="74">
        <f>VLOOKUP(AA1,'Drivers Macroeconômico'!$H:$J,2,0)</f>
        <v>0.03</v>
      </c>
      <c r="AB22" s="74">
        <f>VLOOKUP(AB1,'Drivers Macroeconômico'!$H:$J,2,0)</f>
        <v>0.03</v>
      </c>
      <c r="AC22" s="74">
        <f>VLOOKUP(AC1,'Drivers Macroeconômico'!$H:$J,2,0)</f>
        <v>0.03</v>
      </c>
      <c r="AD22" s="74">
        <f>VLOOKUP(AD1,'Drivers Macroeconômico'!$H:$J,2,0)</f>
        <v>0.03</v>
      </c>
      <c r="AE22" s="74">
        <f>VLOOKUP(AE1,'Drivers Macroeconômico'!$H:$J,2,0)</f>
        <v>0.03</v>
      </c>
      <c r="AF22" s="74">
        <f>VLOOKUP(AF1,'Drivers Macroeconômico'!$H:$J,2,0)</f>
        <v>0.03</v>
      </c>
      <c r="AG22" s="74">
        <f>VLOOKUP(AG1,'Drivers Macroeconômico'!$H:$J,2,0)</f>
        <v>0.03</v>
      </c>
      <c r="AH22" s="74">
        <f>VLOOKUP(AH1,'Drivers Macroeconômico'!$H:$J,2,0)</f>
        <v>0.03</v>
      </c>
      <c r="AI22" s="74">
        <f>VLOOKUP(AI1,'Drivers Macroeconômico'!$H:$J,2,0)</f>
        <v>0.03</v>
      </c>
      <c r="AJ22" s="74">
        <f>VLOOKUP(AJ1,'Drivers Macroeconômico'!$H:$J,2,0)</f>
        <v>0.03</v>
      </c>
      <c r="AK22" s="74">
        <f>VLOOKUP(AK1,'Drivers Macroeconômico'!$H:$J,2,0)</f>
        <v>0.03</v>
      </c>
      <c r="AL22" s="74">
        <f>VLOOKUP(AL1,'Drivers Macroeconômico'!$H:$J,2,0)</f>
        <v>0.03</v>
      </c>
      <c r="AM22" s="74">
        <f>VLOOKUP(AM1,'Drivers Macroeconômico'!$H:$J,2,0)</f>
        <v>0.03</v>
      </c>
      <c r="AN22" s="74">
        <f>VLOOKUP(AN1,'Drivers Macroeconômico'!$H:$J,2,0)</f>
        <v>0.03</v>
      </c>
      <c r="AO22" s="74">
        <f>VLOOKUP(AO1,'Drivers Macroeconômico'!$H:$J,2,0)</f>
        <v>0.03</v>
      </c>
      <c r="AP22" s="74">
        <f>VLOOKUP(AP1,'Drivers Macroeconômico'!$H:$J,2,0)</f>
        <v>0.03</v>
      </c>
      <c r="AQ22" s="74">
        <f>VLOOKUP(AQ1,'Drivers Macroeconômico'!$H:$J,2,0)</f>
        <v>0.03</v>
      </c>
      <c r="AR22" s="74">
        <f>VLOOKUP(AR1,'Drivers Macroeconômico'!$H:$J,2,0)</f>
        <v>0.03</v>
      </c>
      <c r="AS22" s="74">
        <f>VLOOKUP(AS1,'Drivers Macroeconômico'!$H:$J,2,0)</f>
        <v>0.03</v>
      </c>
      <c r="AT22" s="74">
        <f>VLOOKUP(AT1,'Drivers Macroeconômico'!$H:$J,2,0)</f>
        <v>0.03</v>
      </c>
      <c r="AU22" s="74">
        <f>VLOOKUP(AU1,'Drivers Macroeconômico'!$H:$J,2,0)</f>
        <v>0.03</v>
      </c>
    </row>
    <row r="23" spans="1:47" x14ac:dyDescent="0.3">
      <c r="B23" s="25"/>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row>
    <row r="24" spans="1:47" x14ac:dyDescent="0.3">
      <c r="A24" s="34" t="s">
        <v>528</v>
      </c>
      <c r="B24" s="29"/>
      <c r="E24" s="69">
        <f ca="1">(1+C24)*(1+E20)-1</f>
        <v>0.1390504512028623</v>
      </c>
      <c r="F24" s="69">
        <f t="shared" ref="F24:AU24" ca="1" si="9">(1+E24)*(1+F20)-1</f>
        <v>0.29102110401166414</v>
      </c>
      <c r="G24" s="69">
        <f t="shared" ca="1" si="9"/>
        <v>0.453427826516551</v>
      </c>
      <c r="H24" s="69">
        <f t="shared" ca="1" si="9"/>
        <v>0.63512791967644078</v>
      </c>
      <c r="I24" s="69">
        <f t="shared" ca="1" si="9"/>
        <v>0.83766649805448323</v>
      </c>
      <c r="J24" s="69">
        <f t="shared" ca="1" si="9"/>
        <v>1.0606876197751141</v>
      </c>
      <c r="K24" s="69">
        <f t="shared" ca="1" si="9"/>
        <v>1.3107748172968687</v>
      </c>
      <c r="L24" s="69">
        <f t="shared" ca="1" si="9"/>
        <v>1.5898516797062472</v>
      </c>
      <c r="M24" s="69">
        <f t="shared" ca="1" si="9"/>
        <v>1.9026332088573947</v>
      </c>
      <c r="N24" s="69">
        <f ca="1">(1+M24)*(1+N20)-1</f>
        <v>2.2531899842686784</v>
      </c>
      <c r="O24" s="69">
        <f t="shared" ca="1" si="9"/>
        <v>2.6632957017612027</v>
      </c>
      <c r="P24" s="69">
        <f t="shared" ca="1" si="9"/>
        <v>3.1251004286363182</v>
      </c>
      <c r="Q24" s="69">
        <f t="shared" ca="1" si="9"/>
        <v>3.6451214784966819</v>
      </c>
      <c r="R24" s="69">
        <f t="shared" ca="1" si="9"/>
        <v>4.2306977547027156</v>
      </c>
      <c r="S24" s="69">
        <f t="shared" ca="1" si="9"/>
        <v>4.8900933221463809</v>
      </c>
      <c r="T24" s="69">
        <f t="shared" ca="1" si="9"/>
        <v>5.6326140355561725</v>
      </c>
      <c r="U24" s="69">
        <f t="shared" ca="1" si="9"/>
        <v>6.4687388702741266</v>
      </c>
      <c r="V24" s="69">
        <f t="shared" ca="1" si="9"/>
        <v>7.4102678089372755</v>
      </c>
      <c r="W24" s="69">
        <f t="shared" ca="1" si="9"/>
        <v>8.4704883711445778</v>
      </c>
      <c r="X24" s="69">
        <f t="shared" ca="1" si="9"/>
        <v>9.6643631362932734</v>
      </c>
      <c r="Y24" s="69">
        <f t="shared" ca="1" si="9"/>
        <v>10.949478226382768</v>
      </c>
      <c r="Z24" s="69">
        <f t="shared" ca="1" si="9"/>
        <v>12.389456834684168</v>
      </c>
      <c r="AA24" s="69">
        <f t="shared" ca="1" si="9"/>
        <v>14.002960876739451</v>
      </c>
      <c r="AB24" s="69">
        <f t="shared" ca="1" si="9"/>
        <v>15.810901132740685</v>
      </c>
      <c r="AC24" s="69">
        <f t="shared" ca="1" si="9"/>
        <v>17.836708248232135</v>
      </c>
      <c r="AD24" s="69">
        <f t="shared" ca="1" si="9"/>
        <v>20.106636391904704</v>
      </c>
      <c r="AE24" s="69">
        <f t="shared" ca="1" si="9"/>
        <v>22.650103505844033</v>
      </c>
      <c r="AF24" s="69">
        <f t="shared" ca="1" si="9"/>
        <v>25.50007255782651</v>
      </c>
      <c r="AG24" s="69">
        <f t="shared" ca="1" si="9"/>
        <v>28.693478736638088</v>
      </c>
      <c r="AH24" s="69">
        <f t="shared" ca="1" si="9"/>
        <v>32.271708126805748</v>
      </c>
      <c r="AI24" s="69">
        <f t="shared" ca="1" si="9"/>
        <v>36.281134066297263</v>
      </c>
      <c r="AJ24" s="69">
        <f t="shared" ca="1" si="9"/>
        <v>40.773718138307856</v>
      </c>
      <c r="AK24" s="69">
        <f t="shared" ca="1" si="9"/>
        <v>45.80768358590084</v>
      </c>
      <c r="AL24" s="69">
        <f t="shared" ca="1" si="9"/>
        <v>51.448269876859008</v>
      </c>
      <c r="AM24" s="69">
        <f t="shared" ca="1" si="9"/>
        <v>57.768578197798789</v>
      </c>
      <c r="AN24" s="69">
        <f t="shared" ca="1" si="9"/>
        <v>64.85051883502905</v>
      </c>
      <c r="AO24" s="69">
        <f t="shared" ca="1" si="9"/>
        <v>72.785872720074309</v>
      </c>
      <c r="AP24" s="69">
        <f t="shared" ca="1" si="9"/>
        <v>81.677480897339464</v>
      </c>
      <c r="AQ24" s="69">
        <f t="shared" ca="1" si="9"/>
        <v>91.640577329245787</v>
      </c>
      <c r="AR24" s="69">
        <f t="shared" ca="1" si="9"/>
        <v>102.8042823118011</v>
      </c>
      <c r="AS24" s="69">
        <f t="shared" ca="1" si="9"/>
        <v>115.31327585505483</v>
      </c>
      <c r="AT24" s="69">
        <f t="shared" ca="1" si="9"/>
        <v>129.32967271520789</v>
      </c>
      <c r="AU24" s="69">
        <f t="shared" ca="1" si="9"/>
        <v>145.03512337852379</v>
      </c>
    </row>
    <row r="25" spans="1:47" x14ac:dyDescent="0.3">
      <c r="A25" s="34" t="s">
        <v>2747</v>
      </c>
      <c r="B25" s="25"/>
      <c r="E25" s="48">
        <f t="shared" ref="E25:AU25" ca="1" si="10">E5/(1+E24)</f>
        <v>837.17983085201399</v>
      </c>
      <c r="F25" s="48">
        <f t="shared" ca="1" si="10"/>
        <v>4174.5302416521954</v>
      </c>
      <c r="G25" s="48">
        <f t="shared" ca="1" si="10"/>
        <v>3766.9837913994184</v>
      </c>
      <c r="H25" s="48">
        <f t="shared" ca="1" si="10"/>
        <v>4920.8912429887132</v>
      </c>
      <c r="I25" s="48">
        <f t="shared" ca="1" si="10"/>
        <v>4469.501650718601</v>
      </c>
      <c r="J25" s="48">
        <f t="shared" ca="1" si="10"/>
        <v>4174.7132750068422</v>
      </c>
      <c r="K25" s="48">
        <f t="shared" ca="1" si="10"/>
        <v>4187.4509156973845</v>
      </c>
      <c r="L25" s="48">
        <f t="shared" ca="1" si="10"/>
        <v>3363.4371029235713</v>
      </c>
      <c r="M25" s="48">
        <f t="shared" ca="1" si="10"/>
        <v>2556.9780585176795</v>
      </c>
      <c r="N25" s="48">
        <f t="shared" ca="1" si="10"/>
        <v>1971.6666741908589</v>
      </c>
      <c r="O25" s="48">
        <f t="shared" ca="1" si="10"/>
        <v>1557.8088440275114</v>
      </c>
      <c r="P25" s="48">
        <f t="shared" ca="1" si="10"/>
        <v>1224.2011016236656</v>
      </c>
      <c r="Q25" s="48">
        <f t="shared" ca="1" si="10"/>
        <v>947.32775617078562</v>
      </c>
      <c r="R25" s="48">
        <f t="shared" ca="1" si="10"/>
        <v>741.8604688190328</v>
      </c>
      <c r="S25" s="48">
        <f t="shared" ca="1" si="10"/>
        <v>579.00715715894103</v>
      </c>
      <c r="T25" s="48">
        <f t="shared" ca="1" si="10"/>
        <v>462.17307112420178</v>
      </c>
      <c r="U25" s="48">
        <f t="shared" ca="1" si="10"/>
        <v>279.78234946021797</v>
      </c>
      <c r="V25" s="48">
        <f t="shared" ca="1" si="10"/>
        <v>272.75401436633479</v>
      </c>
      <c r="W25" s="48">
        <f t="shared" ca="1" si="10"/>
        <v>218.55143456088695</v>
      </c>
      <c r="X25" s="48">
        <f t="shared" ca="1" si="10"/>
        <v>175.95654770318717</v>
      </c>
      <c r="Y25" s="48">
        <f t="shared" ca="1" si="10"/>
        <v>141.13765597468748</v>
      </c>
      <c r="Z25" s="48">
        <f t="shared" ca="1" si="10"/>
        <v>115.78826160297773</v>
      </c>
      <c r="AA25" s="48">
        <f t="shared" ca="1" si="10"/>
        <v>93.226988014775017</v>
      </c>
      <c r="AB25" s="48">
        <f t="shared" ca="1" si="10"/>
        <v>78.404382583545271</v>
      </c>
      <c r="AC25" s="48">
        <f t="shared" ca="1" si="10"/>
        <v>66.481123481149936</v>
      </c>
      <c r="AD25" s="48">
        <f t="shared" ca="1" si="10"/>
        <v>57.495175016728517</v>
      </c>
      <c r="AE25" s="48">
        <f t="shared" ca="1" si="10"/>
        <v>59.415774376612092</v>
      </c>
      <c r="AF25" s="48">
        <f t="shared" ca="1" si="10"/>
        <v>47.62152334676037</v>
      </c>
      <c r="AG25" s="48">
        <f t="shared" ca="1" si="10"/>
        <v>36.960072516036924</v>
      </c>
      <c r="AH25" s="48">
        <f t="shared" ca="1" si="10"/>
        <v>-326.6927265380229</v>
      </c>
      <c r="AI25" s="48">
        <f t="shared" ca="1" si="10"/>
        <v>0</v>
      </c>
      <c r="AJ25" s="48">
        <f t="shared" ca="1" si="10"/>
        <v>0</v>
      </c>
      <c r="AK25" s="48">
        <f t="shared" ca="1" si="10"/>
        <v>0</v>
      </c>
      <c r="AL25" s="48">
        <f t="shared" ca="1" si="10"/>
        <v>0</v>
      </c>
      <c r="AM25" s="48">
        <f t="shared" ca="1" si="10"/>
        <v>0</v>
      </c>
      <c r="AN25" s="48">
        <f t="shared" ca="1" si="10"/>
        <v>0</v>
      </c>
      <c r="AO25" s="48">
        <f t="shared" ca="1" si="10"/>
        <v>0</v>
      </c>
      <c r="AP25" s="48">
        <f t="shared" ca="1" si="10"/>
        <v>0</v>
      </c>
      <c r="AQ25" s="48">
        <f t="shared" ca="1" si="10"/>
        <v>0</v>
      </c>
      <c r="AR25" s="48">
        <f t="shared" ca="1" si="10"/>
        <v>0</v>
      </c>
      <c r="AS25" s="48">
        <f t="shared" ca="1" si="10"/>
        <v>0</v>
      </c>
      <c r="AT25" s="48">
        <f t="shared" ca="1" si="10"/>
        <v>0</v>
      </c>
      <c r="AU25" s="48">
        <f t="shared" ca="1" si="10"/>
        <v>0</v>
      </c>
    </row>
    <row r="26" spans="1:47" x14ac:dyDescent="0.3">
      <c r="B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row>
    <row r="27" spans="1:47" x14ac:dyDescent="0.3">
      <c r="A27" s="34" t="s">
        <v>19</v>
      </c>
      <c r="B27" s="61">
        <f ca="1">SUM(E25:AU25,C25)</f>
        <v>41252.593759337287</v>
      </c>
      <c r="E27" s="23"/>
      <c r="F27" s="23"/>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row>
    <row r="28" spans="1:47" x14ac:dyDescent="0.3">
      <c r="A28" t="s">
        <v>702</v>
      </c>
      <c r="B28" s="55">
        <v>847012709</v>
      </c>
      <c r="C28" s="24"/>
      <c r="D28" s="24"/>
      <c r="E28" s="24"/>
      <c r="F28" s="24"/>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row>
    <row r="29" spans="1:47" x14ac:dyDescent="0.3">
      <c r="A29" s="34" t="s">
        <v>21</v>
      </c>
      <c r="B29" s="61">
        <f ca="1">B27*10^6/B28</f>
        <v>48.70363020649468</v>
      </c>
      <c r="C29" s="28"/>
      <c r="D29" s="28"/>
      <c r="E29" s="28"/>
      <c r="F29" s="28"/>
      <c r="G29" s="25"/>
      <c r="H29" s="30"/>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row>
    <row r="30" spans="1:47" x14ac:dyDescent="0.3">
      <c r="A30" s="34" t="s">
        <v>1183</v>
      </c>
      <c r="B30" s="60">
        <v>47.8</v>
      </c>
      <c r="C30" s="26"/>
      <c r="D30" s="26"/>
      <c r="E30" s="26"/>
      <c r="F30" s="26"/>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row>
    <row r="31" spans="1:47" x14ac:dyDescent="0.3">
      <c r="A31" s="217" t="s">
        <v>73</v>
      </c>
      <c r="B31" s="214">
        <f ca="1">B29/B30-1</f>
        <v>1.890439762541174E-2</v>
      </c>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row>
    <row r="32" spans="1:47" x14ac:dyDescent="0.3">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row>
    <row r="33" spans="1:47" x14ac:dyDescent="0.3">
      <c r="A33" s="34" t="s">
        <v>704</v>
      </c>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row>
    <row r="34" spans="1:47" x14ac:dyDescent="0.3">
      <c r="A34" s="43" t="s">
        <v>703</v>
      </c>
      <c r="B34" s="131" t="s">
        <v>591</v>
      </c>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row>
    <row r="35" spans="1:47" x14ac:dyDescent="0.3">
      <c r="A35" s="43" t="s">
        <v>600</v>
      </c>
      <c r="B35" s="130">
        <v>0</v>
      </c>
    </row>
    <row r="37" spans="1:47" s="45" customFormat="1" x14ac:dyDescent="0.3">
      <c r="A37" s="45" t="s">
        <v>598</v>
      </c>
    </row>
    <row r="39" spans="1:47" x14ac:dyDescent="0.3">
      <c r="A39" t="s">
        <v>669</v>
      </c>
      <c r="B39" s="60">
        <v>48.773683759879468</v>
      </c>
      <c r="J39" s="281"/>
      <c r="K39" s="281"/>
      <c r="L39" s="281"/>
    </row>
    <row r="41" spans="1:47" ht="54" customHeight="1" x14ac:dyDescent="0.3">
      <c r="A41" t="s">
        <v>705</v>
      </c>
      <c r="B41" s="155">
        <f ca="1">B29</f>
        <v>48.70363020649468</v>
      </c>
      <c r="C41" s="101" t="s">
        <v>551</v>
      </c>
      <c r="D41" s="101" t="s">
        <v>591</v>
      </c>
      <c r="E41" s="101" t="s">
        <v>552</v>
      </c>
      <c r="F41" s="101" t="s">
        <v>670</v>
      </c>
      <c r="I41" s="76"/>
    </row>
    <row r="42" spans="1:47" x14ac:dyDescent="0.3">
      <c r="A42" t="s">
        <v>706</v>
      </c>
      <c r="B42" s="157">
        <v>0</v>
      </c>
      <c r="C42" s="158">
        <v>37.420485058114963</v>
      </c>
      <c r="D42" s="158">
        <v>48.773683759879468</v>
      </c>
      <c r="E42" s="158">
        <v>57.521497994324193</v>
      </c>
      <c r="F42" s="159">
        <f t="shared" ref="F42:F59" si="11">E42-C42</f>
        <v>20.10101293620923</v>
      </c>
      <c r="J42" s="76"/>
    </row>
    <row r="43" spans="1:47" x14ac:dyDescent="0.3">
      <c r="B43" s="160">
        <v>5.0000000000000001E-3</v>
      </c>
      <c r="C43" s="161">
        <v>37.063453302188137</v>
      </c>
      <c r="D43" s="161">
        <v>48.315592903130067</v>
      </c>
      <c r="E43" s="161">
        <v>56.98139038385267</v>
      </c>
      <c r="F43" s="162">
        <f t="shared" si="11"/>
        <v>19.917937081664533</v>
      </c>
      <c r="J43" s="76"/>
    </row>
    <row r="44" spans="1:47" x14ac:dyDescent="0.3">
      <c r="B44" s="157">
        <v>0.01</v>
      </c>
      <c r="C44" s="158">
        <v>36.706421546261318</v>
      </c>
      <c r="D44" s="158">
        <v>47.857502046380702</v>
      </c>
      <c r="E44" s="158">
        <v>56.441282773381189</v>
      </c>
      <c r="F44" s="159">
        <f t="shared" si="11"/>
        <v>19.734861227119872</v>
      </c>
      <c r="J44" s="76"/>
    </row>
    <row r="45" spans="1:47" x14ac:dyDescent="0.3">
      <c r="B45" s="160">
        <v>1.4999999999999999E-2</v>
      </c>
      <c r="C45" s="161">
        <v>36.349389790334484</v>
      </c>
      <c r="D45" s="161">
        <v>47.399411189631287</v>
      </c>
      <c r="E45" s="161">
        <v>55.901175162909666</v>
      </c>
      <c r="F45" s="162">
        <f t="shared" si="11"/>
        <v>19.551785372575182</v>
      </c>
      <c r="J45" s="76"/>
    </row>
    <row r="46" spans="1:47" x14ac:dyDescent="0.3">
      <c r="B46" s="157">
        <v>0.02</v>
      </c>
      <c r="C46" s="158">
        <v>35.992358034407651</v>
      </c>
      <c r="D46" s="158">
        <v>46.94132033288188</v>
      </c>
      <c r="E46" s="158">
        <v>55.361067552438165</v>
      </c>
      <c r="F46" s="159">
        <f t="shared" si="11"/>
        <v>19.368709518030514</v>
      </c>
      <c r="J46" s="76"/>
    </row>
    <row r="47" spans="1:47" x14ac:dyDescent="0.3">
      <c r="B47" s="160">
        <v>2.5000000000000001E-2</v>
      </c>
      <c r="C47" s="161">
        <v>35.635326278480839</v>
      </c>
      <c r="D47" s="161">
        <v>46.483229476132493</v>
      </c>
      <c r="E47" s="161">
        <v>54.820959941966649</v>
      </c>
      <c r="F47" s="162">
        <f t="shared" si="11"/>
        <v>19.18563366348581</v>
      </c>
      <c r="J47" s="76"/>
    </row>
    <row r="48" spans="1:47" x14ac:dyDescent="0.3">
      <c r="B48" s="157">
        <v>0.03</v>
      </c>
      <c r="C48" s="158">
        <v>35.278294522553999</v>
      </c>
      <c r="D48" s="158">
        <v>46.025138619383085</v>
      </c>
      <c r="E48" s="158">
        <v>54.280852331495119</v>
      </c>
      <c r="F48" s="159">
        <f t="shared" si="11"/>
        <v>19.00255780894112</v>
      </c>
      <c r="J48" s="76"/>
    </row>
    <row r="49" spans="1:10" x14ac:dyDescent="0.3">
      <c r="B49" s="160">
        <v>4.4999999999999998E-2</v>
      </c>
      <c r="C49" s="161">
        <v>34.207199254773506</v>
      </c>
      <c r="D49" s="161">
        <v>44.650866049134898</v>
      </c>
      <c r="E49" s="161">
        <v>52.660529500080621</v>
      </c>
      <c r="F49" s="162">
        <f t="shared" si="11"/>
        <v>18.453330245307114</v>
      </c>
      <c r="J49" s="76"/>
    </row>
    <row r="50" spans="1:10" x14ac:dyDescent="0.3">
      <c r="B50" s="157">
        <v>0.05</v>
      </c>
      <c r="C50" s="158">
        <v>33.850167498846695</v>
      </c>
      <c r="D50" s="158">
        <v>44.192775192385461</v>
      </c>
      <c r="E50" s="158">
        <v>52.120421889609112</v>
      </c>
      <c r="F50" s="159">
        <f t="shared" si="11"/>
        <v>18.270254390762418</v>
      </c>
      <c r="J50" s="76"/>
    </row>
    <row r="51" spans="1:10" x14ac:dyDescent="0.3">
      <c r="B51" s="160">
        <v>5.5E-2</v>
      </c>
      <c r="C51" s="161">
        <v>33.493135742919854</v>
      </c>
      <c r="D51" s="161">
        <v>43.734684335636096</v>
      </c>
      <c r="E51" s="161">
        <v>51.58031427913761</v>
      </c>
      <c r="F51" s="162">
        <f t="shared" si="11"/>
        <v>18.087178536217756</v>
      </c>
      <c r="J51" s="76"/>
    </row>
    <row r="52" spans="1:10" x14ac:dyDescent="0.3">
      <c r="B52" s="157">
        <v>0.06</v>
      </c>
      <c r="C52" s="158">
        <v>33.136103986993028</v>
      </c>
      <c r="D52" s="158">
        <v>43.276593478886703</v>
      </c>
      <c r="E52" s="158">
        <v>51.040206668666073</v>
      </c>
      <c r="F52" s="159">
        <f t="shared" si="11"/>
        <v>17.904102681673045</v>
      </c>
      <c r="J52" s="76"/>
    </row>
    <row r="53" spans="1:10" x14ac:dyDescent="0.3">
      <c r="B53" s="160">
        <v>6.5000000000000002E-2</v>
      </c>
      <c r="C53" s="161">
        <v>32.779072231066202</v>
      </c>
      <c r="D53" s="161">
        <v>42.818502622137281</v>
      </c>
      <c r="E53" s="161">
        <v>50.500099058194586</v>
      </c>
      <c r="F53" s="162">
        <f t="shared" si="11"/>
        <v>17.721026827128384</v>
      </c>
      <c r="J53" s="76"/>
    </row>
    <row r="54" spans="1:10" x14ac:dyDescent="0.3">
      <c r="B54" s="157">
        <v>7.0000000000000007E-2</v>
      </c>
      <c r="C54" s="158">
        <v>32.422040475139376</v>
      </c>
      <c r="D54" s="158">
        <v>42.360411765387894</v>
      </c>
      <c r="E54" s="158">
        <v>49.959991447723056</v>
      </c>
      <c r="F54" s="159">
        <f t="shared" si="11"/>
        <v>17.53795097258368</v>
      </c>
      <c r="J54" s="76"/>
    </row>
    <row r="55" spans="1:10" x14ac:dyDescent="0.3">
      <c r="B55" s="160">
        <v>7.4999999999999997E-2</v>
      </c>
      <c r="C55" s="161">
        <v>32.065008719212543</v>
      </c>
      <c r="D55" s="161">
        <v>41.902320908638515</v>
      </c>
      <c r="E55" s="161">
        <v>49.419883837251561</v>
      </c>
      <c r="F55" s="162">
        <f t="shared" si="11"/>
        <v>17.354875118039018</v>
      </c>
      <c r="J55" s="76"/>
    </row>
    <row r="56" spans="1:10" x14ac:dyDescent="0.3">
      <c r="B56" s="157">
        <v>0.08</v>
      </c>
      <c r="C56" s="158">
        <v>31.707976963285731</v>
      </c>
      <c r="D56" s="158">
        <v>41.444230051889093</v>
      </c>
      <c r="E56" s="158">
        <v>48.879776226780066</v>
      </c>
      <c r="F56" s="159">
        <f t="shared" si="11"/>
        <v>17.171799263494336</v>
      </c>
      <c r="J56" s="76"/>
    </row>
    <row r="57" spans="1:10" x14ac:dyDescent="0.3">
      <c r="B57" s="160">
        <v>8.5000000000000006E-2</v>
      </c>
      <c r="C57" s="161">
        <v>31.350945207358897</v>
      </c>
      <c r="D57" s="161">
        <v>40.986139195139693</v>
      </c>
      <c r="E57" s="161">
        <v>48.339668616308558</v>
      </c>
      <c r="F57" s="162">
        <f t="shared" si="11"/>
        <v>16.98872340894966</v>
      </c>
      <c r="J57" s="76"/>
    </row>
    <row r="58" spans="1:10" x14ac:dyDescent="0.3">
      <c r="B58" s="157">
        <v>0.09</v>
      </c>
      <c r="C58" s="158">
        <v>30.993913451432061</v>
      </c>
      <c r="D58" s="158">
        <v>40.52804833839032</v>
      </c>
      <c r="E58" s="158">
        <v>47.799561005837035</v>
      </c>
      <c r="F58" s="159">
        <f t="shared" si="11"/>
        <v>16.805647554404974</v>
      </c>
      <c r="J58" s="76"/>
    </row>
    <row r="59" spans="1:10" x14ac:dyDescent="0.3">
      <c r="B59" s="160">
        <v>9.5000000000000001E-2</v>
      </c>
      <c r="C59" s="161">
        <v>30.636881695505227</v>
      </c>
      <c r="D59" s="161">
        <v>40.069957481640905</v>
      </c>
      <c r="E59" s="161">
        <v>47.259453395365526</v>
      </c>
      <c r="F59" s="162">
        <f t="shared" si="11"/>
        <v>16.622571699860298</v>
      </c>
      <c r="J59" s="76"/>
    </row>
    <row r="60" spans="1:10" x14ac:dyDescent="0.3">
      <c r="B60" s="157">
        <v>0.1</v>
      </c>
      <c r="C60" s="158">
        <v>30.279849939578405</v>
      </c>
      <c r="D60" s="158">
        <v>39.611866624891505</v>
      </c>
      <c r="E60" s="158">
        <v>46.719345784894024</v>
      </c>
      <c r="F60" s="159">
        <f>E60-C60</f>
        <v>16.439495845315619</v>
      </c>
      <c r="J60" s="76"/>
    </row>
    <row r="61" spans="1:10" ht="40.799999999999997" customHeight="1" x14ac:dyDescent="0.3">
      <c r="B61" s="156" t="s">
        <v>670</v>
      </c>
      <c r="C61" s="166">
        <f>C42-C60</f>
        <v>7.140635118536558</v>
      </c>
      <c r="D61" s="166">
        <f>D42-D60</f>
        <v>9.1618171349879631</v>
      </c>
      <c r="E61" s="166">
        <f>E42-E60</f>
        <v>10.802152209430169</v>
      </c>
      <c r="F61" s="166"/>
    </row>
    <row r="62" spans="1:10" x14ac:dyDescent="0.3">
      <c r="B62" s="81"/>
      <c r="C62" s="81"/>
      <c r="D62" s="81"/>
      <c r="E62" s="81"/>
      <c r="F62" s="81"/>
    </row>
    <row r="63" spans="1:10" s="45" customFormat="1" x14ac:dyDescent="0.3">
      <c r="A63" s="45" t="s">
        <v>604</v>
      </c>
    </row>
    <row r="65" spans="1:47" x14ac:dyDescent="0.3">
      <c r="A65" s="34" t="s">
        <v>601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row>
    <row r="66" spans="1:47" x14ac:dyDescent="0.3">
      <c r="A66" s="216" t="s">
        <v>602</v>
      </c>
      <c r="B66" s="25"/>
      <c r="C66" s="31">
        <v>0.01</v>
      </c>
      <c r="D66" s="25"/>
      <c r="E66" s="74">
        <f>C66</f>
        <v>0.01</v>
      </c>
      <c r="F66" s="74">
        <f>E66</f>
        <v>0.01</v>
      </c>
      <c r="G66" s="74">
        <f t="shared" ref="G66:AJ66" si="12">F66</f>
        <v>0.01</v>
      </c>
      <c r="H66" s="74">
        <f t="shared" si="12"/>
        <v>0.01</v>
      </c>
      <c r="I66" s="74">
        <f t="shared" si="12"/>
        <v>0.01</v>
      </c>
      <c r="J66" s="74">
        <f t="shared" si="12"/>
        <v>0.01</v>
      </c>
      <c r="K66" s="74">
        <f t="shared" si="12"/>
        <v>0.01</v>
      </c>
      <c r="L66" s="74">
        <f t="shared" si="12"/>
        <v>0.01</v>
      </c>
      <c r="M66" s="74">
        <f t="shared" si="12"/>
        <v>0.01</v>
      </c>
      <c r="N66" s="74">
        <f t="shared" si="12"/>
        <v>0.01</v>
      </c>
      <c r="O66" s="74">
        <f t="shared" si="12"/>
        <v>0.01</v>
      </c>
      <c r="P66" s="74">
        <f t="shared" si="12"/>
        <v>0.01</v>
      </c>
      <c r="Q66" s="74">
        <f t="shared" si="12"/>
        <v>0.01</v>
      </c>
      <c r="R66" s="74">
        <f t="shared" si="12"/>
        <v>0.01</v>
      </c>
      <c r="S66" s="74">
        <f t="shared" si="12"/>
        <v>0.01</v>
      </c>
      <c r="T66" s="74">
        <f t="shared" si="12"/>
        <v>0.01</v>
      </c>
      <c r="U66" s="74">
        <f t="shared" si="12"/>
        <v>0.01</v>
      </c>
      <c r="V66" s="74">
        <f t="shared" si="12"/>
        <v>0.01</v>
      </c>
      <c r="W66" s="74">
        <f t="shared" si="12"/>
        <v>0.01</v>
      </c>
      <c r="X66" s="74">
        <f t="shared" si="12"/>
        <v>0.01</v>
      </c>
      <c r="Y66" s="74">
        <f t="shared" si="12"/>
        <v>0.01</v>
      </c>
      <c r="Z66" s="74">
        <f t="shared" si="12"/>
        <v>0.01</v>
      </c>
      <c r="AA66" s="74">
        <f t="shared" si="12"/>
        <v>0.01</v>
      </c>
      <c r="AB66" s="74">
        <f t="shared" si="12"/>
        <v>0.01</v>
      </c>
      <c r="AC66" s="74">
        <f t="shared" si="12"/>
        <v>0.01</v>
      </c>
      <c r="AD66" s="74">
        <f t="shared" si="12"/>
        <v>0.01</v>
      </c>
      <c r="AE66" s="74">
        <f t="shared" si="12"/>
        <v>0.01</v>
      </c>
      <c r="AF66" s="74">
        <f t="shared" si="12"/>
        <v>0.01</v>
      </c>
      <c r="AG66" s="74">
        <f t="shared" si="12"/>
        <v>0.01</v>
      </c>
      <c r="AH66" s="74">
        <f t="shared" si="12"/>
        <v>0.01</v>
      </c>
      <c r="AI66" s="74">
        <f t="shared" si="12"/>
        <v>0.01</v>
      </c>
      <c r="AJ66" s="74">
        <f t="shared" si="12"/>
        <v>0.01</v>
      </c>
      <c r="AK66" s="74">
        <f t="shared" ref="AK66:AU66" si="13">AJ66</f>
        <v>0.01</v>
      </c>
      <c r="AL66" s="74">
        <f t="shared" si="13"/>
        <v>0.01</v>
      </c>
      <c r="AM66" s="74">
        <f t="shared" si="13"/>
        <v>0.01</v>
      </c>
      <c r="AN66" s="74">
        <f t="shared" si="13"/>
        <v>0.01</v>
      </c>
      <c r="AO66" s="74">
        <f t="shared" si="13"/>
        <v>0.01</v>
      </c>
      <c r="AP66" s="74">
        <f t="shared" si="13"/>
        <v>0.01</v>
      </c>
      <c r="AQ66" s="74">
        <f t="shared" si="13"/>
        <v>0.01</v>
      </c>
      <c r="AR66" s="74">
        <f t="shared" si="13"/>
        <v>0.01</v>
      </c>
      <c r="AS66" s="74">
        <f t="shared" si="13"/>
        <v>0.01</v>
      </c>
      <c r="AT66" s="74">
        <f t="shared" si="13"/>
        <v>0.01</v>
      </c>
      <c r="AU66" s="74">
        <f t="shared" si="13"/>
        <v>0.01</v>
      </c>
    </row>
    <row r="67" spans="1:47" x14ac:dyDescent="0.3">
      <c r="A67" s="216" t="s">
        <v>603</v>
      </c>
      <c r="B67" s="25"/>
      <c r="C67" s="74">
        <f>C66+C20</f>
        <v>0.01</v>
      </c>
      <c r="D67" s="25"/>
      <c r="E67" s="74">
        <f t="shared" ref="E67:AU67" ca="1" si="14">E66+E20</f>
        <v>0.14905045120286231</v>
      </c>
      <c r="F67" s="74">
        <f t="shared" ca="1" si="14"/>
        <v>0.14341871964346931</v>
      </c>
      <c r="G67" s="74">
        <f t="shared" ca="1" si="14"/>
        <v>0.13579710897074504</v>
      </c>
      <c r="H67" s="74">
        <f t="shared" ca="1" si="14"/>
        <v>0.13501487163306392</v>
      </c>
      <c r="I67" s="74">
        <f t="shared" ca="1" si="14"/>
        <v>0.13386711519067007</v>
      </c>
      <c r="J67" s="74">
        <f t="shared" ca="1" si="14"/>
        <v>0.13136104236363932</v>
      </c>
      <c r="K67" s="74">
        <f t="shared" ca="1" si="14"/>
        <v>0.13136104236363932</v>
      </c>
      <c r="L67" s="74">
        <f t="shared" ca="1" si="14"/>
        <v>0.13077198536196666</v>
      </c>
      <c r="M67" s="74">
        <f t="shared" ca="1" si="14"/>
        <v>0.13077198536196666</v>
      </c>
      <c r="N67" s="74">
        <f t="shared" ca="1" si="14"/>
        <v>0.13077198536196666</v>
      </c>
      <c r="O67" s="74">
        <f t="shared" ca="1" si="14"/>
        <v>0.13606263989366019</v>
      </c>
      <c r="P67" s="74">
        <f t="shared" ca="1" si="14"/>
        <v>0.13606263989366019</v>
      </c>
      <c r="Q67" s="74">
        <f t="shared" ca="1" si="14"/>
        <v>0.13606263989366019</v>
      </c>
      <c r="R67" s="74">
        <f t="shared" ca="1" si="14"/>
        <v>0.13606263989366019</v>
      </c>
      <c r="S67" s="74">
        <f t="shared" ca="1" si="14"/>
        <v>0.13606263989366019</v>
      </c>
      <c r="T67" s="74">
        <f t="shared" ca="1" si="14"/>
        <v>0.13606263989366019</v>
      </c>
      <c r="U67" s="74">
        <f t="shared" ca="1" si="14"/>
        <v>0.13606263989366019</v>
      </c>
      <c r="V67" s="74">
        <f t="shared" ca="1" si="14"/>
        <v>0.13606263989366019</v>
      </c>
      <c r="W67" s="74">
        <f t="shared" ca="1" si="14"/>
        <v>0.13606263989366019</v>
      </c>
      <c r="X67" s="74">
        <f t="shared" ca="1" si="14"/>
        <v>0.13606263989366019</v>
      </c>
      <c r="Y67" s="74">
        <f t="shared" ca="1" si="14"/>
        <v>0.130505563592068</v>
      </c>
      <c r="Z67" s="74">
        <f t="shared" ca="1" si="14"/>
        <v>0.130505563592068</v>
      </c>
      <c r="AA67" s="74">
        <f t="shared" ca="1" si="14"/>
        <v>0.130505563592068</v>
      </c>
      <c r="AB67" s="74">
        <f t="shared" ca="1" si="14"/>
        <v>0.130505563592068</v>
      </c>
      <c r="AC67" s="74">
        <f t="shared" ca="1" si="14"/>
        <v>0.130505563592068</v>
      </c>
      <c r="AD67" s="74">
        <f t="shared" ca="1" si="14"/>
        <v>0.130505563592068</v>
      </c>
      <c r="AE67" s="74">
        <f t="shared" ca="1" si="14"/>
        <v>0.130505563592068</v>
      </c>
      <c r="AF67" s="74">
        <f t="shared" ca="1" si="14"/>
        <v>0.130505563592068</v>
      </c>
      <c r="AG67" s="74">
        <f t="shared" ca="1" si="14"/>
        <v>0.130505563592068</v>
      </c>
      <c r="AH67" s="74">
        <f t="shared" ca="1" si="14"/>
        <v>0.130505563592068</v>
      </c>
      <c r="AI67" s="74">
        <f t="shared" ca="1" si="14"/>
        <v>0.130505563592068</v>
      </c>
      <c r="AJ67" s="74">
        <f t="shared" ca="1" si="14"/>
        <v>0.130505563592068</v>
      </c>
      <c r="AK67" s="74">
        <f t="shared" ca="1" si="14"/>
        <v>0.130505563592068</v>
      </c>
      <c r="AL67" s="74">
        <f t="shared" ca="1" si="14"/>
        <v>0.130505563592068</v>
      </c>
      <c r="AM67" s="74">
        <f t="shared" ca="1" si="14"/>
        <v>0.130505563592068</v>
      </c>
      <c r="AN67" s="74">
        <f t="shared" ca="1" si="14"/>
        <v>0.130505563592068</v>
      </c>
      <c r="AO67" s="74">
        <f t="shared" ca="1" si="14"/>
        <v>0.130505563592068</v>
      </c>
      <c r="AP67" s="74">
        <f t="shared" ca="1" si="14"/>
        <v>0.130505563592068</v>
      </c>
      <c r="AQ67" s="74">
        <f t="shared" ca="1" si="14"/>
        <v>0.130505563592068</v>
      </c>
      <c r="AR67" s="74">
        <f t="shared" ca="1" si="14"/>
        <v>0.130505563592068</v>
      </c>
      <c r="AS67" s="74">
        <f t="shared" ca="1" si="14"/>
        <v>0.130505563592068</v>
      </c>
      <c r="AT67" s="74">
        <f t="shared" ca="1" si="14"/>
        <v>0.130505563592068</v>
      </c>
      <c r="AU67" s="74">
        <f t="shared" ca="1" si="14"/>
        <v>0.130505563592068</v>
      </c>
    </row>
    <row r="68" spans="1:47" x14ac:dyDescent="0.3">
      <c r="A68" s="67" t="s">
        <v>2748</v>
      </c>
      <c r="B68" s="25"/>
      <c r="C68" s="48">
        <f>C5</f>
        <v>0</v>
      </c>
      <c r="D68" s="89"/>
      <c r="E68" s="48">
        <f ca="1">(C68)*(1+E67)+E5</f>
        <v>953.59006406992251</v>
      </c>
      <c r="F68" s="48">
        <f t="shared" ref="F68:AU68" ca="1" si="15">(E68)*(1+F67)+F5</f>
        <v>6479.7593714314607</v>
      </c>
      <c r="G68" s="48">
        <f t="shared" ca="1" si="15"/>
        <v>12834.731025354678</v>
      </c>
      <c r="H68" s="48">
        <f t="shared" ca="1" si="15"/>
        <v>22613.897248289992</v>
      </c>
      <c r="I68" s="48">
        <f t="shared" ca="1" si="15"/>
        <v>33854.607882661585</v>
      </c>
      <c r="J68" s="48">
        <f t="shared" ca="1" si="15"/>
        <v>46904.564424857708</v>
      </c>
      <c r="K68" s="48">
        <f t="shared" ca="1" si="15"/>
        <v>62742.25302397972</v>
      </c>
      <c r="L68" s="48">
        <f t="shared" ca="1" si="15"/>
        <v>79657.985248601326</v>
      </c>
      <c r="M68" s="48">
        <f t="shared" ca="1" si="15"/>
        <v>97496.987556468303</v>
      </c>
      <c r="N68" s="48">
        <f t="shared" ca="1" si="15"/>
        <v>116661.06846283266</v>
      </c>
      <c r="O68" s="48">
        <f t="shared" ca="1" si="15"/>
        <v>138240.99585319226</v>
      </c>
      <c r="P68" s="48">
        <f t="shared" ca="1" si="15"/>
        <v>162100.38317955096</v>
      </c>
      <c r="Q68" s="48">
        <f t="shared" ca="1" si="15"/>
        <v>188556.64175009952</v>
      </c>
      <c r="R68" s="48">
        <f t="shared" ca="1" si="15"/>
        <v>218092.60408465561</v>
      </c>
      <c r="S68" s="48">
        <f t="shared" ca="1" si="15"/>
        <v>251177.26572755355</v>
      </c>
      <c r="T68" s="48">
        <f t="shared" ca="1" si="15"/>
        <v>288418.52318211034</v>
      </c>
      <c r="U68" s="48">
        <f t="shared" ca="1" si="15"/>
        <v>329751.13014912925</v>
      </c>
      <c r="V68" s="48">
        <f t="shared" ca="1" si="15"/>
        <v>376911.87373192131</v>
      </c>
      <c r="W68" s="48">
        <f t="shared" ca="1" si="15"/>
        <v>430265.28709865827</v>
      </c>
      <c r="X68" s="48">
        <f t="shared" ca="1" si="15"/>
        <v>490684.78243682062</v>
      </c>
      <c r="Y68" s="48">
        <f t="shared" ca="1" si="15"/>
        <v>556408.39786178141</v>
      </c>
      <c r="Z68" s="48">
        <f t="shared" ca="1" si="15"/>
        <v>630573.13134278893</v>
      </c>
      <c r="AA68" s="48">
        <f t="shared" ca="1" si="15"/>
        <v>714265.11408853671</v>
      </c>
      <c r="AB68" s="48">
        <f t="shared" ca="1" si="15"/>
        <v>808798.73368079949</v>
      </c>
      <c r="AC68" s="48">
        <f t="shared" ca="1" si="15"/>
        <v>915603.75377939222</v>
      </c>
      <c r="AD68" s="48">
        <f t="shared" ca="1" si="15"/>
        <v>1036308.667446752</v>
      </c>
      <c r="AE68" s="48">
        <f t="shared" ca="1" si="15"/>
        <v>1172957.9033611221</v>
      </c>
      <c r="AF68" s="48">
        <f t="shared" ca="1" si="15"/>
        <v>1327297.4094330394</v>
      </c>
      <c r="AG68" s="48">
        <f t="shared" ca="1" si="15"/>
        <v>1501614.5790327496</v>
      </c>
      <c r="AH68" s="48">
        <f t="shared" ca="1" si="15"/>
        <v>1686714.0109229609</v>
      </c>
      <c r="AI68" s="48">
        <f t="shared" ca="1" si="15"/>
        <v>1906839.5735370994</v>
      </c>
      <c r="AJ68" s="48">
        <f t="shared" ca="1" si="15"/>
        <v>2155692.7467612172</v>
      </c>
      <c r="AK68" s="48">
        <f t="shared" ca="1" si="15"/>
        <v>2437022.6436086232</v>
      </c>
      <c r="AL68" s="48">
        <f t="shared" ca="1" si="15"/>
        <v>2755067.6571993981</v>
      </c>
      <c r="AM68" s="48">
        <f t="shared" ca="1" si="15"/>
        <v>3114619.314536484</v>
      </c>
      <c r="AN68" s="48">
        <f t="shared" ca="1" si="15"/>
        <v>3521094.4635548084</v>
      </c>
      <c r="AO68" s="48">
        <f t="shared" ca="1" si="15"/>
        <v>3980616.8809819389</v>
      </c>
      <c r="AP68" s="48">
        <f t="shared" ca="1" si="15"/>
        <v>4500109.5304785864</v>
      </c>
      <c r="AQ68" s="48">
        <f t="shared" ca="1" si="15"/>
        <v>5087398.8609797312</v>
      </c>
      <c r="AR68" s="48">
        <f t="shared" ca="1" si="15"/>
        <v>5751332.7165495362</v>
      </c>
      <c r="AS68" s="48">
        <f t="shared" ca="1" si="15"/>
        <v>6501913.6341283331</v>
      </c>
      <c r="AT68" s="48">
        <f t="shared" ca="1" si="15"/>
        <v>7350449.537377202</v>
      </c>
      <c r="AU68" s="48">
        <f t="shared" ca="1" si="15"/>
        <v>8309724.0969076687</v>
      </c>
    </row>
    <row r="69" spans="1:47" x14ac:dyDescent="0.3">
      <c r="A69" s="67" t="s">
        <v>2749</v>
      </c>
      <c r="B69" s="25"/>
      <c r="C69" s="48">
        <f>IF(C1&lt;$B$74,0,C68)</f>
        <v>0</v>
      </c>
      <c r="D69" s="89"/>
      <c r="E69" s="48">
        <f t="shared" ref="E69:AU69" si="16">IF(E1&lt;$B$74,0,E68)</f>
        <v>0</v>
      </c>
      <c r="F69" s="48">
        <f t="shared" si="16"/>
        <v>0</v>
      </c>
      <c r="G69" s="48">
        <f t="shared" si="16"/>
        <v>0</v>
      </c>
      <c r="H69" s="48">
        <f t="shared" si="16"/>
        <v>0</v>
      </c>
      <c r="I69" s="48">
        <f t="shared" si="16"/>
        <v>0</v>
      </c>
      <c r="J69" s="48">
        <f t="shared" si="16"/>
        <v>0</v>
      </c>
      <c r="K69" s="48">
        <f t="shared" ca="1" si="16"/>
        <v>62742.25302397972</v>
      </c>
      <c r="L69" s="48">
        <f t="shared" ca="1" si="16"/>
        <v>79657.985248601326</v>
      </c>
      <c r="M69" s="48">
        <f t="shared" ca="1" si="16"/>
        <v>97496.987556468303</v>
      </c>
      <c r="N69" s="48">
        <f t="shared" ca="1" si="16"/>
        <v>116661.06846283266</v>
      </c>
      <c r="O69" s="48">
        <f t="shared" ca="1" si="16"/>
        <v>138240.99585319226</v>
      </c>
      <c r="P69" s="48">
        <f t="shared" ca="1" si="16"/>
        <v>162100.38317955096</v>
      </c>
      <c r="Q69" s="48">
        <f t="shared" ca="1" si="16"/>
        <v>188556.64175009952</v>
      </c>
      <c r="R69" s="48">
        <f t="shared" ca="1" si="16"/>
        <v>218092.60408465561</v>
      </c>
      <c r="S69" s="48">
        <f t="shared" ca="1" si="16"/>
        <v>251177.26572755355</v>
      </c>
      <c r="T69" s="48">
        <f t="shared" ca="1" si="16"/>
        <v>288418.52318211034</v>
      </c>
      <c r="U69" s="48">
        <f t="shared" ca="1" si="16"/>
        <v>329751.13014912925</v>
      </c>
      <c r="V69" s="48">
        <f t="shared" ca="1" si="16"/>
        <v>376911.87373192131</v>
      </c>
      <c r="W69" s="48">
        <f t="shared" ca="1" si="16"/>
        <v>430265.28709865827</v>
      </c>
      <c r="X69" s="48">
        <f t="shared" ca="1" si="16"/>
        <v>490684.78243682062</v>
      </c>
      <c r="Y69" s="48">
        <f t="shared" ca="1" si="16"/>
        <v>556408.39786178141</v>
      </c>
      <c r="Z69" s="48">
        <f t="shared" ca="1" si="16"/>
        <v>630573.13134278893</v>
      </c>
      <c r="AA69" s="48">
        <f t="shared" ca="1" si="16"/>
        <v>714265.11408853671</v>
      </c>
      <c r="AB69" s="48">
        <f t="shared" ca="1" si="16"/>
        <v>808798.73368079949</v>
      </c>
      <c r="AC69" s="48">
        <f t="shared" ca="1" si="16"/>
        <v>915603.75377939222</v>
      </c>
      <c r="AD69" s="48">
        <f t="shared" ca="1" si="16"/>
        <v>1036308.667446752</v>
      </c>
      <c r="AE69" s="48">
        <f t="shared" ca="1" si="16"/>
        <v>1172957.9033611221</v>
      </c>
      <c r="AF69" s="48">
        <f t="shared" ca="1" si="16"/>
        <v>1327297.4094330394</v>
      </c>
      <c r="AG69" s="48">
        <f t="shared" ca="1" si="16"/>
        <v>1501614.5790327496</v>
      </c>
      <c r="AH69" s="48">
        <f t="shared" ca="1" si="16"/>
        <v>1686714.0109229609</v>
      </c>
      <c r="AI69" s="48">
        <f t="shared" ca="1" si="16"/>
        <v>1906839.5735370994</v>
      </c>
      <c r="AJ69" s="48">
        <f t="shared" ca="1" si="16"/>
        <v>2155692.7467612172</v>
      </c>
      <c r="AK69" s="48">
        <f t="shared" ca="1" si="16"/>
        <v>2437022.6436086232</v>
      </c>
      <c r="AL69" s="48">
        <f t="shared" ca="1" si="16"/>
        <v>2755067.6571993981</v>
      </c>
      <c r="AM69" s="48">
        <f t="shared" ca="1" si="16"/>
        <v>3114619.314536484</v>
      </c>
      <c r="AN69" s="48">
        <f t="shared" ca="1" si="16"/>
        <v>3521094.4635548084</v>
      </c>
      <c r="AO69" s="48">
        <f t="shared" ca="1" si="16"/>
        <v>3980616.8809819389</v>
      </c>
      <c r="AP69" s="48">
        <f t="shared" ca="1" si="16"/>
        <v>4500109.5304785864</v>
      </c>
      <c r="AQ69" s="48">
        <f t="shared" ca="1" si="16"/>
        <v>5087398.8609797312</v>
      </c>
      <c r="AR69" s="48">
        <f t="shared" ca="1" si="16"/>
        <v>5751332.7165495362</v>
      </c>
      <c r="AS69" s="48">
        <f t="shared" ca="1" si="16"/>
        <v>6501913.6341283331</v>
      </c>
      <c r="AT69" s="48">
        <f t="shared" ca="1" si="16"/>
        <v>7350449.537377202</v>
      </c>
      <c r="AU69" s="48">
        <f t="shared" ca="1" si="16"/>
        <v>8309724.0969076687</v>
      </c>
    </row>
    <row r="70" spans="1:47" x14ac:dyDescent="0.3">
      <c r="A70" s="34"/>
      <c r="B70" s="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1"/>
      <c r="AK70" s="1"/>
      <c r="AL70" s="1"/>
      <c r="AM70" s="1"/>
      <c r="AN70" s="1"/>
      <c r="AO70" s="1"/>
      <c r="AP70" s="1"/>
      <c r="AQ70" s="1"/>
      <c r="AR70" s="1"/>
      <c r="AS70" s="1"/>
      <c r="AT70" s="1"/>
      <c r="AU70" s="1"/>
    </row>
    <row r="71" spans="1:47" x14ac:dyDescent="0.3">
      <c r="A71" t="s">
        <v>2750</v>
      </c>
      <c r="B71" s="25"/>
      <c r="C71" s="89"/>
      <c r="D71" s="89"/>
      <c r="E71" s="48">
        <f t="shared" ref="E71:AU71" si="17">IF(E1&gt;$B$74,E5,E69)</f>
        <v>0</v>
      </c>
      <c r="F71" s="48">
        <f t="shared" si="17"/>
        <v>0</v>
      </c>
      <c r="G71" s="48">
        <f t="shared" si="17"/>
        <v>0</v>
      </c>
      <c r="H71" s="48">
        <f t="shared" si="17"/>
        <v>0</v>
      </c>
      <c r="I71" s="48">
        <f t="shared" si="17"/>
        <v>0</v>
      </c>
      <c r="J71" s="48">
        <f t="shared" si="17"/>
        <v>0</v>
      </c>
      <c r="K71" s="48">
        <f t="shared" ca="1" si="17"/>
        <v>62742.25302397972</v>
      </c>
      <c r="L71" s="48">
        <f t="shared" ca="1" si="17"/>
        <v>8710.8032305929246</v>
      </c>
      <c r="M71" s="48">
        <f t="shared" ca="1" si="17"/>
        <v>7421.9694269731235</v>
      </c>
      <c r="N71" s="48">
        <f t="shared" ca="1" si="17"/>
        <v>6414.2062767940379</v>
      </c>
      <c r="O71" s="48">
        <f t="shared" ca="1" si="17"/>
        <v>5706.7144424915705</v>
      </c>
      <c r="P71" s="48">
        <f t="shared" ca="1" si="17"/>
        <v>5049.9524890448365</v>
      </c>
      <c r="Q71" s="48">
        <f t="shared" ca="1" si="17"/>
        <v>4400.4525073649838</v>
      </c>
      <c r="R71" s="48">
        <f t="shared" ca="1" si="17"/>
        <v>3880.4478885544186</v>
      </c>
      <c r="S71" s="48">
        <f t="shared" ca="1" si="17"/>
        <v>3410.4061898568389</v>
      </c>
      <c r="T71" s="48">
        <f t="shared" ca="1" si="17"/>
        <v>3065.415598394482</v>
      </c>
      <c r="U71" s="48">
        <f t="shared" ca="1" si="17"/>
        <v>2089.6213086301491</v>
      </c>
      <c r="V71" s="48">
        <f t="shared" ca="1" si="17"/>
        <v>2293.9343067836007</v>
      </c>
      <c r="W71" s="48">
        <f t="shared" ca="1" si="17"/>
        <v>2069.7888195058449</v>
      </c>
      <c r="X71" s="48">
        <f t="shared" ca="1" si="17"/>
        <v>1876.4645209152982</v>
      </c>
      <c r="Y71" s="48">
        <f t="shared" ca="1" si="17"/>
        <v>1686.5213469922298</v>
      </c>
      <c r="Z71" s="48">
        <f t="shared" ca="1" si="17"/>
        <v>1550.3419306961885</v>
      </c>
      <c r="AA71" s="48">
        <f t="shared" ca="1" si="17"/>
        <v>1398.6808538419273</v>
      </c>
      <c r="AB71" s="48">
        <f t="shared" ca="1" si="17"/>
        <v>1318.0483239855553</v>
      </c>
      <c r="AC71" s="48">
        <f t="shared" ca="1" si="17"/>
        <v>1252.2855270291161</v>
      </c>
      <c r="AD71" s="48">
        <f t="shared" ca="1" si="17"/>
        <v>1213.5297533670123</v>
      </c>
      <c r="AE71" s="48">
        <f t="shared" ca="1" si="17"/>
        <v>1405.1892138867518</v>
      </c>
      <c r="AF71" s="48">
        <f t="shared" ca="1" si="17"/>
        <v>1261.9738240033789</v>
      </c>
      <c r="AG71" s="48">
        <f t="shared" ca="1" si="17"/>
        <v>1097.4731273595442</v>
      </c>
      <c r="AH71" s="48">
        <f t="shared" ca="1" si="17"/>
        <v>-10869.625044523464</v>
      </c>
      <c r="AI71" s="48">
        <f t="shared" ca="1" si="17"/>
        <v>0</v>
      </c>
      <c r="AJ71" s="48">
        <f t="shared" ca="1" si="17"/>
        <v>0</v>
      </c>
      <c r="AK71" s="48">
        <f t="shared" ca="1" si="17"/>
        <v>0</v>
      </c>
      <c r="AL71" s="48">
        <f t="shared" ca="1" si="17"/>
        <v>0</v>
      </c>
      <c r="AM71" s="48">
        <f t="shared" ca="1" si="17"/>
        <v>0</v>
      </c>
      <c r="AN71" s="48">
        <f t="shared" ca="1" si="17"/>
        <v>0</v>
      </c>
      <c r="AO71" s="48">
        <f t="shared" ca="1" si="17"/>
        <v>0</v>
      </c>
      <c r="AP71" s="48">
        <f t="shared" ca="1" si="17"/>
        <v>0</v>
      </c>
      <c r="AQ71" s="48">
        <f t="shared" ca="1" si="17"/>
        <v>0</v>
      </c>
      <c r="AR71" s="48">
        <f t="shared" ca="1" si="17"/>
        <v>0</v>
      </c>
      <c r="AS71" s="48">
        <f t="shared" ca="1" si="17"/>
        <v>0</v>
      </c>
      <c r="AT71" s="48">
        <f t="shared" ca="1" si="17"/>
        <v>0</v>
      </c>
      <c r="AU71" s="48">
        <f t="shared" ca="1" si="17"/>
        <v>0</v>
      </c>
    </row>
    <row r="72" spans="1:47" x14ac:dyDescent="0.3">
      <c r="A72" t="s">
        <v>2751</v>
      </c>
      <c r="B72" s="25"/>
      <c r="C72" s="89"/>
      <c r="D72" s="89"/>
      <c r="E72" s="48">
        <f t="shared" ref="E72:AU72" ca="1" si="18">E71/(1+E24)</f>
        <v>0</v>
      </c>
      <c r="F72" s="48">
        <f t="shared" ca="1" si="18"/>
        <v>0</v>
      </c>
      <c r="G72" s="48">
        <f t="shared" ca="1" si="18"/>
        <v>0</v>
      </c>
      <c r="H72" s="48">
        <f t="shared" ca="1" si="18"/>
        <v>0</v>
      </c>
      <c r="I72" s="48">
        <f t="shared" ca="1" si="18"/>
        <v>0</v>
      </c>
      <c r="J72" s="48">
        <f t="shared" ca="1" si="18"/>
        <v>0</v>
      </c>
      <c r="K72" s="48">
        <f t="shared" ca="1" si="18"/>
        <v>27152.041191696582</v>
      </c>
      <c r="L72" s="48">
        <f t="shared" ca="1" si="18"/>
        <v>3363.4371029235713</v>
      </c>
      <c r="M72" s="48">
        <f t="shared" ca="1" si="18"/>
        <v>2556.9780585176795</v>
      </c>
      <c r="N72" s="48">
        <f t="shared" ca="1" si="18"/>
        <v>1971.6666741908589</v>
      </c>
      <c r="O72" s="48">
        <f t="shared" ca="1" si="18"/>
        <v>1557.8088440275114</v>
      </c>
      <c r="P72" s="48">
        <f t="shared" ca="1" si="18"/>
        <v>1224.2011016236656</v>
      </c>
      <c r="Q72" s="48">
        <f t="shared" ca="1" si="18"/>
        <v>947.32775617078562</v>
      </c>
      <c r="R72" s="48">
        <f t="shared" ca="1" si="18"/>
        <v>741.8604688190328</v>
      </c>
      <c r="S72" s="48">
        <f t="shared" ca="1" si="18"/>
        <v>579.00715715894103</v>
      </c>
      <c r="T72" s="48">
        <f t="shared" ca="1" si="18"/>
        <v>462.17307112420178</v>
      </c>
      <c r="U72" s="48">
        <f t="shared" ca="1" si="18"/>
        <v>279.78234946021797</v>
      </c>
      <c r="V72" s="48">
        <f t="shared" ca="1" si="18"/>
        <v>272.75401436633479</v>
      </c>
      <c r="W72" s="48">
        <f t="shared" ca="1" si="18"/>
        <v>218.55143456088695</v>
      </c>
      <c r="X72" s="48">
        <f t="shared" ca="1" si="18"/>
        <v>175.95654770318717</v>
      </c>
      <c r="Y72" s="48">
        <f t="shared" ca="1" si="18"/>
        <v>141.13765597468748</v>
      </c>
      <c r="Z72" s="48">
        <f t="shared" ca="1" si="18"/>
        <v>115.78826160297773</v>
      </c>
      <c r="AA72" s="48">
        <f t="shared" ca="1" si="18"/>
        <v>93.226988014775017</v>
      </c>
      <c r="AB72" s="48">
        <f t="shared" ca="1" si="18"/>
        <v>78.404382583545271</v>
      </c>
      <c r="AC72" s="48">
        <f t="shared" ca="1" si="18"/>
        <v>66.481123481149936</v>
      </c>
      <c r="AD72" s="48">
        <f t="shared" ca="1" si="18"/>
        <v>57.495175016728517</v>
      </c>
      <c r="AE72" s="48">
        <f t="shared" ca="1" si="18"/>
        <v>59.415774376612092</v>
      </c>
      <c r="AF72" s="48">
        <f t="shared" ca="1" si="18"/>
        <v>47.62152334676037</v>
      </c>
      <c r="AG72" s="48">
        <f t="shared" ca="1" si="18"/>
        <v>36.960072516036924</v>
      </c>
      <c r="AH72" s="48">
        <f t="shared" ca="1" si="18"/>
        <v>-326.6927265380229</v>
      </c>
      <c r="AI72" s="48">
        <f t="shared" ca="1" si="18"/>
        <v>0</v>
      </c>
      <c r="AJ72" s="48">
        <f t="shared" ca="1" si="18"/>
        <v>0</v>
      </c>
      <c r="AK72" s="48">
        <f t="shared" ca="1" si="18"/>
        <v>0</v>
      </c>
      <c r="AL72" s="48">
        <f t="shared" ca="1" si="18"/>
        <v>0</v>
      </c>
      <c r="AM72" s="48">
        <f t="shared" ca="1" si="18"/>
        <v>0</v>
      </c>
      <c r="AN72" s="48">
        <f t="shared" ca="1" si="18"/>
        <v>0</v>
      </c>
      <c r="AO72" s="48">
        <f t="shared" ca="1" si="18"/>
        <v>0</v>
      </c>
      <c r="AP72" s="48">
        <f t="shared" ca="1" si="18"/>
        <v>0</v>
      </c>
      <c r="AQ72" s="48">
        <f t="shared" ca="1" si="18"/>
        <v>0</v>
      </c>
      <c r="AR72" s="48">
        <f t="shared" ca="1" si="18"/>
        <v>0</v>
      </c>
      <c r="AS72" s="48">
        <f t="shared" ca="1" si="18"/>
        <v>0</v>
      </c>
      <c r="AT72" s="48">
        <f t="shared" ca="1" si="18"/>
        <v>0</v>
      </c>
      <c r="AU72" s="48">
        <f t="shared" ca="1" si="18"/>
        <v>0</v>
      </c>
    </row>
    <row r="73" spans="1:47" x14ac:dyDescent="0.3">
      <c r="C73" s="89"/>
    </row>
    <row r="74" spans="1:47" x14ac:dyDescent="0.3">
      <c r="A74" t="s">
        <v>707</v>
      </c>
      <c r="B74" s="221">
        <v>2030</v>
      </c>
    </row>
    <row r="76" spans="1:47" x14ac:dyDescent="0.3">
      <c r="A76" s="34" t="s">
        <v>19</v>
      </c>
      <c r="B76" s="61">
        <f ca="1">SUM(E72:AJ72,C72)</f>
        <v>41873.384002718703</v>
      </c>
    </row>
    <row r="77" spans="1:47" x14ac:dyDescent="0.3">
      <c r="A77" t="s">
        <v>20</v>
      </c>
      <c r="B77" s="55">
        <v>847012709</v>
      </c>
    </row>
    <row r="78" spans="1:47" x14ac:dyDescent="0.3">
      <c r="A78" s="34" t="s">
        <v>21</v>
      </c>
      <c r="B78" s="61">
        <f ca="1">B76*10^6/B77</f>
        <v>49.436547477729412</v>
      </c>
    </row>
    <row r="79" spans="1:47" x14ac:dyDescent="0.3">
      <c r="A79" s="34" t="s">
        <v>72</v>
      </c>
      <c r="B79" s="60">
        <f>B30</f>
        <v>47.8</v>
      </c>
    </row>
    <row r="80" spans="1:47" x14ac:dyDescent="0.3">
      <c r="A80" s="217" t="s">
        <v>668</v>
      </c>
      <c r="B80" s="214">
        <f ca="1">B78/B29-1</f>
        <v>1.5048514209870856E-2</v>
      </c>
    </row>
    <row r="84" spans="1:6" ht="61.2" customHeight="1" x14ac:dyDescent="0.3">
      <c r="A84" t="s">
        <v>705</v>
      </c>
      <c r="B84" s="155">
        <f ca="1">B78</f>
        <v>49.436547477729412</v>
      </c>
      <c r="C84" s="101" t="s">
        <v>551</v>
      </c>
      <c r="D84" s="101" t="s">
        <v>591</v>
      </c>
      <c r="E84" s="101" t="s">
        <v>552</v>
      </c>
      <c r="F84" s="101" t="s">
        <v>670</v>
      </c>
    </row>
    <row r="85" spans="1:6" x14ac:dyDescent="0.3">
      <c r="A85" t="s">
        <v>706</v>
      </c>
      <c r="B85" s="163">
        <v>-0.05</v>
      </c>
      <c r="C85" s="164">
        <v>34.578443825334425</v>
      </c>
      <c r="D85" s="164">
        <v>45.369265207528386</v>
      </c>
      <c r="E85" s="164">
        <v>53.735456618946785</v>
      </c>
      <c r="F85" s="165">
        <f t="shared" ref="F85:F95" si="19">E85-C85</f>
        <v>19.15701279361236</v>
      </c>
    </row>
    <row r="86" spans="1:6" x14ac:dyDescent="0.3">
      <c r="B86" s="156">
        <f>B85+1%</f>
        <v>-0.04</v>
      </c>
      <c r="C86" s="140">
        <v>35.117495722720626</v>
      </c>
      <c r="D86" s="140">
        <v>46.016424912990381</v>
      </c>
      <c r="E86" s="140">
        <v>54.455715569848664</v>
      </c>
      <c r="F86" s="166">
        <f t="shared" si="19"/>
        <v>19.338219847128038</v>
      </c>
    </row>
    <row r="87" spans="1:6" x14ac:dyDescent="0.3">
      <c r="B87" s="163">
        <f t="shared" ref="B87:B95" si="20">B86+1%</f>
        <v>-0.03</v>
      </c>
      <c r="C87" s="164">
        <v>35.670887614400257</v>
      </c>
      <c r="D87" s="164">
        <v>46.680073816644629</v>
      </c>
      <c r="E87" s="164">
        <v>55.194048941181151</v>
      </c>
      <c r="F87" s="165">
        <f t="shared" si="19"/>
        <v>19.523161326780894</v>
      </c>
    </row>
    <row r="88" spans="1:6" x14ac:dyDescent="0.3">
      <c r="B88" s="156">
        <f t="shared" si="20"/>
        <v>-1.9999999999999997E-2</v>
      </c>
      <c r="C88" s="140">
        <v>36.238954652566555</v>
      </c>
      <c r="D88" s="140">
        <v>47.360581516987537</v>
      </c>
      <c r="E88" s="140">
        <v>55.950853619164491</v>
      </c>
      <c r="F88" s="166">
        <f t="shared" si="19"/>
        <v>19.711898966597936</v>
      </c>
    </row>
    <row r="89" spans="1:6" x14ac:dyDescent="0.3">
      <c r="B89" s="163">
        <f t="shared" si="20"/>
        <v>-9.9999999999999967E-3</v>
      </c>
      <c r="C89" s="164">
        <v>36.822038031475032</v>
      </c>
      <c r="D89" s="164">
        <v>48.058324009793708</v>
      </c>
      <c r="E89" s="164">
        <v>56.726533186377651</v>
      </c>
      <c r="F89" s="165">
        <f t="shared" si="19"/>
        <v>19.904495154902619</v>
      </c>
    </row>
    <row r="90" spans="1:6" x14ac:dyDescent="0.3">
      <c r="B90" s="156">
        <f t="shared" si="20"/>
        <v>0</v>
      </c>
      <c r="C90" s="140">
        <v>37.420485058114963</v>
      </c>
      <c r="D90" s="140">
        <v>48.773683759879461</v>
      </c>
      <c r="E90" s="140">
        <v>57.521497994324179</v>
      </c>
      <c r="F90" s="166">
        <f t="shared" si="19"/>
        <v>20.101012936209216</v>
      </c>
    </row>
    <row r="91" spans="1:6" x14ac:dyDescent="0.3">
      <c r="B91" s="163">
        <f t="shared" si="20"/>
        <v>0.01</v>
      </c>
      <c r="C91" s="164">
        <v>38.034649223245879</v>
      </c>
      <c r="D91" s="164">
        <v>49.507049773218057</v>
      </c>
      <c r="E91" s="164">
        <v>58.336165236332903</v>
      </c>
      <c r="F91" s="165">
        <f t="shared" si="19"/>
        <v>20.301516013087024</v>
      </c>
    </row>
    <row r="92" spans="1:6" x14ac:dyDescent="0.3">
      <c r="B92" s="156">
        <f t="shared" si="20"/>
        <v>0.02</v>
      </c>
      <c r="C92" s="140">
        <v>38.66489027279902</v>
      </c>
      <c r="D92" s="140">
        <v>50.258817669406369</v>
      </c>
      <c r="E92" s="140">
        <v>59.170959020793077</v>
      </c>
      <c r="F92" s="166">
        <f t="shared" si="19"/>
        <v>20.506068747994057</v>
      </c>
    </row>
    <row r="93" spans="1:6" x14ac:dyDescent="0.3">
      <c r="B93" s="163">
        <f t="shared" si="20"/>
        <v>0.03</v>
      </c>
      <c r="C93" s="164">
        <v>39.311574279643871</v>
      </c>
      <c r="D93" s="164">
        <v>51.029389754483276</v>
      </c>
      <c r="E93" s="164">
        <v>60.026310444724423</v>
      </c>
      <c r="F93" s="165">
        <f t="shared" si="19"/>
        <v>20.714736165080552</v>
      </c>
    </row>
    <row r="94" spans="1:6" x14ac:dyDescent="0.3">
      <c r="B94" s="156">
        <f t="shared" si="20"/>
        <v>0.04</v>
      </c>
      <c r="C94" s="140">
        <v>39.975073715719624</v>
      </c>
      <c r="D94" s="140">
        <v>51.819175094099357</v>
      </c>
      <c r="E94" s="140">
        <v>60.902657667681616</v>
      </c>
      <c r="F94" s="166">
        <f t="shared" si="19"/>
        <v>20.927583951961992</v>
      </c>
    </row>
    <row r="95" spans="1:6" x14ac:dyDescent="0.3">
      <c r="B95" s="163">
        <f t="shared" si="20"/>
        <v>0.05</v>
      </c>
      <c r="C95" s="164">
        <v>40.655767524531598</v>
      </c>
      <c r="D95" s="164">
        <v>52.628589587038505</v>
      </c>
      <c r="E95" s="164">
        <v>61.800445985993555</v>
      </c>
      <c r="F95" s="165">
        <f t="shared" si="19"/>
        <v>21.144678461461957</v>
      </c>
    </row>
    <row r="96" spans="1:6" ht="39.6" x14ac:dyDescent="0.3">
      <c r="B96" s="156" t="s">
        <v>670</v>
      </c>
      <c r="C96" s="166">
        <f>C95-C85</f>
        <v>6.0773236991971729</v>
      </c>
      <c r="D96" s="166">
        <f>D95-D85</f>
        <v>7.2593243795101188</v>
      </c>
      <c r="E96" s="166">
        <f>E95-E85</f>
        <v>8.0649893670467705</v>
      </c>
      <c r="F96" s="166"/>
    </row>
    <row r="98" spans="1:47" s="45" customFormat="1" x14ac:dyDescent="0.3">
      <c r="A98" s="45" t="s">
        <v>2746</v>
      </c>
    </row>
    <row r="100" spans="1:47" x14ac:dyDescent="0.3">
      <c r="A100" t="s">
        <v>2753</v>
      </c>
    </row>
    <row r="101" spans="1:47" x14ac:dyDescent="0.3">
      <c r="A101" s="34" t="s">
        <v>2735</v>
      </c>
      <c r="B101" s="214">
        <f>'Ke Alternativo'!$S$8</f>
        <v>0.19486232829064506</v>
      </c>
    </row>
    <row r="103" spans="1:47" x14ac:dyDescent="0.3">
      <c r="A103" s="38" t="s">
        <v>2752</v>
      </c>
      <c r="E103" s="48">
        <f ca="1">E5</f>
        <v>953.59006406992251</v>
      </c>
      <c r="F103" s="48">
        <f t="shared" ref="F103:AU103" ca="1" si="21">F5</f>
        <v>5389.4066413078963</v>
      </c>
      <c r="G103" s="48">
        <f t="shared" ca="1" si="21"/>
        <v>5475.0390644567333</v>
      </c>
      <c r="H103" s="48">
        <f t="shared" ca="1" si="21"/>
        <v>8046.28666110215</v>
      </c>
      <c r="I103" s="48">
        <f t="shared" ca="1" si="21"/>
        <v>8213.4534465247834</v>
      </c>
      <c r="J103" s="48">
        <f t="shared" ca="1" si="21"/>
        <v>8602.7799619174202</v>
      </c>
      <c r="K103" s="48">
        <f t="shared" ca="1" si="21"/>
        <v>9676.256124660229</v>
      </c>
      <c r="L103" s="48">
        <f t="shared" ca="1" si="21"/>
        <v>8710.8032305929246</v>
      </c>
      <c r="M103" s="48">
        <f t="shared" ca="1" si="21"/>
        <v>7421.9694269731235</v>
      </c>
      <c r="N103" s="48">
        <f t="shared" ca="1" si="21"/>
        <v>6414.2062767940379</v>
      </c>
      <c r="O103" s="48">
        <f t="shared" ca="1" si="21"/>
        <v>5706.7144424915705</v>
      </c>
      <c r="P103" s="48">
        <f t="shared" ca="1" si="21"/>
        <v>5049.9524890448365</v>
      </c>
      <c r="Q103" s="48">
        <f t="shared" ca="1" si="21"/>
        <v>4400.4525073649838</v>
      </c>
      <c r="R103" s="48">
        <f t="shared" ca="1" si="21"/>
        <v>3880.4478885544186</v>
      </c>
      <c r="S103" s="48">
        <f t="shared" ca="1" si="21"/>
        <v>3410.4061898568389</v>
      </c>
      <c r="T103" s="48">
        <f t="shared" ca="1" si="21"/>
        <v>3065.415598394482</v>
      </c>
      <c r="U103" s="48">
        <f t="shared" ca="1" si="21"/>
        <v>2089.6213086301491</v>
      </c>
      <c r="V103" s="48">
        <f t="shared" ca="1" si="21"/>
        <v>2293.9343067836007</v>
      </c>
      <c r="W103" s="48">
        <f t="shared" ca="1" si="21"/>
        <v>2069.7888195058449</v>
      </c>
      <c r="X103" s="48">
        <f t="shared" ca="1" si="21"/>
        <v>1876.4645209152982</v>
      </c>
      <c r="Y103" s="48">
        <f t="shared" ca="1" si="21"/>
        <v>1686.5213469922298</v>
      </c>
      <c r="Z103" s="48">
        <f t="shared" ca="1" si="21"/>
        <v>1550.3419306961885</v>
      </c>
      <c r="AA103" s="48">
        <f t="shared" ca="1" si="21"/>
        <v>1398.6808538419273</v>
      </c>
      <c r="AB103" s="48">
        <f t="shared" ca="1" si="21"/>
        <v>1318.0483239855553</v>
      </c>
      <c r="AC103" s="48">
        <f t="shared" ca="1" si="21"/>
        <v>1252.2855270291161</v>
      </c>
      <c r="AD103" s="48">
        <f t="shared" ca="1" si="21"/>
        <v>1213.5297533670123</v>
      </c>
      <c r="AE103" s="48">
        <f t="shared" ca="1" si="21"/>
        <v>1405.1892138867518</v>
      </c>
      <c r="AF103" s="48">
        <f t="shared" ca="1" si="21"/>
        <v>1261.9738240033789</v>
      </c>
      <c r="AG103" s="48">
        <f t="shared" ca="1" si="21"/>
        <v>1097.4731273595442</v>
      </c>
      <c r="AH103" s="48">
        <f t="shared" ca="1" si="21"/>
        <v>-10869.625044523464</v>
      </c>
      <c r="AI103" s="48">
        <f t="shared" ca="1" si="21"/>
        <v>0</v>
      </c>
      <c r="AJ103" s="48">
        <f t="shared" ca="1" si="21"/>
        <v>0</v>
      </c>
      <c r="AK103" s="48">
        <f t="shared" ca="1" si="21"/>
        <v>0</v>
      </c>
      <c r="AL103" s="48">
        <f t="shared" ca="1" si="21"/>
        <v>0</v>
      </c>
      <c r="AM103" s="48">
        <f t="shared" ca="1" si="21"/>
        <v>0</v>
      </c>
      <c r="AN103" s="48">
        <f t="shared" ca="1" si="21"/>
        <v>0</v>
      </c>
      <c r="AO103" s="48">
        <f t="shared" ca="1" si="21"/>
        <v>0</v>
      </c>
      <c r="AP103" s="48">
        <f t="shared" ca="1" si="21"/>
        <v>0</v>
      </c>
      <c r="AQ103" s="48">
        <f t="shared" ca="1" si="21"/>
        <v>0</v>
      </c>
      <c r="AR103" s="48">
        <f t="shared" ca="1" si="21"/>
        <v>0</v>
      </c>
      <c r="AS103" s="48">
        <f t="shared" ca="1" si="21"/>
        <v>0</v>
      </c>
      <c r="AT103" s="48">
        <f t="shared" ca="1" si="21"/>
        <v>0</v>
      </c>
      <c r="AU103" s="48">
        <f t="shared" ca="1" si="21"/>
        <v>0</v>
      </c>
    </row>
    <row r="104" spans="1:47" x14ac:dyDescent="0.3">
      <c r="A104" s="34" t="s">
        <v>528</v>
      </c>
      <c r="E104" s="214">
        <f>B101</f>
        <v>0.19486232829064506</v>
      </c>
      <c r="F104" s="214">
        <f>(1+E104)*(1+$B$101)-1</f>
        <v>0.42769598356814109</v>
      </c>
      <c r="G104" s="214">
        <f t="shared" ref="G104:AU104" si="22">(1+F104)*(1+$B$101)-1</f>
        <v>0.70590014701743153</v>
      </c>
      <c r="H104" s="214">
        <f t="shared" si="22"/>
        <v>1.0383158214966017</v>
      </c>
      <c r="I104" s="214">
        <f t="shared" si="22"/>
        <v>1.435506788265088</v>
      </c>
      <c r="J104" s="214">
        <f t="shared" si="22"/>
        <v>1.9100953115940942</v>
      </c>
      <c r="K104" s="214">
        <f t="shared" si="22"/>
        <v>2.4771632595590094</v>
      </c>
      <c r="L104" s="214">
        <f t="shared" si="22"/>
        <v>3.1547313881633663</v>
      </c>
      <c r="M104" s="214">
        <f t="shared" si="22"/>
        <v>3.9643320198831029</v>
      </c>
      <c r="N104" s="214">
        <f t="shared" si="22"/>
        <v>4.9316933156853251</v>
      </c>
      <c r="O104" s="214">
        <f t="shared" si="22"/>
        <v>6.0875568858858236</v>
      </c>
      <c r="P104" s="214">
        <f t="shared" si="22"/>
        <v>7.4686547225619275</v>
      </c>
      <c r="Q104" s="214">
        <f t="shared" si="22"/>
        <v>9.118876499289911</v>
      </c>
      <c r="R104" s="214">
        <f t="shared" si="22"/>
        <v>11.090664333627034</v>
      </c>
      <c r="S104" s="214">
        <f t="shared" si="22"/>
        <v>13.446679336258256</v>
      </c>
      <c r="T104" s="214">
        <f t="shared" si="22"/>
        <v>16.261792907789889</v>
      </c>
      <c r="U104" s="214">
        <f t="shared" si="22"/>
        <v>19.625466064272771</v>
      </c>
      <c r="V104" s="214">
        <f t="shared" si="22"/>
        <v>23.644592403636651</v>
      </c>
      <c r="W104" s="214">
        <f t="shared" si="22"/>
        <v>28.44689505918323</v>
      </c>
      <c r="X104" s="214">
        <f t="shared" si="22"/>
        <v>34.184985591345963</v>
      </c>
      <c r="Y104" s="214">
        <f t="shared" si="22"/>
        <v>41.041213804548434</v>
      </c>
      <c r="Z104" s="214">
        <f t="shared" si="22"/>
        <v>49.233462610667544</v>
      </c>
      <c r="AA104" s="214">
        <f t="shared" si="22"/>
        <v>59.022072093083281</v>
      </c>
      <c r="AB104" s="214">
        <f t="shared" si="22"/>
        <v>70.718112809970435</v>
      </c>
      <c r="AC104" s="214">
        <f t="shared" si="22"/>
        <v>84.693271252732401</v>
      </c>
      <c r="AD104" s="214">
        <f t="shared" si="22"/>
        <v>101.39166160788163</v>
      </c>
      <c r="AE104" s="214">
        <f t="shared" si="22"/>
        <v>121.34393918634129</v>
      </c>
      <c r="AF104" s="214">
        <f t="shared" si="22"/>
        <v>145.18416402844082</v>
      </c>
      <c r="AG104" s="214">
        <f t="shared" si="22"/>
        <v>173.66995059024435</v>
      </c>
      <c r="AH104" s="214">
        <f t="shared" si="22"/>
        <v>207.7065438446713</v>
      </c>
      <c r="AI104" s="214">
        <f t="shared" si="22"/>
        <v>248.37558690773753</v>
      </c>
      <c r="AJ104" s="214">
        <f t="shared" si="22"/>
        <v>296.96949439142537</v>
      </c>
      <c r="AK104" s="214">
        <f t="shared" si="22"/>
        <v>355.03252382812479</v>
      </c>
      <c r="AL104" s="214">
        <f t="shared" si="22"/>
        <v>424.40985036846774</v>
      </c>
      <c r="AM104" s="214">
        <f t="shared" si="22"/>
        <v>507.30620428904228</v>
      </c>
      <c r="AN104" s="214">
        <f t="shared" si="22"/>
        <v>606.35593474138534</v>
      </c>
      <c r="AO104" s="214">
        <f t="shared" si="22"/>
        <v>724.70672628623277</v>
      </c>
      <c r="AP104" s="214">
        <f t="shared" si="22"/>
        <v>866.11962862654991</v>
      </c>
      <c r="AQ104" s="214">
        <f t="shared" si="22"/>
        <v>1035.0885783672388</v>
      </c>
      <c r="AR104" s="214">
        <f t="shared" si="22"/>
        <v>1236.9832110632233</v>
      </c>
      <c r="AS104" s="214">
        <f t="shared" si="22"/>
        <v>1478.2195019557319</v>
      </c>
      <c r="AT104" s="214">
        <f t="shared" si="22"/>
        <v>1766.463658159754</v>
      </c>
      <c r="AU104" s="214">
        <f t="shared" si="22"/>
        <v>2110.8757417578645</v>
      </c>
    </row>
    <row r="105" spans="1:47" x14ac:dyDescent="0.3">
      <c r="A105" s="34" t="s">
        <v>2747</v>
      </c>
      <c r="E105" s="48">
        <f ca="1">E103/(1+E104)</f>
        <v>798.07526063200646</v>
      </c>
      <c r="F105" s="48">
        <f t="shared" ref="F105:AU105" ca="1" si="23">F103/(1+F104)</f>
        <v>3774.8979497991777</v>
      </c>
      <c r="G105" s="48">
        <f t="shared" ca="1" si="23"/>
        <v>3209.4721804375267</v>
      </c>
      <c r="H105" s="48">
        <f t="shared" ca="1" si="23"/>
        <v>3947.5171493268836</v>
      </c>
      <c r="I105" s="48">
        <f t="shared" ca="1" si="23"/>
        <v>3372.3796156509852</v>
      </c>
      <c r="J105" s="48">
        <f t="shared" ca="1" si="23"/>
        <v>2956.1849495592578</v>
      </c>
      <c r="K105" s="48">
        <f t="shared" ca="1" si="23"/>
        <v>2782.8017847765418</v>
      </c>
      <c r="L105" s="48">
        <f t="shared" ca="1" si="23"/>
        <v>2096.5984119718528</v>
      </c>
      <c r="M105" s="48">
        <f t="shared" ca="1" si="23"/>
        <v>1495.059032564041</v>
      </c>
      <c r="N105" s="48">
        <f t="shared" ca="1" si="23"/>
        <v>1081.3448935117383</v>
      </c>
      <c r="O105" s="48">
        <f t="shared" ca="1" si="23"/>
        <v>805.17370574561937</v>
      </c>
      <c r="P105" s="48">
        <f t="shared" ca="1" si="23"/>
        <v>596.31106173108105</v>
      </c>
      <c r="Q105" s="48">
        <f t="shared" ca="1" si="23"/>
        <v>434.87560181940989</v>
      </c>
      <c r="R105" s="48">
        <f t="shared" ca="1" si="23"/>
        <v>320.94579598591315</v>
      </c>
      <c r="S105" s="48">
        <f t="shared" ca="1" si="23"/>
        <v>236.06851861779793</v>
      </c>
      <c r="T105" s="48">
        <f t="shared" ca="1" si="23"/>
        <v>177.5838474467576</v>
      </c>
      <c r="U105" s="48">
        <f t="shared" ca="1" si="23"/>
        <v>101.31268317130397</v>
      </c>
      <c r="V105" s="48">
        <f t="shared" ca="1" si="23"/>
        <v>93.080634859479318</v>
      </c>
      <c r="W105" s="48">
        <f t="shared" ca="1" si="23"/>
        <v>70.288864593225284</v>
      </c>
      <c r="X105" s="48">
        <f t="shared" ca="1" si="23"/>
        <v>53.331399441494447</v>
      </c>
      <c r="Y105" s="48">
        <f t="shared" ca="1" si="23"/>
        <v>40.115905188488284</v>
      </c>
      <c r="Z105" s="48">
        <f t="shared" ca="1" si="23"/>
        <v>30.862732730810375</v>
      </c>
      <c r="AA105" s="48">
        <f t="shared" ca="1" si="23"/>
        <v>23.302775213638551</v>
      </c>
      <c r="AB105" s="48">
        <f t="shared" ca="1" si="23"/>
        <v>18.378179128582939</v>
      </c>
      <c r="AC105" s="48">
        <f t="shared" ca="1" si="23"/>
        <v>14.613580608164565</v>
      </c>
      <c r="AD105" s="48">
        <f t="shared" ca="1" si="23"/>
        <v>11.851841588569361</v>
      </c>
      <c r="AE105" s="48">
        <f t="shared" ca="1" si="23"/>
        <v>11.485564575017621</v>
      </c>
      <c r="AF105" s="48">
        <f t="shared" ca="1" si="23"/>
        <v>8.632766978493347</v>
      </c>
      <c r="AG105" s="48">
        <f t="shared" ca="1" si="23"/>
        <v>6.2831249659770618</v>
      </c>
      <c r="AH105" s="48">
        <f t="shared" ca="1" si="23"/>
        <v>-52.080901941498887</v>
      </c>
      <c r="AI105" s="48">
        <f t="shared" ca="1" si="23"/>
        <v>0</v>
      </c>
      <c r="AJ105" s="48">
        <f t="shared" ca="1" si="23"/>
        <v>0</v>
      </c>
      <c r="AK105" s="48">
        <f t="shared" ca="1" si="23"/>
        <v>0</v>
      </c>
      <c r="AL105" s="48">
        <f t="shared" ca="1" si="23"/>
        <v>0</v>
      </c>
      <c r="AM105" s="48">
        <f t="shared" ca="1" si="23"/>
        <v>0</v>
      </c>
      <c r="AN105" s="48">
        <f t="shared" ca="1" si="23"/>
        <v>0</v>
      </c>
      <c r="AO105" s="48">
        <f t="shared" ca="1" si="23"/>
        <v>0</v>
      </c>
      <c r="AP105" s="48">
        <f t="shared" ca="1" si="23"/>
        <v>0</v>
      </c>
      <c r="AQ105" s="48">
        <f t="shared" ca="1" si="23"/>
        <v>0</v>
      </c>
      <c r="AR105" s="48">
        <f t="shared" ca="1" si="23"/>
        <v>0</v>
      </c>
      <c r="AS105" s="48">
        <f t="shared" ca="1" si="23"/>
        <v>0</v>
      </c>
      <c r="AT105" s="48">
        <f t="shared" ca="1" si="23"/>
        <v>0</v>
      </c>
      <c r="AU105" s="48">
        <f t="shared" ca="1" si="23"/>
        <v>0</v>
      </c>
    </row>
    <row r="106" spans="1:47" x14ac:dyDescent="0.3">
      <c r="A106" s="34"/>
    </row>
    <row r="107" spans="1:47" x14ac:dyDescent="0.3">
      <c r="A107" s="34" t="s">
        <v>19</v>
      </c>
      <c r="B107" s="61">
        <f ca="1">SUM(E105:AU105,C105)</f>
        <v>28516.748910678336</v>
      </c>
    </row>
    <row r="108" spans="1:47" x14ac:dyDescent="0.3">
      <c r="A108" t="s">
        <v>702</v>
      </c>
      <c r="B108" s="55">
        <v>847012709</v>
      </c>
    </row>
    <row r="109" spans="1:47" x14ac:dyDescent="0.3">
      <c r="A109" s="34" t="s">
        <v>21</v>
      </c>
      <c r="B109" s="61">
        <f ca="1">B107*10^6/B108</f>
        <v>33.66743923399423</v>
      </c>
    </row>
    <row r="110" spans="1:47" x14ac:dyDescent="0.3">
      <c r="A110" s="34" t="s">
        <v>1183</v>
      </c>
      <c r="B110" s="60">
        <v>47.8</v>
      </c>
    </row>
    <row r="111" spans="1:47" x14ac:dyDescent="0.3">
      <c r="A111" s="217" t="s">
        <v>73</v>
      </c>
      <c r="B111" s="214">
        <f ca="1">B109/B110-1</f>
        <v>-0.29566026707125037</v>
      </c>
    </row>
    <row r="115" spans="1:47" x14ac:dyDescent="0.3">
      <c r="A115" t="s">
        <v>2754</v>
      </c>
    </row>
    <row r="116" spans="1:47" x14ac:dyDescent="0.3">
      <c r="A116" s="38" t="s">
        <v>2736</v>
      </c>
      <c r="B116" s="214">
        <f>'Ke Alternativo'!P6</f>
        <v>9.0248031796485023E-2</v>
      </c>
    </row>
    <row r="117" spans="1:47" x14ac:dyDescent="0.3">
      <c r="A117" s="38"/>
    </row>
    <row r="118" spans="1:47" x14ac:dyDescent="0.3">
      <c r="A118" s="34" t="s">
        <v>2755</v>
      </c>
      <c r="E118" s="48">
        <f t="shared" ref="E118:AU118" ca="1" si="24">E103/E3</f>
        <v>193.32794000403905</v>
      </c>
      <c r="F118" s="48">
        <f t="shared" ca="1" si="24"/>
        <v>1092.5875567757814</v>
      </c>
      <c r="G118" s="48">
        <f t="shared" ca="1" si="24"/>
        <v>1095.0078128913467</v>
      </c>
      <c r="H118" s="48">
        <f t="shared" ca="1" si="24"/>
        <v>1596.4854486313789</v>
      </c>
      <c r="I118" s="48">
        <f t="shared" ca="1" si="24"/>
        <v>1610.4810679460361</v>
      </c>
      <c r="J118" s="48">
        <f t="shared" ca="1" si="24"/>
        <v>1670.4427110519262</v>
      </c>
      <c r="K118" s="48">
        <f t="shared" ca="1" si="24"/>
        <v>1860.6430855223739</v>
      </c>
      <c r="L118" s="48">
        <f t="shared" ca="1" si="24"/>
        <v>1658.734465444503</v>
      </c>
      <c r="M118" s="48">
        <f t="shared" ca="1" si="24"/>
        <v>1399.5898142564149</v>
      </c>
      <c r="N118" s="48">
        <f t="shared" ca="1" si="24"/>
        <v>1197.8087509751408</v>
      </c>
      <c r="O118" s="48">
        <f t="shared" ca="1" si="24"/>
        <v>1055.3430337372342</v>
      </c>
      <c r="P118" s="48">
        <f t="shared" ca="1" si="24"/>
        <v>924.82113363167468</v>
      </c>
      <c r="Q118" s="48">
        <f t="shared" ca="1" si="24"/>
        <v>798.05116976626891</v>
      </c>
      <c r="R118" s="48">
        <f t="shared" ca="1" si="24"/>
        <v>696.91241780000064</v>
      </c>
      <c r="S118" s="48">
        <f t="shared" ca="1" si="24"/>
        <v>606.54831745864226</v>
      </c>
      <c r="T118" s="48">
        <f t="shared" ca="1" si="24"/>
        <v>539.89785807684791</v>
      </c>
      <c r="U118" s="48">
        <f t="shared" ca="1" si="24"/>
        <v>364.46243874342582</v>
      </c>
      <c r="V118" s="48">
        <f t="shared" ca="1" si="24"/>
        <v>396.21335692812158</v>
      </c>
      <c r="W118" s="48">
        <f t="shared" ca="1" si="24"/>
        <v>354.02759870107803</v>
      </c>
      <c r="X118" s="48">
        <f t="shared" ca="1" si="24"/>
        <v>317.84427050352826</v>
      </c>
      <c r="Y118" s="48">
        <f t="shared" ca="1" si="24"/>
        <v>282.89731099968139</v>
      </c>
      <c r="Z118" s="48">
        <f t="shared" ca="1" si="24"/>
        <v>257.52975639225622</v>
      </c>
      <c r="AA118" s="48">
        <f t="shared" ca="1" si="24"/>
        <v>230.08139449013029</v>
      </c>
      <c r="AB118" s="48">
        <f t="shared" ca="1" si="24"/>
        <v>214.71241226149249</v>
      </c>
      <c r="AC118" s="48">
        <f t="shared" ca="1" si="24"/>
        <v>202.01895785281485</v>
      </c>
      <c r="AD118" s="48">
        <f t="shared" ca="1" si="24"/>
        <v>193.8662192946033</v>
      </c>
      <c r="AE118" s="48">
        <f t="shared" ca="1" si="24"/>
        <v>222.30512074113977</v>
      </c>
      <c r="AF118" s="48">
        <f t="shared" ca="1" si="24"/>
        <v>197.70968903175353</v>
      </c>
      <c r="AG118" s="48">
        <f t="shared" ca="1" si="24"/>
        <v>170.2685541544104</v>
      </c>
      <c r="AH118" s="48">
        <f t="shared" ca="1" si="24"/>
        <v>-1670.0061226003716</v>
      </c>
      <c r="AI118" s="48">
        <f t="shared" ca="1" si="24"/>
        <v>0</v>
      </c>
      <c r="AJ118" s="48">
        <f t="shared" ca="1" si="24"/>
        <v>0</v>
      </c>
      <c r="AK118" s="48">
        <f t="shared" ca="1" si="24"/>
        <v>0</v>
      </c>
      <c r="AL118" s="48">
        <f t="shared" ca="1" si="24"/>
        <v>0</v>
      </c>
      <c r="AM118" s="48">
        <f t="shared" ca="1" si="24"/>
        <v>0</v>
      </c>
      <c r="AN118" s="48">
        <f t="shared" ca="1" si="24"/>
        <v>0</v>
      </c>
      <c r="AO118" s="48">
        <f t="shared" ca="1" si="24"/>
        <v>0</v>
      </c>
      <c r="AP118" s="48">
        <f t="shared" ca="1" si="24"/>
        <v>0</v>
      </c>
      <c r="AQ118" s="48">
        <f t="shared" ca="1" si="24"/>
        <v>0</v>
      </c>
      <c r="AR118" s="48">
        <f t="shared" ca="1" si="24"/>
        <v>0</v>
      </c>
      <c r="AS118" s="48">
        <f t="shared" ca="1" si="24"/>
        <v>0</v>
      </c>
      <c r="AT118" s="48">
        <f t="shared" ca="1" si="24"/>
        <v>0</v>
      </c>
      <c r="AU118" s="48">
        <f t="shared" ca="1" si="24"/>
        <v>0</v>
      </c>
    </row>
    <row r="119" spans="1:47" x14ac:dyDescent="0.3">
      <c r="A119" s="34" t="s">
        <v>528</v>
      </c>
      <c r="E119" s="214">
        <f>B116</f>
        <v>9.0248031796485023E-2</v>
      </c>
      <c r="F119" s="214">
        <f>(1+E119)*(1+$B$116)-1</f>
        <v>0.18864077083610953</v>
      </c>
      <c r="G119" s="214">
        <f t="shared" ref="G119:AU119" si="25">(1+F119)*(1+$B$116)-1</f>
        <v>0.29591326091712533</v>
      </c>
      <c r="H119" s="214">
        <f t="shared" si="25"/>
        <v>0.4128668820938608</v>
      </c>
      <c r="I119" s="214">
        <f t="shared" si="25"/>
        <v>0.54037533739326826</v>
      </c>
      <c r="J119" s="214">
        <f t="shared" si="25"/>
        <v>0.67939117982085739</v>
      </c>
      <c r="K119" s="214">
        <f t="shared" si="25"/>
        <v>0.83095292841606683</v>
      </c>
      <c r="L119" s="214">
        <f t="shared" si="25"/>
        <v>0.99619282651762764</v>
      </c>
      <c r="M119" s="214">
        <f t="shared" si="25"/>
        <v>1.1763453001971058</v>
      </c>
      <c r="N119" s="214">
        <f t="shared" si="25"/>
        <v>1.372756180049425</v>
      </c>
      <c r="O119" s="214">
        <f t="shared" si="25"/>
        <v>1.5868927552318319</v>
      </c>
      <c r="P119" s="214">
        <f t="shared" si="25"/>
        <v>1.8203547348600915</v>
      </c>
      <c r="Q119" s="214">
        <f t="shared" si="25"/>
        <v>2.0748861986491125</v>
      </c>
      <c r="R119" s="214">
        <f t="shared" si="25"/>
        <v>2.352388626075371</v>
      </c>
      <c r="S119" s="214">
        <f t="shared" si="25"/>
        <v>2.654935101395596</v>
      </c>
      <c r="T119" s="214">
        <f t="shared" si="25"/>
        <v>2.9847858006404353</v>
      </c>
      <c r="U119" s="214">
        <f t="shared" si="25"/>
        <v>3.3444048762788157</v>
      </c>
      <c r="V119" s="214">
        <f t="shared" si="25"/>
        <v>3.7364788656900307</v>
      </c>
      <c r="W119" s="214">
        <f t="shared" si="25"/>
        <v>4.1639367609642042</v>
      </c>
      <c r="X119" s="214">
        <f t="shared" si="25"/>
        <v>4.6299718899627402</v>
      </c>
      <c r="Y119" s="214">
        <f t="shared" si="25"/>
        <v>5.1380657721014149</v>
      </c>
      <c r="Z119" s="214">
        <f t="shared" si="25"/>
        <v>5.6920141270709399</v>
      </c>
      <c r="AA119" s="214">
        <f t="shared" si="25"/>
        <v>6.2959552307933659</v>
      </c>
      <c r="AB119" s="214">
        <f t="shared" si="25"/>
        <v>6.9544008304477378</v>
      </c>
      <c r="AC119" s="214">
        <f t="shared" si="25"/>
        <v>7.6722698495159722</v>
      </c>
      <c r="AD119" s="214">
        <f t="shared" si="25"/>
        <v>8.4549251346427887</v>
      </c>
      <c r="AE119" s="214">
        <f t="shared" si="25"/>
        <v>9.3082135188274169</v>
      </c>
      <c r="AF119" s="214">
        <f t="shared" si="25"/>
        <v>10.238509500239511</v>
      </c>
      <c r="AG119" s="214">
        <f t="shared" si="25"/>
        <v>11.252762862962227</v>
      </c>
      <c r="AH119" s="214">
        <f t="shared" si="25"/>
        <v>12.358550595413634</v>
      </c>
      <c r="AI119" s="214">
        <f t="shared" si="25"/>
        <v>13.564133494303478</v>
      </c>
      <c r="AJ119" s="214">
        <f t="shared" si="25"/>
        <v>14.878517876985633</v>
      </c>
      <c r="AK119" s="214">
        <f t="shared" si="25"/>
        <v>16.311522863228891</v>
      </c>
      <c r="AL119" s="214">
        <f t="shared" si="25"/>
        <v>17.873853729035151</v>
      </c>
      <c r="AM119" s="214">
        <f t="shared" si="25"/>
        <v>19.577181880495324</v>
      </c>
      <c r="AN119" s="214">
        <f t="shared" si="25"/>
        <v>21.434232045128322</v>
      </c>
      <c r="AO119" s="214">
        <f t="shared" si="25"/>
        <v>23.458877332066788</v>
      </c>
      <c r="AP119" s="214">
        <f t="shared" si="25"/>
        <v>25.666242871237479</v>
      </c>
      <c r="AQ119" s="214">
        <f t="shared" si="25"/>
        <v>28.072818805773714</v>
      </c>
      <c r="AR119" s="214">
        <f t="shared" si="25"/>
        <v>30.696583481770631</v>
      </c>
      <c r="AS119" s="214">
        <f t="shared" si="25"/>
        <v>33.557137755673409</v>
      </c>
      <c r="AT119" s="214">
        <f t="shared" si="25"/>
        <v>36.675851422642936</v>
      </c>
      <c r="AU119" s="214">
        <f t="shared" si="25"/>
        <v>40.076022859793262</v>
      </c>
    </row>
    <row r="120" spans="1:47" x14ac:dyDescent="0.3">
      <c r="A120" s="34" t="s">
        <v>2747</v>
      </c>
      <c r="E120" s="48">
        <f ca="1">E118/(1+E119)</f>
        <v>177.32473195615663</v>
      </c>
      <c r="F120" s="48">
        <f t="shared" ref="F120:AU120" ca="1" si="26">F118/(1+F119)</f>
        <v>919.190712268129</v>
      </c>
      <c r="G120" s="48">
        <f t="shared" ca="1" si="26"/>
        <v>844.96998828178005</v>
      </c>
      <c r="H120" s="48">
        <f t="shared" ca="1" si="26"/>
        <v>1129.9616891475271</v>
      </c>
      <c r="I120" s="48">
        <f t="shared" ca="1" si="26"/>
        <v>1045.5121091924295</v>
      </c>
      <c r="J120" s="48">
        <f t="shared" ca="1" si="26"/>
        <v>994.67159951984161</v>
      </c>
      <c r="K120" s="48">
        <f t="shared" ca="1" si="26"/>
        <v>1016.2156856386208</v>
      </c>
      <c r="L120" s="48">
        <f t="shared" ca="1" si="26"/>
        <v>830.94901625219086</v>
      </c>
      <c r="M120" s="48">
        <f t="shared" ca="1" si="26"/>
        <v>643.09179895748059</v>
      </c>
      <c r="N120" s="48">
        <f t="shared" ca="1" si="26"/>
        <v>504.81746124887985</v>
      </c>
      <c r="O120" s="48">
        <f t="shared" ca="1" si="26"/>
        <v>407.95778317553663</v>
      </c>
      <c r="P120" s="48">
        <f t="shared" ca="1" si="26"/>
        <v>327.90950804901217</v>
      </c>
      <c r="Q120" s="48">
        <f t="shared" ca="1" si="26"/>
        <v>259.53844084274601</v>
      </c>
      <c r="R120" s="48">
        <f t="shared" ca="1" si="26"/>
        <v>207.88533059064619</v>
      </c>
      <c r="S120" s="48">
        <f t="shared" ca="1" si="26"/>
        <v>165.95323873932497</v>
      </c>
      <c r="T120" s="48">
        <f t="shared" ca="1" si="26"/>
        <v>135.48980675199039</v>
      </c>
      <c r="U120" s="48">
        <f t="shared" ca="1" si="26"/>
        <v>83.892374012710533</v>
      </c>
      <c r="V120" s="48">
        <f t="shared" ca="1" si="26"/>
        <v>83.651456738929099</v>
      </c>
      <c r="W120" s="48">
        <f t="shared" ca="1" si="26"/>
        <v>68.557694466222401</v>
      </c>
      <c r="X120" s="48">
        <f t="shared" ca="1" si="26"/>
        <v>56.455747331561149</v>
      </c>
      <c r="Y120" s="48">
        <f t="shared" ca="1" si="26"/>
        <v>46.088999613770724</v>
      </c>
      <c r="Z120" s="48">
        <f t="shared" ca="1" si="26"/>
        <v>38.483145956085373</v>
      </c>
      <c r="AA120" s="48">
        <f t="shared" ca="1" si="26"/>
        <v>31.535472355839978</v>
      </c>
      <c r="AB120" s="48">
        <f t="shared" ca="1" si="26"/>
        <v>26.992908308017306</v>
      </c>
      <c r="AC120" s="48">
        <f t="shared" ca="1" si="26"/>
        <v>23.294819160186787</v>
      </c>
      <c r="AD120" s="48">
        <f t="shared" ca="1" si="26"/>
        <v>20.504257467283228</v>
      </c>
      <c r="AE120" s="48">
        <f t="shared" ca="1" si="26"/>
        <v>21.565824217272084</v>
      </c>
      <c r="AF120" s="48">
        <f t="shared" ca="1" si="26"/>
        <v>17.592162824397668</v>
      </c>
      <c r="AG120" s="48">
        <f t="shared" ca="1" si="26"/>
        <v>13.896339630394698</v>
      </c>
      <c r="AH120" s="48">
        <f t="shared" ca="1" si="26"/>
        <v>-125.01402084547493</v>
      </c>
      <c r="AI120" s="48">
        <f t="shared" ca="1" si="26"/>
        <v>0</v>
      </c>
      <c r="AJ120" s="48">
        <f t="shared" ca="1" si="26"/>
        <v>0</v>
      </c>
      <c r="AK120" s="48">
        <f t="shared" ca="1" si="26"/>
        <v>0</v>
      </c>
      <c r="AL120" s="48">
        <f t="shared" ca="1" si="26"/>
        <v>0</v>
      </c>
      <c r="AM120" s="48">
        <f t="shared" ca="1" si="26"/>
        <v>0</v>
      </c>
      <c r="AN120" s="48">
        <f t="shared" ca="1" si="26"/>
        <v>0</v>
      </c>
      <c r="AO120" s="48">
        <f t="shared" ca="1" si="26"/>
        <v>0</v>
      </c>
      <c r="AP120" s="48">
        <f t="shared" ca="1" si="26"/>
        <v>0</v>
      </c>
      <c r="AQ120" s="48">
        <f t="shared" ca="1" si="26"/>
        <v>0</v>
      </c>
      <c r="AR120" s="48">
        <f t="shared" ca="1" si="26"/>
        <v>0</v>
      </c>
      <c r="AS120" s="48">
        <f t="shared" ca="1" si="26"/>
        <v>0</v>
      </c>
      <c r="AT120" s="48">
        <f t="shared" ca="1" si="26"/>
        <v>0</v>
      </c>
      <c r="AU120" s="48">
        <f t="shared" ca="1" si="26"/>
        <v>0</v>
      </c>
    </row>
    <row r="121" spans="1:47" x14ac:dyDescent="0.3">
      <c r="A121" s="34"/>
    </row>
    <row r="122" spans="1:47" x14ac:dyDescent="0.3">
      <c r="A122" s="34" t="s">
        <v>2756</v>
      </c>
      <c r="B122" s="61">
        <f ca="1">SUM(E120:AU120,C120)</f>
        <v>10018.936081849486</v>
      </c>
    </row>
    <row r="123" spans="1:47" x14ac:dyDescent="0.3">
      <c r="A123" t="s">
        <v>702</v>
      </c>
      <c r="B123" s="55">
        <v>847012709</v>
      </c>
    </row>
    <row r="124" spans="1:47" x14ac:dyDescent="0.3">
      <c r="A124" s="34" t="s">
        <v>2757</v>
      </c>
      <c r="B124" s="61">
        <f ca="1">B122*10^6/B123</f>
        <v>11.828554607731967</v>
      </c>
    </row>
    <row r="125" spans="1:47" x14ac:dyDescent="0.3">
      <c r="A125" s="34" t="s">
        <v>2758</v>
      </c>
      <c r="B125" s="60">
        <v>4.9949000000000003</v>
      </c>
    </row>
    <row r="126" spans="1:47" x14ac:dyDescent="0.3">
      <c r="A126" s="34" t="s">
        <v>21</v>
      </c>
      <c r="B126" s="61">
        <f ca="1">B125*B124</f>
        <v>59.082447410160405</v>
      </c>
    </row>
    <row r="127" spans="1:47" x14ac:dyDescent="0.3">
      <c r="A127" s="34" t="s">
        <v>1183</v>
      </c>
      <c r="B127" s="60">
        <v>47.8</v>
      </c>
    </row>
    <row r="128" spans="1:47" x14ac:dyDescent="0.3">
      <c r="A128" s="217" t="s">
        <v>73</v>
      </c>
      <c r="B128" s="214">
        <f ca="1">B126/B127-1</f>
        <v>0.23603446464770728</v>
      </c>
    </row>
    <row r="130" customFormat="1" x14ac:dyDescent="0.3"/>
    <row r="133" customFormat="1" x14ac:dyDescent="0.3"/>
    <row r="136" customFormat="1" x14ac:dyDescent="0.3"/>
    <row r="137" customFormat="1" x14ac:dyDescent="0.3"/>
    <row r="1048546" customFormat="1" x14ac:dyDescent="0.3"/>
    <row r="1048549" customFormat="1" x14ac:dyDescent="0.3"/>
    <row r="1048552" customFormat="1" x14ac:dyDescent="0.3"/>
    <row r="1048576" spans="16384:16384" x14ac:dyDescent="0.3">
      <c r="XFD1048576" t="s">
        <v>708</v>
      </c>
    </row>
  </sheetData>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A526-E0FF-442B-BB06-13AEDF53EA3D}">
  <sheetPr>
    <tabColor theme="9" tint="-0.499984740745262"/>
  </sheetPr>
  <dimension ref="A1:AX350"/>
  <sheetViews>
    <sheetView showGridLines="0" topLeftCell="AJ1" zoomScale="85" zoomScaleNormal="85" workbookViewId="0">
      <pane ySplit="2" topLeftCell="A27" activePane="bottomLeft" state="frozen"/>
      <selection pane="bottomLeft" activeCell="K3" sqref="K1:K1048576"/>
    </sheetView>
  </sheetViews>
  <sheetFormatPr defaultColWidth="9.109375" defaultRowHeight="14.4" x14ac:dyDescent="0.3"/>
  <cols>
    <col min="1" max="1" width="11.88671875" bestFit="1" customWidth="1"/>
    <col min="2" max="2" width="10.109375" bestFit="1" customWidth="1"/>
    <col min="3" max="3" width="10.77734375" style="68" bestFit="1" customWidth="1"/>
    <col min="7" max="7" width="1.77734375" customWidth="1"/>
    <col min="8" max="8" width="12.88671875" bestFit="1" customWidth="1"/>
    <col min="9" max="9" width="11.33203125" bestFit="1" customWidth="1"/>
    <col min="10" max="10" width="13.33203125" bestFit="1" customWidth="1"/>
    <col min="11" max="11" width="16.21875" style="36" bestFit="1" customWidth="1"/>
    <col min="12" max="12" width="17.88671875" style="36" bestFit="1" customWidth="1"/>
    <col min="13" max="13" width="7.33203125" customWidth="1"/>
    <col min="14" max="14" width="10.77734375" customWidth="1"/>
    <col min="15" max="15" width="9.109375" style="36"/>
    <col min="19" max="19" width="1.5546875" customWidth="1"/>
    <col min="21" max="21" width="33.44140625" bestFit="1" customWidth="1"/>
    <col min="22" max="22" width="17.5546875" bestFit="1" customWidth="1"/>
    <col min="23" max="23" width="6.6640625" bestFit="1" customWidth="1"/>
    <col min="24" max="24" width="10.77734375" bestFit="1" customWidth="1"/>
    <col min="25" max="25" width="18.5546875" bestFit="1" customWidth="1"/>
    <col min="26" max="26" width="16.21875" bestFit="1" customWidth="1"/>
    <col min="27" max="27" width="17.5546875" bestFit="1" customWidth="1"/>
    <col min="28" max="28" width="34.5546875" bestFit="1" customWidth="1"/>
    <col min="29" max="29" width="10.44140625" bestFit="1" customWidth="1"/>
    <col min="30" max="30" width="29.44140625" bestFit="1" customWidth="1"/>
    <col min="31" max="31" width="55.6640625" bestFit="1" customWidth="1"/>
    <col min="32" max="32" width="1.33203125" customWidth="1"/>
    <col min="33" max="33" width="12.5546875" bestFit="1" customWidth="1"/>
    <col min="34" max="34" width="8.88671875"/>
    <col min="35" max="35" width="8.88671875" style="76"/>
    <col min="37" max="37" width="8.88671875"/>
    <col min="39" max="39" width="8.77734375" style="76" customWidth="1"/>
    <col min="40" max="40" width="8.88671875"/>
    <col min="41" max="41" width="13.5546875" bestFit="1" customWidth="1"/>
    <col min="42" max="42" width="1.33203125" customWidth="1"/>
    <col min="43" max="43" width="12.33203125" bestFit="1" customWidth="1"/>
    <col min="46" max="48" width="9.33203125" bestFit="1" customWidth="1"/>
    <col min="49" max="49" width="10.88671875" bestFit="1" customWidth="1"/>
    <col min="50" max="50" width="12" bestFit="1" customWidth="1"/>
    <col min="68" max="68" width="10.21875" bestFit="1" customWidth="1"/>
  </cols>
  <sheetData>
    <row r="1" spans="1:50" s="186" customFormat="1" ht="44.4" customHeight="1" x14ac:dyDescent="0.3">
      <c r="A1" s="81" t="s">
        <v>677</v>
      </c>
      <c r="B1" s="185"/>
      <c r="C1" s="185"/>
      <c r="D1" s="185"/>
      <c r="E1" s="185"/>
      <c r="F1" s="185"/>
      <c r="H1" s="185" t="s">
        <v>379</v>
      </c>
      <c r="I1" s="185" t="s">
        <v>736</v>
      </c>
      <c r="J1" s="185" t="s">
        <v>674</v>
      </c>
      <c r="K1" s="185" t="s">
        <v>737</v>
      </c>
      <c r="L1" s="185" t="s">
        <v>738</v>
      </c>
      <c r="N1" s="187" t="s">
        <v>675</v>
      </c>
      <c r="O1" s="231"/>
      <c r="P1" s="185"/>
      <c r="Q1" s="185"/>
      <c r="R1" s="185"/>
      <c r="T1" s="187" t="s">
        <v>676</v>
      </c>
      <c r="U1" s="185"/>
      <c r="V1" s="185"/>
      <c r="W1" s="185"/>
      <c r="X1" s="185"/>
      <c r="Y1" s="185"/>
      <c r="Z1" s="185"/>
      <c r="AA1" s="185"/>
      <c r="AB1" s="185"/>
      <c r="AC1" s="185"/>
      <c r="AD1" s="185"/>
      <c r="AE1" s="185"/>
      <c r="AG1" s="187" t="s">
        <v>741</v>
      </c>
      <c r="AH1" s="185"/>
      <c r="AI1" s="185"/>
      <c r="AJ1" s="185"/>
      <c r="AK1" s="185"/>
      <c r="AL1" s="185"/>
      <c r="AM1" s="185"/>
      <c r="AN1" s="185"/>
      <c r="AO1" s="185"/>
      <c r="AQ1" s="187" t="s">
        <v>740</v>
      </c>
      <c r="AR1" s="185"/>
      <c r="AS1" s="185"/>
      <c r="AT1" s="185"/>
      <c r="AU1" s="185"/>
      <c r="AV1" s="185"/>
      <c r="AW1" s="185"/>
      <c r="AX1" s="185"/>
    </row>
    <row r="2" spans="1:50" s="190" customFormat="1" ht="70.2" customHeight="1" x14ac:dyDescent="0.3">
      <c r="A2" s="188" t="s">
        <v>95</v>
      </c>
      <c r="B2" s="188" t="s">
        <v>365</v>
      </c>
      <c r="C2" s="189" t="s">
        <v>379</v>
      </c>
      <c r="D2" s="188" t="s">
        <v>1</v>
      </c>
      <c r="E2" s="188" t="s">
        <v>363</v>
      </c>
      <c r="F2" s="188" t="s">
        <v>266</v>
      </c>
      <c r="H2" s="189" t="s">
        <v>379</v>
      </c>
      <c r="I2" s="189" t="s">
        <v>366</v>
      </c>
      <c r="J2" s="188" t="s">
        <v>375</v>
      </c>
      <c r="K2" s="188" t="s">
        <v>4</v>
      </c>
      <c r="L2" s="234" t="s">
        <v>739</v>
      </c>
      <c r="N2" s="188" t="s">
        <v>348</v>
      </c>
      <c r="O2" s="191" t="s">
        <v>365</v>
      </c>
      <c r="P2" s="188" t="s">
        <v>1</v>
      </c>
      <c r="Q2" s="188" t="s">
        <v>363</v>
      </c>
      <c r="R2" s="188" t="s">
        <v>266</v>
      </c>
      <c r="T2" s="188" t="s">
        <v>1</v>
      </c>
      <c r="U2" s="188" t="s">
        <v>387</v>
      </c>
      <c r="V2" s="188" t="s">
        <v>388</v>
      </c>
      <c r="W2" s="191" t="s">
        <v>389</v>
      </c>
      <c r="X2" s="188" t="s">
        <v>390</v>
      </c>
      <c r="Y2" s="188" t="s">
        <v>391</v>
      </c>
      <c r="Z2" s="188" t="s">
        <v>392</v>
      </c>
      <c r="AA2" s="188" t="s">
        <v>393</v>
      </c>
      <c r="AB2" s="188" t="s">
        <v>394</v>
      </c>
      <c r="AC2" s="188" t="s">
        <v>395</v>
      </c>
      <c r="AD2" s="188" t="s">
        <v>396</v>
      </c>
      <c r="AE2" s="192" t="s">
        <v>397</v>
      </c>
      <c r="AG2" s="189" t="s">
        <v>512</v>
      </c>
      <c r="AH2" s="188" t="s">
        <v>513</v>
      </c>
      <c r="AI2" s="193" t="s">
        <v>514</v>
      </c>
      <c r="AJ2" s="188" t="s">
        <v>515</v>
      </c>
      <c r="AK2" s="188" t="s">
        <v>516</v>
      </c>
      <c r="AL2" s="188" t="s">
        <v>517</v>
      </c>
      <c r="AM2" s="193" t="s">
        <v>518</v>
      </c>
      <c r="AN2" s="188" t="s">
        <v>519</v>
      </c>
      <c r="AO2" s="188" t="s">
        <v>380</v>
      </c>
      <c r="AQ2" s="189" t="s">
        <v>605</v>
      </c>
      <c r="AR2" s="189" t="s">
        <v>606</v>
      </c>
      <c r="AS2" s="189" t="s">
        <v>610</v>
      </c>
      <c r="AT2" s="189" t="s">
        <v>608</v>
      </c>
      <c r="AU2" s="189" t="s">
        <v>607</v>
      </c>
      <c r="AV2" s="189" t="s">
        <v>609</v>
      </c>
      <c r="AW2" s="189" t="s">
        <v>380</v>
      </c>
      <c r="AX2" s="189" t="s">
        <v>609</v>
      </c>
    </row>
    <row r="3" spans="1:50" x14ac:dyDescent="0.3">
      <c r="A3" s="125" t="s">
        <v>347</v>
      </c>
      <c r="B3" s="171">
        <f>O318</f>
        <v>84.75</v>
      </c>
      <c r="C3" s="167">
        <v>45383</v>
      </c>
      <c r="D3" s="125">
        <v>2024</v>
      </c>
      <c r="E3" s="125">
        <v>4</v>
      </c>
      <c r="F3" s="125" t="s">
        <v>368</v>
      </c>
      <c r="H3" s="126">
        <v>2024</v>
      </c>
      <c r="I3" s="235">
        <v>3.7718000000000002E-2</v>
      </c>
      <c r="J3" s="235">
        <v>2.7E-2</v>
      </c>
      <c r="K3" s="237">
        <v>4.9326999999999996</v>
      </c>
      <c r="L3" s="235">
        <v>0.09</v>
      </c>
      <c r="N3" s="167">
        <v>44927</v>
      </c>
      <c r="O3" s="171">
        <v>85.91</v>
      </c>
      <c r="P3" s="125">
        <v>2023</v>
      </c>
      <c r="Q3" s="125">
        <v>1</v>
      </c>
      <c r="R3" s="125" t="s">
        <v>136</v>
      </c>
      <c r="T3" s="125">
        <v>2022</v>
      </c>
      <c r="U3" s="125" t="s">
        <v>398</v>
      </c>
      <c r="V3" s="126">
        <v>362</v>
      </c>
      <c r="W3" s="127">
        <v>1.29</v>
      </c>
      <c r="X3" s="128">
        <v>0.36159999999999998</v>
      </c>
      <c r="Y3" s="128">
        <v>0.1469</v>
      </c>
      <c r="Z3" s="127">
        <v>1.02</v>
      </c>
      <c r="AA3" s="128">
        <v>0.1343</v>
      </c>
      <c r="AB3" s="127">
        <v>1.17</v>
      </c>
      <c r="AC3" s="129">
        <v>0.43290000000000001</v>
      </c>
      <c r="AD3" s="128">
        <v>0.39700000000000002</v>
      </c>
      <c r="AE3" s="128">
        <v>0.23180000000000001</v>
      </c>
      <c r="AG3" s="167">
        <v>39692</v>
      </c>
      <c r="AH3" s="173">
        <v>1252</v>
      </c>
      <c r="AI3" s="177">
        <v>3.7199999999999997E-2</v>
      </c>
      <c r="AJ3" s="173"/>
      <c r="AK3" s="127"/>
      <c r="AL3" s="127"/>
      <c r="AM3" s="177"/>
      <c r="AN3" s="128"/>
      <c r="AO3" s="175">
        <v>2008</v>
      </c>
      <c r="AQ3" s="125">
        <v>1</v>
      </c>
      <c r="AR3" s="235">
        <v>5.04E-2</v>
      </c>
      <c r="AS3" s="169">
        <f>1+AR3</f>
        <v>1.0504</v>
      </c>
      <c r="AT3" s="169">
        <f>AR3</f>
        <v>5.04E-2</v>
      </c>
      <c r="AU3" s="171">
        <f>(1+AT3)</f>
        <v>1.0504</v>
      </c>
      <c r="AV3" s="169">
        <f t="shared" ref="AV3:AV32" si="0">AU3^(1/$AQ3)-1</f>
        <v>5.04E-2</v>
      </c>
      <c r="AW3" s="180">
        <v>2024</v>
      </c>
      <c r="AX3" s="239">
        <f>AV3-AR3</f>
        <v>0</v>
      </c>
    </row>
    <row r="4" spans="1:50" x14ac:dyDescent="0.3">
      <c r="A4" s="83" t="s">
        <v>346</v>
      </c>
      <c r="B4" s="83">
        <v>85.42</v>
      </c>
      <c r="C4" s="168">
        <v>45413</v>
      </c>
      <c r="D4" s="83">
        <v>2024</v>
      </c>
      <c r="E4" s="83">
        <v>5</v>
      </c>
      <c r="F4" s="83" t="s">
        <v>368</v>
      </c>
      <c r="H4" s="84">
        <v>2025</v>
      </c>
      <c r="I4" s="236">
        <v>3.5049999999999998E-2</v>
      </c>
      <c r="J4" s="170">
        <v>0.02</v>
      </c>
      <c r="K4" s="238">
        <v>5</v>
      </c>
      <c r="L4" s="236">
        <v>8.5000000000000006E-2</v>
      </c>
      <c r="N4" s="168">
        <v>44928</v>
      </c>
      <c r="O4" s="172">
        <v>85.91</v>
      </c>
      <c r="P4" s="83">
        <v>2023</v>
      </c>
      <c r="Q4" s="83">
        <v>1</v>
      </c>
      <c r="R4" s="83" t="s">
        <v>136</v>
      </c>
      <c r="T4" s="83">
        <v>2022</v>
      </c>
      <c r="U4" s="83" t="s">
        <v>399</v>
      </c>
      <c r="V4" s="84">
        <v>278</v>
      </c>
      <c r="W4" s="85">
        <v>1.1599999999999999</v>
      </c>
      <c r="X4" s="86">
        <v>0.2324</v>
      </c>
      <c r="Y4" s="86">
        <v>0.1021</v>
      </c>
      <c r="Z4" s="85">
        <v>0.99</v>
      </c>
      <c r="AA4" s="86">
        <v>6.7900000000000002E-2</v>
      </c>
      <c r="AB4" s="85">
        <v>1.06</v>
      </c>
      <c r="AC4" s="87">
        <v>0.38679999999999998</v>
      </c>
      <c r="AD4" s="86">
        <v>0.36230000000000001</v>
      </c>
      <c r="AE4" s="86">
        <v>0.15570000000000001</v>
      </c>
      <c r="AG4" s="168">
        <v>39722</v>
      </c>
      <c r="AH4" s="174">
        <v>1166</v>
      </c>
      <c r="AI4" s="178">
        <v>3.8300000000000001E-2</v>
      </c>
      <c r="AJ4" s="174"/>
      <c r="AK4" s="85"/>
      <c r="AL4" s="85"/>
      <c r="AM4" s="178"/>
      <c r="AN4" s="86"/>
      <c r="AO4" s="176">
        <v>2008</v>
      </c>
      <c r="AQ4" s="83">
        <v>2</v>
      </c>
      <c r="AR4" s="236">
        <v>4.6800000000000001E-2</v>
      </c>
      <c r="AS4" s="170">
        <f>1+AR4</f>
        <v>1.0468</v>
      </c>
      <c r="AT4" s="170">
        <f>AS4^(2)/AS3-1</f>
        <v>4.3212338156892516E-2</v>
      </c>
      <c r="AU4" s="172">
        <f t="shared" ref="AU4:AU12" si="1">((AU3)*(1+AT4))</f>
        <v>1.0957902399999999</v>
      </c>
      <c r="AV4" s="170">
        <f t="shared" si="0"/>
        <v>4.6799999999999953E-2</v>
      </c>
      <c r="AW4" s="181">
        <f>AW3+1</f>
        <v>2025</v>
      </c>
      <c r="AX4" s="183" t="s">
        <v>5</v>
      </c>
    </row>
    <row r="5" spans="1:50" x14ac:dyDescent="0.3">
      <c r="A5" s="125" t="s">
        <v>345</v>
      </c>
      <c r="B5" s="125">
        <v>84.74</v>
      </c>
      <c r="C5" s="167">
        <v>45444</v>
      </c>
      <c r="D5" s="125">
        <v>2024</v>
      </c>
      <c r="E5" s="125">
        <v>6</v>
      </c>
      <c r="F5" s="125" t="s">
        <v>368</v>
      </c>
      <c r="H5" s="126">
        <v>2026</v>
      </c>
      <c r="I5" s="235">
        <v>3.5000000000000003E-2</v>
      </c>
      <c r="J5" s="169">
        <v>0.02</v>
      </c>
      <c r="K5" s="237">
        <v>5.04</v>
      </c>
      <c r="L5" s="235">
        <v>8.5000000000000006E-2</v>
      </c>
      <c r="N5" s="167">
        <v>44929</v>
      </c>
      <c r="O5" s="171">
        <v>82.1</v>
      </c>
      <c r="P5" s="125">
        <v>2023</v>
      </c>
      <c r="Q5" s="125">
        <v>1</v>
      </c>
      <c r="R5" s="125" t="s">
        <v>136</v>
      </c>
      <c r="T5" s="125">
        <v>2022</v>
      </c>
      <c r="U5" s="125" t="s">
        <v>400</v>
      </c>
      <c r="V5" s="126">
        <v>155</v>
      </c>
      <c r="W5" s="127">
        <v>1.24</v>
      </c>
      <c r="X5" s="128">
        <v>1.0998000000000001</v>
      </c>
      <c r="Y5" s="128">
        <v>8.72E-2</v>
      </c>
      <c r="Z5" s="127">
        <v>0.68</v>
      </c>
      <c r="AA5" s="128">
        <v>0.1129</v>
      </c>
      <c r="AB5" s="127">
        <v>0.76</v>
      </c>
      <c r="AC5" s="129">
        <v>0.32650000000000001</v>
      </c>
      <c r="AD5" s="128">
        <v>0.30859999999999999</v>
      </c>
      <c r="AE5" s="128">
        <v>2.1960999999999999</v>
      </c>
      <c r="AG5" s="167">
        <v>39753</v>
      </c>
      <c r="AH5" s="173">
        <v>969</v>
      </c>
      <c r="AI5" s="177">
        <v>3.95E-2</v>
      </c>
      <c r="AJ5" s="173"/>
      <c r="AK5" s="127"/>
      <c r="AL5" s="127"/>
      <c r="AM5" s="177"/>
      <c r="AN5" s="128"/>
      <c r="AO5" s="175">
        <v>2008</v>
      </c>
      <c r="AQ5" s="125">
        <v>3</v>
      </c>
      <c r="AR5" s="235">
        <v>4.4600000000000001E-2</v>
      </c>
      <c r="AS5" s="169">
        <f>1+AR5</f>
        <v>1.0446</v>
      </c>
      <c r="AT5" s="169">
        <f>AS5^(3)/AS4^2-1</f>
        <v>4.0213861127290196E-2</v>
      </c>
      <c r="AU5" s="171">
        <f t="shared" si="1"/>
        <v>1.1398561965359999</v>
      </c>
      <c r="AV5" s="169">
        <f t="shared" si="0"/>
        <v>4.4599999999999973E-2</v>
      </c>
      <c r="AW5" s="180">
        <f t="shared" ref="AW5:AW32" si="2">AW4+1</f>
        <v>2026</v>
      </c>
      <c r="AX5" s="182">
        <f>AV5-AR5</f>
        <v>0</v>
      </c>
    </row>
    <row r="6" spans="1:50" x14ac:dyDescent="0.3">
      <c r="A6" s="83" t="s">
        <v>344</v>
      </c>
      <c r="B6" s="83">
        <v>84.03</v>
      </c>
      <c r="C6" s="168">
        <v>45474</v>
      </c>
      <c r="D6" s="83">
        <v>2024</v>
      </c>
      <c r="E6" s="83">
        <v>7</v>
      </c>
      <c r="F6" s="83" t="s">
        <v>369</v>
      </c>
      <c r="H6" s="84">
        <v>2027</v>
      </c>
      <c r="I6" s="236">
        <v>3.5000000000000003E-2</v>
      </c>
      <c r="J6" s="170">
        <v>0.02</v>
      </c>
      <c r="K6" s="238">
        <v>5.0999999999999996</v>
      </c>
      <c r="L6" s="236">
        <v>8.5000000000000006E-2</v>
      </c>
      <c r="N6" s="168">
        <v>44930</v>
      </c>
      <c r="O6" s="172">
        <v>77.84</v>
      </c>
      <c r="P6" s="83">
        <v>2023</v>
      </c>
      <c r="Q6" s="83">
        <v>1</v>
      </c>
      <c r="R6" s="83" t="s">
        <v>136</v>
      </c>
      <c r="T6" s="83">
        <v>2022</v>
      </c>
      <c r="U6" s="83" t="s">
        <v>401</v>
      </c>
      <c r="V6" s="84">
        <v>1146</v>
      </c>
      <c r="W6" s="85">
        <v>0.9</v>
      </c>
      <c r="X6" s="86">
        <v>0.18149999999999999</v>
      </c>
      <c r="Y6" s="86">
        <v>0.1492</v>
      </c>
      <c r="Z6" s="85">
        <v>0.79</v>
      </c>
      <c r="AA6" s="86">
        <v>5.7099999999999998E-2</v>
      </c>
      <c r="AB6" s="85">
        <v>0.84</v>
      </c>
      <c r="AC6" s="87">
        <v>0.36520000000000002</v>
      </c>
      <c r="AD6" s="86">
        <v>0.3478</v>
      </c>
      <c r="AE6" s="86">
        <v>0.27710000000000001</v>
      </c>
      <c r="AG6" s="168">
        <v>39783</v>
      </c>
      <c r="AH6" s="174">
        <v>896</v>
      </c>
      <c r="AI6" s="178">
        <v>2.92E-2</v>
      </c>
      <c r="AJ6" s="174"/>
      <c r="AK6" s="85"/>
      <c r="AL6" s="85"/>
      <c r="AM6" s="178"/>
      <c r="AN6" s="86"/>
      <c r="AO6" s="176">
        <v>2008</v>
      </c>
      <c r="AQ6" s="83">
        <v>4</v>
      </c>
      <c r="AR6" s="119"/>
      <c r="AS6" s="119"/>
      <c r="AT6" s="170">
        <f>AT7</f>
        <v>4.0355185985008202E-2</v>
      </c>
      <c r="AU6" s="172">
        <f t="shared" si="1"/>
        <v>1.1858553053433742</v>
      </c>
      <c r="AV6" s="170">
        <f t="shared" si="0"/>
        <v>4.3537175545917517E-2</v>
      </c>
      <c r="AW6" s="181">
        <f t="shared" si="2"/>
        <v>2027</v>
      </c>
      <c r="AX6" s="183"/>
    </row>
    <row r="7" spans="1:50" x14ac:dyDescent="0.3">
      <c r="A7" s="125" t="s">
        <v>343</v>
      </c>
      <c r="B7" s="125">
        <v>83.33</v>
      </c>
      <c r="C7" s="167">
        <v>45505</v>
      </c>
      <c r="D7" s="125">
        <v>2024</v>
      </c>
      <c r="E7" s="125">
        <v>8</v>
      </c>
      <c r="F7" s="125" t="s">
        <v>369</v>
      </c>
      <c r="H7" s="126">
        <v>2028</v>
      </c>
      <c r="I7" s="235">
        <v>3.5000000000000003E-2</v>
      </c>
      <c r="J7" s="169">
        <v>0.02</v>
      </c>
      <c r="K7" s="237">
        <v>5.0999999999999996</v>
      </c>
      <c r="L7" s="235">
        <v>8.5000000000000006E-2</v>
      </c>
      <c r="N7" s="167">
        <v>44931</v>
      </c>
      <c r="O7" s="171">
        <v>78.69</v>
      </c>
      <c r="P7" s="125">
        <v>2023</v>
      </c>
      <c r="Q7" s="125">
        <v>1</v>
      </c>
      <c r="R7" s="125" t="s">
        <v>136</v>
      </c>
      <c r="T7" s="125">
        <v>2022</v>
      </c>
      <c r="U7" s="125" t="s">
        <v>402</v>
      </c>
      <c r="V7" s="126">
        <v>154</v>
      </c>
      <c r="W7" s="127">
        <v>1.35</v>
      </c>
      <c r="X7" s="128">
        <v>0.7369</v>
      </c>
      <c r="Y7" s="128">
        <v>0.1132</v>
      </c>
      <c r="Z7" s="127">
        <v>0.87</v>
      </c>
      <c r="AA7" s="128">
        <v>0.15870000000000001</v>
      </c>
      <c r="AB7" s="127">
        <v>1.03</v>
      </c>
      <c r="AC7" s="129">
        <v>0.43440000000000001</v>
      </c>
      <c r="AD7" s="128">
        <v>0.33900000000000002</v>
      </c>
      <c r="AE7" s="128">
        <v>0.218</v>
      </c>
      <c r="AG7" s="167">
        <v>39814</v>
      </c>
      <c r="AH7" s="173">
        <v>903</v>
      </c>
      <c r="AI7" s="177">
        <v>2.2100000000000002E-2</v>
      </c>
      <c r="AJ7" s="173"/>
      <c r="AK7" s="127">
        <v>52.58</v>
      </c>
      <c r="AL7" s="127"/>
      <c r="AM7" s="177">
        <v>0.04</v>
      </c>
      <c r="AN7" s="128"/>
      <c r="AO7" s="175">
        <v>2009</v>
      </c>
      <c r="AQ7" s="125">
        <v>5</v>
      </c>
      <c r="AR7" s="235">
        <v>4.2900000000000001E-2</v>
      </c>
      <c r="AS7" s="169">
        <f>1+AR7</f>
        <v>1.0428999999999999</v>
      </c>
      <c r="AT7" s="169">
        <f>(AS7^5/AS5^3)^(1/2)-1</f>
        <v>4.0355185985008202E-2</v>
      </c>
      <c r="AU7" s="171">
        <f t="shared" si="1"/>
        <v>1.2337107167418149</v>
      </c>
      <c r="AV7" s="169">
        <f t="shared" si="0"/>
        <v>4.2899999999999938E-2</v>
      </c>
      <c r="AW7" s="180">
        <f t="shared" si="2"/>
        <v>2028</v>
      </c>
      <c r="AX7" s="182">
        <f>AV7-AR7</f>
        <v>-6.2450045135165055E-17</v>
      </c>
    </row>
    <row r="8" spans="1:50" x14ac:dyDescent="0.3">
      <c r="A8" s="83" t="s">
        <v>342</v>
      </c>
      <c r="B8" s="83">
        <v>82.62</v>
      </c>
      <c r="C8" s="168">
        <v>45536</v>
      </c>
      <c r="D8" s="83">
        <v>2024</v>
      </c>
      <c r="E8" s="83">
        <v>9</v>
      </c>
      <c r="F8" s="83" t="s">
        <v>369</v>
      </c>
      <c r="H8" s="84">
        <v>2029</v>
      </c>
      <c r="I8" s="170">
        <v>0.03</v>
      </c>
      <c r="J8" s="170">
        <v>0.02</v>
      </c>
      <c r="K8" s="172">
        <f>K7*(1+I8)/(1+J8)</f>
        <v>5.15</v>
      </c>
      <c r="L8" s="170">
        <v>8.5000000000000006E-2</v>
      </c>
      <c r="N8" s="168">
        <v>44932</v>
      </c>
      <c r="O8" s="172">
        <v>78.569999999999993</v>
      </c>
      <c r="P8" s="83">
        <v>2023</v>
      </c>
      <c r="Q8" s="83">
        <v>1</v>
      </c>
      <c r="R8" s="83" t="s">
        <v>136</v>
      </c>
      <c r="T8" s="83">
        <v>2022</v>
      </c>
      <c r="U8" s="83" t="s">
        <v>403</v>
      </c>
      <c r="V8" s="84">
        <v>746</v>
      </c>
      <c r="W8" s="85">
        <v>1.41</v>
      </c>
      <c r="X8" s="86">
        <v>0.35239999999999999</v>
      </c>
      <c r="Y8" s="86">
        <v>0.16869999999999999</v>
      </c>
      <c r="Z8" s="85">
        <v>1.1200000000000001</v>
      </c>
      <c r="AA8" s="86">
        <v>0.1328</v>
      </c>
      <c r="AB8" s="85">
        <v>1.29</v>
      </c>
      <c r="AC8" s="87">
        <v>0.3301</v>
      </c>
      <c r="AD8" s="86">
        <v>0.315</v>
      </c>
      <c r="AE8" s="86">
        <v>0.217</v>
      </c>
      <c r="AG8" s="168">
        <v>39845</v>
      </c>
      <c r="AH8" s="174">
        <v>826</v>
      </c>
      <c r="AI8" s="178">
        <v>2.87E-2</v>
      </c>
      <c r="AJ8" s="174"/>
      <c r="AK8" s="85">
        <v>52.58</v>
      </c>
      <c r="AL8" s="85"/>
      <c r="AM8" s="178">
        <v>0.04</v>
      </c>
      <c r="AN8" s="86"/>
      <c r="AO8" s="176">
        <v>2009</v>
      </c>
      <c r="AQ8" s="83">
        <v>6</v>
      </c>
      <c r="AR8" s="119"/>
      <c r="AS8" s="119"/>
      <c r="AT8" s="170">
        <f>AT9</f>
        <v>4.3250041952341833E-2</v>
      </c>
      <c r="AU8" s="172">
        <f t="shared" si="1"/>
        <v>1.287068756997952</v>
      </c>
      <c r="AV8" s="170">
        <f t="shared" si="0"/>
        <v>4.2958332168099078E-2</v>
      </c>
      <c r="AW8" s="181">
        <f t="shared" si="2"/>
        <v>2029</v>
      </c>
      <c r="AX8" s="183"/>
    </row>
    <row r="9" spans="1:50" x14ac:dyDescent="0.3">
      <c r="A9" s="125" t="s">
        <v>341</v>
      </c>
      <c r="B9" s="125">
        <v>81.93</v>
      </c>
      <c r="C9" s="167">
        <v>45566</v>
      </c>
      <c r="D9" s="125">
        <v>2024</v>
      </c>
      <c r="E9" s="125">
        <v>10</v>
      </c>
      <c r="F9" s="125" t="s">
        <v>370</v>
      </c>
      <c r="H9" s="126">
        <v>2030</v>
      </c>
      <c r="I9" s="169">
        <v>0.03</v>
      </c>
      <c r="J9" s="169">
        <v>0.02</v>
      </c>
      <c r="K9" s="171">
        <f t="shared" ref="K9:K59" si="3">K8*(1+I9)/(1+J9)</f>
        <v>5.200490196078432</v>
      </c>
      <c r="L9" s="169">
        <v>8.5000000000000006E-2</v>
      </c>
      <c r="N9" s="167">
        <v>44935</v>
      </c>
      <c r="O9" s="171">
        <v>79.650000000000006</v>
      </c>
      <c r="P9" s="125">
        <v>2023</v>
      </c>
      <c r="Q9" s="125">
        <v>1</v>
      </c>
      <c r="R9" s="125" t="s">
        <v>136</v>
      </c>
      <c r="T9" s="125">
        <v>2022</v>
      </c>
      <c r="U9" s="125" t="s">
        <v>472</v>
      </c>
      <c r="V9" s="126">
        <v>596</v>
      </c>
      <c r="W9" s="127">
        <v>0.88</v>
      </c>
      <c r="X9" s="128">
        <v>3.0041000000000002</v>
      </c>
      <c r="Y9" s="128">
        <v>0.20949999999999999</v>
      </c>
      <c r="Z9" s="127">
        <v>0.27</v>
      </c>
      <c r="AA9" s="128">
        <v>0.3871</v>
      </c>
      <c r="AB9" s="127">
        <v>0.44</v>
      </c>
      <c r="AC9" s="129">
        <v>0.23430000000000001</v>
      </c>
      <c r="AD9" s="128">
        <v>0.21679999999999999</v>
      </c>
      <c r="AE9" s="128">
        <v>0.43759999999999999</v>
      </c>
      <c r="AG9" s="167">
        <v>39873</v>
      </c>
      <c r="AH9" s="173">
        <v>735</v>
      </c>
      <c r="AI9" s="177">
        <v>3.0200000000000001E-2</v>
      </c>
      <c r="AJ9" s="173"/>
      <c r="AK9" s="127">
        <v>52.58</v>
      </c>
      <c r="AL9" s="127"/>
      <c r="AM9" s="177">
        <v>0.04</v>
      </c>
      <c r="AN9" s="128"/>
      <c r="AO9" s="175">
        <v>2009</v>
      </c>
      <c r="AQ9" s="125">
        <v>7</v>
      </c>
      <c r="AR9" s="235">
        <v>4.2999999999999997E-2</v>
      </c>
      <c r="AS9" s="169">
        <f>1+AR9</f>
        <v>1.0429999999999999</v>
      </c>
      <c r="AT9" s="169">
        <f>(AS9^7/AS7^5)^(1/2)-1</f>
        <v>4.3250041952341833E-2</v>
      </c>
      <c r="AU9" s="171">
        <f t="shared" si="1"/>
        <v>1.3427345347336619</v>
      </c>
      <c r="AV9" s="169">
        <f t="shared" si="0"/>
        <v>4.2999999999999927E-2</v>
      </c>
      <c r="AW9" s="180">
        <f t="shared" si="2"/>
        <v>2030</v>
      </c>
      <c r="AX9" s="182">
        <f>AV9-AR9</f>
        <v>-6.9388939039072284E-17</v>
      </c>
    </row>
    <row r="10" spans="1:50" x14ac:dyDescent="0.3">
      <c r="A10" s="83" t="s">
        <v>340</v>
      </c>
      <c r="B10" s="83">
        <v>81.28</v>
      </c>
      <c r="C10" s="168">
        <v>45597</v>
      </c>
      <c r="D10" s="83">
        <v>2024</v>
      </c>
      <c r="E10" s="83">
        <v>11</v>
      </c>
      <c r="F10" s="83" t="s">
        <v>370</v>
      </c>
      <c r="H10" s="84">
        <v>2031</v>
      </c>
      <c r="I10" s="170">
        <v>0.03</v>
      </c>
      <c r="J10" s="170">
        <v>0.02</v>
      </c>
      <c r="K10" s="172">
        <f t="shared" si="3"/>
        <v>5.2514753940792014</v>
      </c>
      <c r="L10" s="170">
        <v>8.5000000000000006E-2</v>
      </c>
      <c r="N10" s="168">
        <v>44936</v>
      </c>
      <c r="O10" s="172">
        <v>80.099999999999994</v>
      </c>
      <c r="P10" s="83">
        <v>2023</v>
      </c>
      <c r="Q10" s="83">
        <v>1</v>
      </c>
      <c r="R10" s="83" t="s">
        <v>136</v>
      </c>
      <c r="T10" s="83">
        <v>2022</v>
      </c>
      <c r="U10" s="83" t="s">
        <v>404</v>
      </c>
      <c r="V10" s="84">
        <v>800</v>
      </c>
      <c r="W10" s="85">
        <v>0.56000000000000005</v>
      </c>
      <c r="X10" s="86">
        <v>1.9341999999999999</v>
      </c>
      <c r="Y10" s="86">
        <v>0.19189999999999999</v>
      </c>
      <c r="Z10" s="85">
        <v>0.23</v>
      </c>
      <c r="AA10" s="86">
        <v>0.35849999999999999</v>
      </c>
      <c r="AB10" s="85">
        <v>0.36</v>
      </c>
      <c r="AC10" s="87">
        <v>0.1807</v>
      </c>
      <c r="AD10" s="86">
        <v>0.17829999999999999</v>
      </c>
      <c r="AE10" s="86" t="s">
        <v>494</v>
      </c>
      <c r="AG10" s="168">
        <v>39904</v>
      </c>
      <c r="AH10" s="174">
        <v>798</v>
      </c>
      <c r="AI10" s="178">
        <v>2.7099999999999999E-2</v>
      </c>
      <c r="AJ10" s="174"/>
      <c r="AK10" s="85">
        <v>51.55</v>
      </c>
      <c r="AL10" s="85"/>
      <c r="AM10" s="178">
        <v>0.04</v>
      </c>
      <c r="AN10" s="86"/>
      <c r="AO10" s="176">
        <v>2009</v>
      </c>
      <c r="AQ10" s="83">
        <v>8</v>
      </c>
      <c r="AR10" s="119"/>
      <c r="AS10" s="119"/>
      <c r="AT10" s="170">
        <f>AT11</f>
        <v>4.2666703950685614E-2</v>
      </c>
      <c r="AU10" s="172">
        <f t="shared" si="1"/>
        <v>1.4000245916115046</v>
      </c>
      <c r="AV10" s="170">
        <f t="shared" si="0"/>
        <v>4.2958332168099078E-2</v>
      </c>
      <c r="AW10" s="181">
        <f t="shared" si="2"/>
        <v>2031</v>
      </c>
      <c r="AX10" s="183"/>
    </row>
    <row r="11" spans="1:50" x14ac:dyDescent="0.3">
      <c r="A11" s="125" t="s">
        <v>339</v>
      </c>
      <c r="B11" s="125">
        <v>80.680000000000007</v>
      </c>
      <c r="C11" s="167">
        <v>45627</v>
      </c>
      <c r="D11" s="125">
        <v>2024</v>
      </c>
      <c r="E11" s="125">
        <v>12</v>
      </c>
      <c r="F11" s="125" t="s">
        <v>370</v>
      </c>
      <c r="H11" s="126">
        <v>2032</v>
      </c>
      <c r="I11" s="169">
        <v>0.03</v>
      </c>
      <c r="J11" s="169">
        <v>0.02</v>
      </c>
      <c r="K11" s="171">
        <f t="shared" si="3"/>
        <v>5.3029604469623308</v>
      </c>
      <c r="L11" s="169">
        <v>8.5000000000000006E-2</v>
      </c>
      <c r="N11" s="167">
        <v>44937</v>
      </c>
      <c r="O11" s="171">
        <v>82.67</v>
      </c>
      <c r="P11" s="125">
        <v>2023</v>
      </c>
      <c r="Q11" s="125">
        <v>1</v>
      </c>
      <c r="R11" s="125" t="s">
        <v>136</v>
      </c>
      <c r="T11" s="125">
        <v>2022</v>
      </c>
      <c r="U11" s="125" t="s">
        <v>405</v>
      </c>
      <c r="V11" s="126">
        <v>220</v>
      </c>
      <c r="W11" s="127">
        <v>0.87</v>
      </c>
      <c r="X11" s="128">
        <v>0.1638</v>
      </c>
      <c r="Y11" s="128">
        <v>0.1714</v>
      </c>
      <c r="Z11" s="127">
        <v>0.78</v>
      </c>
      <c r="AA11" s="128">
        <v>4.24E-2</v>
      </c>
      <c r="AB11" s="127">
        <v>0.81</v>
      </c>
      <c r="AC11" s="129">
        <v>0.29709999999999998</v>
      </c>
      <c r="AD11" s="128">
        <v>0.28570000000000001</v>
      </c>
      <c r="AE11" s="128">
        <v>0.14460000000000001</v>
      </c>
      <c r="AG11" s="167">
        <v>39934</v>
      </c>
      <c r="AH11" s="173">
        <v>873</v>
      </c>
      <c r="AI11" s="177">
        <v>3.1600000000000003E-2</v>
      </c>
      <c r="AJ11" s="173"/>
      <c r="AK11" s="127">
        <v>51.55</v>
      </c>
      <c r="AL11" s="127"/>
      <c r="AM11" s="177">
        <v>0.04</v>
      </c>
      <c r="AN11" s="128"/>
      <c r="AO11" s="175">
        <v>2009</v>
      </c>
      <c r="AQ11" s="125">
        <v>9</v>
      </c>
      <c r="AR11" s="119"/>
      <c r="AS11" s="119"/>
      <c r="AT11" s="169">
        <f>AT12</f>
        <v>4.2666703950685614E-2</v>
      </c>
      <c r="AU11" s="171">
        <f t="shared" si="1"/>
        <v>1.4597590263854723</v>
      </c>
      <c r="AV11" s="169">
        <f t="shared" si="0"/>
        <v>4.2925925005256493E-2</v>
      </c>
      <c r="AW11" s="180">
        <f t="shared" si="2"/>
        <v>2032</v>
      </c>
      <c r="AX11" s="182"/>
    </row>
    <row r="12" spans="1:50" x14ac:dyDescent="0.3">
      <c r="A12" s="83" t="s">
        <v>338</v>
      </c>
      <c r="B12" s="83">
        <v>80.099999999999994</v>
      </c>
      <c r="C12" s="168">
        <v>45658</v>
      </c>
      <c r="D12" s="83">
        <v>2025</v>
      </c>
      <c r="E12" s="83">
        <v>1</v>
      </c>
      <c r="F12" s="83" t="s">
        <v>371</v>
      </c>
      <c r="H12" s="84">
        <v>2033</v>
      </c>
      <c r="I12" s="170">
        <v>0.03</v>
      </c>
      <c r="J12" s="170">
        <v>0.02</v>
      </c>
      <c r="K12" s="172">
        <f t="shared" si="3"/>
        <v>5.3549502552658828</v>
      </c>
      <c r="L12" s="170">
        <v>8.5000000000000006E-2</v>
      </c>
      <c r="N12" s="168">
        <v>44938</v>
      </c>
      <c r="O12" s="172">
        <v>84.03</v>
      </c>
      <c r="P12" s="83">
        <v>2023</v>
      </c>
      <c r="Q12" s="83">
        <v>1</v>
      </c>
      <c r="R12" s="83" t="s">
        <v>136</v>
      </c>
      <c r="T12" s="83">
        <v>2022</v>
      </c>
      <c r="U12" s="83" t="s">
        <v>473</v>
      </c>
      <c r="V12" s="84">
        <v>100</v>
      </c>
      <c r="W12" s="85">
        <v>0.86</v>
      </c>
      <c r="X12" s="86">
        <v>0.15379999999999999</v>
      </c>
      <c r="Y12" s="86">
        <v>0.1338</v>
      </c>
      <c r="Z12" s="85">
        <v>0.77</v>
      </c>
      <c r="AA12" s="86">
        <v>3.4799999999999998E-2</v>
      </c>
      <c r="AB12" s="85">
        <v>0.79</v>
      </c>
      <c r="AC12" s="87">
        <v>0.40350000000000003</v>
      </c>
      <c r="AD12" s="86">
        <v>0.3105</v>
      </c>
      <c r="AE12" s="86">
        <v>0.1244</v>
      </c>
      <c r="AG12" s="168">
        <v>39965</v>
      </c>
      <c r="AH12" s="174">
        <v>919</v>
      </c>
      <c r="AI12" s="178">
        <v>3.4700000000000002E-2</v>
      </c>
      <c r="AJ12" s="174"/>
      <c r="AK12" s="85">
        <v>51.55</v>
      </c>
      <c r="AL12" s="85"/>
      <c r="AM12" s="178">
        <v>0.04</v>
      </c>
      <c r="AN12" s="86"/>
      <c r="AO12" s="176">
        <v>2009</v>
      </c>
      <c r="AQ12" s="83">
        <v>10</v>
      </c>
      <c r="AR12" s="236">
        <v>4.2900000000000001E-2</v>
      </c>
      <c r="AS12" s="170">
        <f>1+AR12</f>
        <v>1.0428999999999999</v>
      </c>
      <c r="AT12" s="170">
        <f>(AS12^10/AS9^7)^(1/3)-1</f>
        <v>4.2666703950685614E-2</v>
      </c>
      <c r="AU12" s="172">
        <f t="shared" si="1"/>
        <v>1.5220421326036022</v>
      </c>
      <c r="AV12" s="170">
        <f t="shared" si="0"/>
        <v>4.2899999999999938E-2</v>
      </c>
      <c r="AW12" s="181">
        <f t="shared" si="2"/>
        <v>2033</v>
      </c>
      <c r="AX12" s="194">
        <f>AV12-AR12</f>
        <v>-6.2450045135165055E-17</v>
      </c>
    </row>
    <row r="13" spans="1:50" x14ac:dyDescent="0.3">
      <c r="A13" s="125" t="s">
        <v>337</v>
      </c>
      <c r="B13" s="125">
        <v>79.569999999999993</v>
      </c>
      <c r="C13" s="167">
        <v>45689</v>
      </c>
      <c r="D13" s="125">
        <v>2025</v>
      </c>
      <c r="E13" s="125">
        <v>2</v>
      </c>
      <c r="F13" s="125" t="s">
        <v>371</v>
      </c>
      <c r="H13" s="126">
        <v>2034</v>
      </c>
      <c r="I13" s="169">
        <v>0.03</v>
      </c>
      <c r="J13" s="169">
        <v>0.02</v>
      </c>
      <c r="K13" s="171">
        <f t="shared" si="3"/>
        <v>5.4074497675724107</v>
      </c>
      <c r="L13" s="169">
        <v>8.5000000000000006E-2</v>
      </c>
      <c r="N13" s="167">
        <v>44939</v>
      </c>
      <c r="O13" s="171">
        <v>85.55</v>
      </c>
      <c r="P13" s="125">
        <v>2023</v>
      </c>
      <c r="Q13" s="125">
        <v>1</v>
      </c>
      <c r="R13" s="125" t="s">
        <v>136</v>
      </c>
      <c r="T13" s="125">
        <v>2022</v>
      </c>
      <c r="U13" s="125" t="s">
        <v>406</v>
      </c>
      <c r="V13" s="126">
        <v>135</v>
      </c>
      <c r="W13" s="127">
        <v>1.06</v>
      </c>
      <c r="X13" s="128">
        <v>0.80640000000000001</v>
      </c>
      <c r="Y13" s="128">
        <v>0.16500000000000001</v>
      </c>
      <c r="Z13" s="127">
        <v>0.66</v>
      </c>
      <c r="AA13" s="128">
        <v>0.1167</v>
      </c>
      <c r="AB13" s="127">
        <v>0.74</v>
      </c>
      <c r="AC13" s="129">
        <v>0.371</v>
      </c>
      <c r="AD13" s="128">
        <v>0.34720000000000001</v>
      </c>
      <c r="AE13" s="128">
        <v>0.1411</v>
      </c>
      <c r="AG13" s="167">
        <v>39995</v>
      </c>
      <c r="AH13" s="173">
        <v>919</v>
      </c>
      <c r="AI13" s="177">
        <v>3.5299999999999998E-2</v>
      </c>
      <c r="AJ13" s="173"/>
      <c r="AK13" s="127">
        <v>50.95</v>
      </c>
      <c r="AL13" s="127"/>
      <c r="AM13" s="177">
        <v>0.04</v>
      </c>
      <c r="AN13" s="128"/>
      <c r="AO13" s="175">
        <v>2009</v>
      </c>
      <c r="AQ13" s="125">
        <f>AQ12+1</f>
        <v>11</v>
      </c>
      <c r="AR13" s="119"/>
      <c r="AS13" s="119"/>
      <c r="AT13" s="169">
        <f t="shared" ref="AT13:AT20" si="4">AT14</f>
        <v>4.7905992904401451E-2</v>
      </c>
      <c r="AU13" s="171">
        <f t="shared" ref="AU13:AU22" si="5">((AU12)*(1+AT13))</f>
        <v>1.5949570722083104</v>
      </c>
      <c r="AV13" s="169">
        <f t="shared" si="0"/>
        <v>4.3354100347835267E-2</v>
      </c>
      <c r="AW13" s="180">
        <f t="shared" si="2"/>
        <v>2034</v>
      </c>
      <c r="AX13" s="182"/>
    </row>
    <row r="14" spans="1:50" x14ac:dyDescent="0.3">
      <c r="A14" s="83" t="s">
        <v>336</v>
      </c>
      <c r="B14" s="83">
        <v>79.099999999999994</v>
      </c>
      <c r="C14" s="168">
        <v>45717</v>
      </c>
      <c r="D14" s="83">
        <v>2025</v>
      </c>
      <c r="E14" s="83">
        <v>3</v>
      </c>
      <c r="F14" s="83" t="s">
        <v>371</v>
      </c>
      <c r="H14" s="84">
        <v>2035</v>
      </c>
      <c r="I14" s="170">
        <v>0.03</v>
      </c>
      <c r="J14" s="170">
        <v>0.02</v>
      </c>
      <c r="K14" s="172">
        <f t="shared" si="3"/>
        <v>5.4604639809799842</v>
      </c>
      <c r="L14" s="170">
        <v>8.5000000000000006E-2</v>
      </c>
      <c r="N14" s="168">
        <v>44942</v>
      </c>
      <c r="O14" s="172">
        <v>84.66</v>
      </c>
      <c r="P14" s="83">
        <v>2023</v>
      </c>
      <c r="Q14" s="83">
        <v>1</v>
      </c>
      <c r="R14" s="83" t="s">
        <v>136</v>
      </c>
      <c r="T14" s="83">
        <v>2022</v>
      </c>
      <c r="U14" s="83" t="s">
        <v>407</v>
      </c>
      <c r="V14" s="84">
        <v>592</v>
      </c>
      <c r="W14" s="85">
        <v>0.99</v>
      </c>
      <c r="X14" s="86">
        <v>2.3988</v>
      </c>
      <c r="Y14" s="86">
        <v>0.14879999999999999</v>
      </c>
      <c r="Z14" s="85">
        <v>0.35</v>
      </c>
      <c r="AA14" s="86">
        <v>0.2167</v>
      </c>
      <c r="AB14" s="85">
        <v>0.45</v>
      </c>
      <c r="AC14" s="87">
        <v>0.36890000000000001</v>
      </c>
      <c r="AD14" s="86">
        <v>0.34989999999999999</v>
      </c>
      <c r="AE14" s="86">
        <v>0.60119999999999996</v>
      </c>
      <c r="AG14" s="168">
        <v>40026</v>
      </c>
      <c r="AH14" s="174">
        <v>987</v>
      </c>
      <c r="AI14" s="178">
        <v>3.5200000000000002E-2</v>
      </c>
      <c r="AJ14" s="174"/>
      <c r="AK14" s="85">
        <v>50.95</v>
      </c>
      <c r="AL14" s="85"/>
      <c r="AM14" s="178">
        <v>0.04</v>
      </c>
      <c r="AN14" s="86"/>
      <c r="AO14" s="176">
        <v>2009</v>
      </c>
      <c r="AQ14" s="83">
        <f t="shared" ref="AQ14:AQ45" si="6">AQ13+1</f>
        <v>12</v>
      </c>
      <c r="AR14" s="119"/>
      <c r="AS14" s="119"/>
      <c r="AT14" s="170">
        <f t="shared" si="4"/>
        <v>4.7905992904401451E-2</v>
      </c>
      <c r="AU14" s="172">
        <f t="shared" si="5"/>
        <v>1.6713650743923467</v>
      </c>
      <c r="AV14" s="170">
        <f t="shared" si="0"/>
        <v>4.373266834043954E-2</v>
      </c>
      <c r="AW14" s="181">
        <f t="shared" si="2"/>
        <v>2035</v>
      </c>
      <c r="AX14" s="183"/>
    </row>
    <row r="15" spans="1:50" x14ac:dyDescent="0.3">
      <c r="A15" s="125" t="s">
        <v>335</v>
      </c>
      <c r="B15" s="125">
        <v>78.67</v>
      </c>
      <c r="C15" s="167">
        <v>45748</v>
      </c>
      <c r="D15" s="125">
        <v>2025</v>
      </c>
      <c r="E15" s="125">
        <v>4</v>
      </c>
      <c r="F15" s="125" t="s">
        <v>372</v>
      </c>
      <c r="H15" s="126">
        <v>2036</v>
      </c>
      <c r="I15" s="169">
        <v>0.03</v>
      </c>
      <c r="J15" s="169">
        <v>0.02</v>
      </c>
      <c r="K15" s="171">
        <f t="shared" si="3"/>
        <v>5.5139979415778271</v>
      </c>
      <c r="L15" s="169">
        <v>8.5000000000000006E-2</v>
      </c>
      <c r="N15" s="167">
        <v>44943</v>
      </c>
      <c r="O15" s="171">
        <v>86.09</v>
      </c>
      <c r="P15" s="125">
        <v>2023</v>
      </c>
      <c r="Q15" s="125">
        <v>1</v>
      </c>
      <c r="R15" s="125" t="s">
        <v>136</v>
      </c>
      <c r="T15" s="125">
        <v>2022</v>
      </c>
      <c r="U15" s="125" t="s">
        <v>408</v>
      </c>
      <c r="V15" s="126">
        <v>454</v>
      </c>
      <c r="W15" s="127">
        <v>1.1100000000000001</v>
      </c>
      <c r="X15" s="128">
        <v>0.25280000000000002</v>
      </c>
      <c r="Y15" s="128">
        <v>0.1767</v>
      </c>
      <c r="Z15" s="127">
        <v>0.93</v>
      </c>
      <c r="AA15" s="128">
        <v>6.8199999999999997E-2</v>
      </c>
      <c r="AB15" s="127">
        <v>1</v>
      </c>
      <c r="AC15" s="129">
        <v>0.3281</v>
      </c>
      <c r="AD15" s="128">
        <v>0.29870000000000002</v>
      </c>
      <c r="AE15" s="128">
        <v>0.2787</v>
      </c>
      <c r="AG15" s="167">
        <v>40057</v>
      </c>
      <c r="AH15" s="173">
        <v>1021</v>
      </c>
      <c r="AI15" s="177">
        <v>3.4000000000000002E-2</v>
      </c>
      <c r="AJ15" s="173"/>
      <c r="AK15" s="127">
        <v>50.95</v>
      </c>
      <c r="AL15" s="127"/>
      <c r="AM15" s="177">
        <v>0.04</v>
      </c>
      <c r="AN15" s="128"/>
      <c r="AO15" s="175">
        <v>2009</v>
      </c>
      <c r="AQ15" s="125">
        <f t="shared" si="6"/>
        <v>13</v>
      </c>
      <c r="AR15" s="119"/>
      <c r="AS15" s="119"/>
      <c r="AT15" s="169">
        <f t="shared" si="4"/>
        <v>4.7905992904401451E-2</v>
      </c>
      <c r="AU15" s="171">
        <f t="shared" si="5"/>
        <v>1.751433477786851</v>
      </c>
      <c r="AV15" s="169">
        <f t="shared" si="0"/>
        <v>4.4053102387473286E-2</v>
      </c>
      <c r="AW15" s="180">
        <f t="shared" si="2"/>
        <v>2036</v>
      </c>
      <c r="AX15" s="182"/>
    </row>
    <row r="16" spans="1:50" x14ac:dyDescent="0.3">
      <c r="A16" s="83" t="s">
        <v>334</v>
      </c>
      <c r="B16" s="83">
        <v>78.260000000000005</v>
      </c>
      <c r="C16" s="168">
        <v>45778</v>
      </c>
      <c r="D16" s="83">
        <v>2025</v>
      </c>
      <c r="E16" s="83">
        <v>5</v>
      </c>
      <c r="F16" s="83" t="s">
        <v>372</v>
      </c>
      <c r="H16" s="84">
        <v>2037</v>
      </c>
      <c r="I16" s="170">
        <v>0.03</v>
      </c>
      <c r="J16" s="170">
        <v>0.02</v>
      </c>
      <c r="K16" s="172">
        <f t="shared" si="3"/>
        <v>5.5680567449266292</v>
      </c>
      <c r="L16" s="170">
        <v>8.5000000000000006E-2</v>
      </c>
      <c r="N16" s="168">
        <v>44944</v>
      </c>
      <c r="O16" s="172">
        <v>85.25</v>
      </c>
      <c r="P16" s="83">
        <v>2023</v>
      </c>
      <c r="Q16" s="83">
        <v>1</v>
      </c>
      <c r="R16" s="83" t="s">
        <v>136</v>
      </c>
      <c r="T16" s="83">
        <v>2022</v>
      </c>
      <c r="U16" s="83" t="s">
        <v>409</v>
      </c>
      <c r="V16" s="84">
        <v>961</v>
      </c>
      <c r="W16" s="85">
        <v>1.0900000000000001</v>
      </c>
      <c r="X16" s="86">
        <v>0.2326</v>
      </c>
      <c r="Y16" s="86">
        <v>0.16400000000000001</v>
      </c>
      <c r="Z16" s="85">
        <v>0.93</v>
      </c>
      <c r="AA16" s="86">
        <v>6.59E-2</v>
      </c>
      <c r="AB16" s="85">
        <v>1</v>
      </c>
      <c r="AC16" s="87">
        <v>0.38219999999999998</v>
      </c>
      <c r="AD16" s="86">
        <v>0.35510000000000003</v>
      </c>
      <c r="AE16" s="86">
        <v>0.17730000000000001</v>
      </c>
      <c r="AG16" s="168">
        <v>40087</v>
      </c>
      <c r="AH16" s="174">
        <v>1057</v>
      </c>
      <c r="AI16" s="178">
        <v>3.3000000000000002E-2</v>
      </c>
      <c r="AJ16" s="174"/>
      <c r="AK16" s="85">
        <v>48.52</v>
      </c>
      <c r="AL16" s="85"/>
      <c r="AM16" s="178">
        <v>0.04</v>
      </c>
      <c r="AN16" s="86"/>
      <c r="AO16" s="176">
        <v>2009</v>
      </c>
      <c r="AQ16" s="83">
        <f t="shared" si="6"/>
        <v>14</v>
      </c>
      <c r="AR16" s="119"/>
      <c r="AS16" s="119"/>
      <c r="AT16" s="170">
        <f t="shared" si="4"/>
        <v>4.7905992904401451E-2</v>
      </c>
      <c r="AU16" s="172">
        <f t="shared" si="5"/>
        <v>1.8353376375462391</v>
      </c>
      <c r="AV16" s="170">
        <f t="shared" si="0"/>
        <v>4.4327838439990996E-2</v>
      </c>
      <c r="AW16" s="181">
        <f t="shared" si="2"/>
        <v>2037</v>
      </c>
      <c r="AX16" s="183"/>
    </row>
    <row r="17" spans="1:50" x14ac:dyDescent="0.3">
      <c r="A17" s="125" t="s">
        <v>333</v>
      </c>
      <c r="B17" s="125">
        <v>77.900000000000006</v>
      </c>
      <c r="C17" s="167">
        <v>45809</v>
      </c>
      <c r="D17" s="125">
        <v>2025</v>
      </c>
      <c r="E17" s="125">
        <v>6</v>
      </c>
      <c r="F17" s="125" t="s">
        <v>372</v>
      </c>
      <c r="H17" s="126">
        <v>2038</v>
      </c>
      <c r="I17" s="169">
        <v>0.03</v>
      </c>
      <c r="J17" s="169">
        <v>0.02</v>
      </c>
      <c r="K17" s="171">
        <f t="shared" si="3"/>
        <v>5.6226455365435566</v>
      </c>
      <c r="L17" s="169">
        <v>8.5000000000000006E-2</v>
      </c>
      <c r="N17" s="167">
        <v>44945</v>
      </c>
      <c r="O17" s="171">
        <v>86.31</v>
      </c>
      <c r="P17" s="125">
        <v>2023</v>
      </c>
      <c r="Q17" s="125">
        <v>1</v>
      </c>
      <c r="R17" s="125" t="s">
        <v>136</v>
      </c>
      <c r="T17" s="125">
        <v>2022</v>
      </c>
      <c r="U17" s="125" t="s">
        <v>410</v>
      </c>
      <c r="V17" s="126">
        <v>54</v>
      </c>
      <c r="W17" s="127">
        <v>1.02</v>
      </c>
      <c r="X17" s="128">
        <v>0.97829999999999995</v>
      </c>
      <c r="Y17" s="128">
        <v>0.1323</v>
      </c>
      <c r="Z17" s="127">
        <v>0.59</v>
      </c>
      <c r="AA17" s="128">
        <v>2.63E-2</v>
      </c>
      <c r="AB17" s="127">
        <v>0.61</v>
      </c>
      <c r="AC17" s="129">
        <v>0.33379999999999999</v>
      </c>
      <c r="AD17" s="128">
        <v>0.26279999999999998</v>
      </c>
      <c r="AE17" s="128">
        <v>0.2369</v>
      </c>
      <c r="AG17" s="167">
        <v>40118</v>
      </c>
      <c r="AH17" s="173">
        <v>1036</v>
      </c>
      <c r="AI17" s="177">
        <v>3.39E-2</v>
      </c>
      <c r="AJ17" s="173"/>
      <c r="AK17" s="127">
        <v>48.52</v>
      </c>
      <c r="AL17" s="127"/>
      <c r="AM17" s="177">
        <v>0.04</v>
      </c>
      <c r="AN17" s="128"/>
      <c r="AO17" s="175">
        <v>2009</v>
      </c>
      <c r="AQ17" s="125">
        <f t="shared" si="6"/>
        <v>15</v>
      </c>
      <c r="AR17" s="119"/>
      <c r="AS17" s="119"/>
      <c r="AT17" s="169">
        <f t="shared" si="4"/>
        <v>4.7905992904401451E-2</v>
      </c>
      <c r="AU17" s="171">
        <f t="shared" si="5"/>
        <v>1.9232613093877102</v>
      </c>
      <c r="AV17" s="169">
        <f t="shared" si="0"/>
        <v>4.4566001496839647E-2</v>
      </c>
      <c r="AW17" s="180">
        <f t="shared" si="2"/>
        <v>2038</v>
      </c>
      <c r="AX17" s="182"/>
    </row>
    <row r="18" spans="1:50" x14ac:dyDescent="0.3">
      <c r="A18" s="83" t="s">
        <v>332</v>
      </c>
      <c r="B18" s="83">
        <v>77.53</v>
      </c>
      <c r="C18" s="168">
        <v>45839</v>
      </c>
      <c r="D18" s="83">
        <v>2025</v>
      </c>
      <c r="E18" s="83">
        <v>7</v>
      </c>
      <c r="F18" s="83" t="s">
        <v>373</v>
      </c>
      <c r="H18" s="84">
        <v>2039</v>
      </c>
      <c r="I18" s="170">
        <v>0.03</v>
      </c>
      <c r="J18" s="170">
        <v>0.02</v>
      </c>
      <c r="K18" s="172">
        <f t="shared" si="3"/>
        <v>5.6777695123920227</v>
      </c>
      <c r="L18" s="170">
        <v>8.5000000000000006E-2</v>
      </c>
      <c r="N18" s="168">
        <v>44946</v>
      </c>
      <c r="O18" s="172">
        <v>87.68</v>
      </c>
      <c r="P18" s="83">
        <v>2023</v>
      </c>
      <c r="Q18" s="83">
        <v>1</v>
      </c>
      <c r="R18" s="83" t="s">
        <v>136</v>
      </c>
      <c r="T18" s="83">
        <v>2022</v>
      </c>
      <c r="U18" s="83" t="s">
        <v>411</v>
      </c>
      <c r="V18" s="84">
        <v>879</v>
      </c>
      <c r="W18" s="85">
        <v>1.1399999999999999</v>
      </c>
      <c r="X18" s="86">
        <v>0.37080000000000002</v>
      </c>
      <c r="Y18" s="86">
        <v>0.15720000000000001</v>
      </c>
      <c r="Z18" s="85">
        <v>0.89</v>
      </c>
      <c r="AA18" s="86">
        <v>9.8000000000000004E-2</v>
      </c>
      <c r="AB18" s="85">
        <v>0.99</v>
      </c>
      <c r="AC18" s="87">
        <v>0.34039999999999998</v>
      </c>
      <c r="AD18" s="86">
        <v>0.32650000000000001</v>
      </c>
      <c r="AE18" s="86">
        <v>0.40600000000000003</v>
      </c>
      <c r="AG18" s="168">
        <v>40148</v>
      </c>
      <c r="AH18" s="174">
        <v>1096</v>
      </c>
      <c r="AI18" s="178">
        <v>3.2399999999999998E-2</v>
      </c>
      <c r="AJ18" s="174"/>
      <c r="AK18" s="85">
        <v>48.52</v>
      </c>
      <c r="AL18" s="85"/>
      <c r="AM18" s="178">
        <v>0.04</v>
      </c>
      <c r="AN18" s="86"/>
      <c r="AO18" s="176">
        <v>2009</v>
      </c>
      <c r="AQ18" s="83">
        <f t="shared" si="6"/>
        <v>16</v>
      </c>
      <c r="AR18" s="119"/>
      <c r="AS18" s="119"/>
      <c r="AT18" s="170">
        <f t="shared" si="4"/>
        <v>4.7905992904401451E-2</v>
      </c>
      <c r="AU18" s="172">
        <f t="shared" si="5"/>
        <v>2.0153970520285478</v>
      </c>
      <c r="AV18" s="170">
        <f t="shared" si="0"/>
        <v>4.4774438725627252E-2</v>
      </c>
      <c r="AW18" s="181">
        <f t="shared" si="2"/>
        <v>2039</v>
      </c>
      <c r="AX18" s="183"/>
    </row>
    <row r="19" spans="1:50" x14ac:dyDescent="0.3">
      <c r="A19" s="125" t="s">
        <v>331</v>
      </c>
      <c r="B19" s="125">
        <v>77.17</v>
      </c>
      <c r="C19" s="167">
        <v>45870</v>
      </c>
      <c r="D19" s="125">
        <v>2025</v>
      </c>
      <c r="E19" s="125">
        <v>8</v>
      </c>
      <c r="F19" s="125" t="s">
        <v>373</v>
      </c>
      <c r="H19" s="126">
        <v>2040</v>
      </c>
      <c r="I19" s="169">
        <v>0.03</v>
      </c>
      <c r="J19" s="169">
        <v>0.02</v>
      </c>
      <c r="K19" s="171">
        <f t="shared" si="3"/>
        <v>5.7334339193762576</v>
      </c>
      <c r="L19" s="169">
        <v>8.5000000000000006E-2</v>
      </c>
      <c r="N19" s="167">
        <v>44949</v>
      </c>
      <c r="O19" s="171">
        <v>88.16</v>
      </c>
      <c r="P19" s="125">
        <v>2023</v>
      </c>
      <c r="Q19" s="125">
        <v>1</v>
      </c>
      <c r="R19" s="125" t="s">
        <v>136</v>
      </c>
      <c r="T19" s="125">
        <v>2022</v>
      </c>
      <c r="U19" s="125" t="s">
        <v>412</v>
      </c>
      <c r="V19" s="126">
        <v>68</v>
      </c>
      <c r="W19" s="127">
        <v>1.2</v>
      </c>
      <c r="X19" s="128">
        <v>0.52180000000000004</v>
      </c>
      <c r="Y19" s="128">
        <v>0.21229999999999999</v>
      </c>
      <c r="Z19" s="127">
        <v>0.86</v>
      </c>
      <c r="AA19" s="128">
        <v>8.8700000000000001E-2</v>
      </c>
      <c r="AB19" s="127">
        <v>0.94</v>
      </c>
      <c r="AC19" s="129">
        <v>0.2465</v>
      </c>
      <c r="AD19" s="128">
        <v>0.2492</v>
      </c>
      <c r="AE19" s="128">
        <v>0.20080000000000001</v>
      </c>
      <c r="AG19" s="167">
        <v>40179</v>
      </c>
      <c r="AH19" s="173">
        <v>1115</v>
      </c>
      <c r="AI19" s="177">
        <v>3.8399999999999997E-2</v>
      </c>
      <c r="AJ19" s="173"/>
      <c r="AK19" s="127">
        <v>40.380000000000003</v>
      </c>
      <c r="AL19" s="127"/>
      <c r="AM19" s="177">
        <v>7.2099999999999997E-2</v>
      </c>
      <c r="AN19" s="128"/>
      <c r="AO19" s="175">
        <v>2010</v>
      </c>
      <c r="AQ19" s="125">
        <f t="shared" si="6"/>
        <v>17</v>
      </c>
      <c r="AR19" s="119"/>
      <c r="AS19" s="119"/>
      <c r="AT19" s="169">
        <f t="shared" si="4"/>
        <v>4.7905992904401451E-2</v>
      </c>
      <c r="AU19" s="171">
        <f t="shared" si="5"/>
        <v>2.1119466489025789</v>
      </c>
      <c r="AV19" s="169">
        <f t="shared" si="0"/>
        <v>4.4958388467686516E-2</v>
      </c>
      <c r="AW19" s="180">
        <f t="shared" si="2"/>
        <v>2040</v>
      </c>
      <c r="AX19" s="182"/>
    </row>
    <row r="20" spans="1:50" x14ac:dyDescent="0.3">
      <c r="A20" s="83" t="s">
        <v>330</v>
      </c>
      <c r="B20" s="83">
        <v>76.83</v>
      </c>
      <c r="C20" s="168">
        <v>45901</v>
      </c>
      <c r="D20" s="83">
        <v>2025</v>
      </c>
      <c r="E20" s="83">
        <v>9</v>
      </c>
      <c r="F20" s="83" t="s">
        <v>373</v>
      </c>
      <c r="H20" s="84">
        <v>2041</v>
      </c>
      <c r="I20" s="170">
        <v>0.03</v>
      </c>
      <c r="J20" s="170">
        <v>0.02</v>
      </c>
      <c r="K20" s="172">
        <f t="shared" si="3"/>
        <v>5.7896440558407303</v>
      </c>
      <c r="L20" s="170">
        <v>8.5000000000000006E-2</v>
      </c>
      <c r="N20" s="168">
        <v>44950</v>
      </c>
      <c r="O20" s="172">
        <v>86.25</v>
      </c>
      <c r="P20" s="83">
        <v>2023</v>
      </c>
      <c r="Q20" s="83">
        <v>1</v>
      </c>
      <c r="R20" s="83" t="s">
        <v>136</v>
      </c>
      <c r="T20" s="83">
        <v>2022</v>
      </c>
      <c r="U20" s="83" t="s">
        <v>413</v>
      </c>
      <c r="V20" s="84">
        <v>922</v>
      </c>
      <c r="W20" s="85">
        <v>1.1100000000000001</v>
      </c>
      <c r="X20" s="86">
        <v>0.21149999999999999</v>
      </c>
      <c r="Y20" s="86">
        <v>0.1593</v>
      </c>
      <c r="Z20" s="85">
        <v>0.95</v>
      </c>
      <c r="AA20" s="86">
        <v>6.5100000000000005E-2</v>
      </c>
      <c r="AB20" s="85">
        <v>1.02</v>
      </c>
      <c r="AC20" s="87">
        <v>0.35770000000000002</v>
      </c>
      <c r="AD20" s="86">
        <v>0.34150000000000003</v>
      </c>
      <c r="AE20" s="86">
        <v>0.2341</v>
      </c>
      <c r="AG20" s="168">
        <v>40210</v>
      </c>
      <c r="AH20" s="174">
        <v>1074</v>
      </c>
      <c r="AI20" s="178">
        <v>3.5799999999999998E-2</v>
      </c>
      <c r="AJ20" s="174"/>
      <c r="AK20" s="85">
        <v>40.380000000000003</v>
      </c>
      <c r="AL20" s="85"/>
      <c r="AM20" s="178">
        <v>7.2099999999999997E-2</v>
      </c>
      <c r="AN20" s="86"/>
      <c r="AO20" s="176">
        <v>2010</v>
      </c>
      <c r="AQ20" s="83">
        <f t="shared" si="6"/>
        <v>18</v>
      </c>
      <c r="AR20" s="119"/>
      <c r="AS20" s="119"/>
      <c r="AT20" s="170">
        <f t="shared" si="4"/>
        <v>4.7905992904401451E-2</v>
      </c>
      <c r="AU20" s="172">
        <f t="shared" si="5"/>
        <v>2.2131215500793804</v>
      </c>
      <c r="AV20" s="170">
        <f t="shared" si="0"/>
        <v>4.5121926538745916E-2</v>
      </c>
      <c r="AW20" s="181">
        <f t="shared" si="2"/>
        <v>2041</v>
      </c>
      <c r="AX20" s="183"/>
    </row>
    <row r="21" spans="1:50" x14ac:dyDescent="0.3">
      <c r="A21" s="125" t="s">
        <v>329</v>
      </c>
      <c r="B21" s="125">
        <v>76.510000000000005</v>
      </c>
      <c r="C21" s="167">
        <v>45931</v>
      </c>
      <c r="D21" s="125">
        <v>2025</v>
      </c>
      <c r="E21" s="125">
        <v>10</v>
      </c>
      <c r="F21" s="125" t="s">
        <v>374</v>
      </c>
      <c r="H21" s="126">
        <v>2042</v>
      </c>
      <c r="I21" s="169">
        <v>0.03</v>
      </c>
      <c r="J21" s="169">
        <v>0.02</v>
      </c>
      <c r="K21" s="171">
        <f t="shared" si="3"/>
        <v>5.8464052720744633</v>
      </c>
      <c r="L21" s="169">
        <v>8.5000000000000006E-2</v>
      </c>
      <c r="N21" s="167">
        <v>44951</v>
      </c>
      <c r="O21" s="171">
        <v>86.19</v>
      </c>
      <c r="P21" s="125">
        <v>2023</v>
      </c>
      <c r="Q21" s="125">
        <v>1</v>
      </c>
      <c r="R21" s="125" t="s">
        <v>136</v>
      </c>
      <c r="T21" s="125">
        <v>2022</v>
      </c>
      <c r="U21" s="125" t="s">
        <v>414</v>
      </c>
      <c r="V21" s="126">
        <v>212</v>
      </c>
      <c r="W21" s="127">
        <v>1.21</v>
      </c>
      <c r="X21" s="128">
        <v>0.24310000000000001</v>
      </c>
      <c r="Y21" s="128">
        <v>9.5399999999999999E-2</v>
      </c>
      <c r="Z21" s="127">
        <v>1.02</v>
      </c>
      <c r="AA21" s="128">
        <v>0.24279999999999999</v>
      </c>
      <c r="AB21" s="127">
        <v>1.35</v>
      </c>
      <c r="AC21" s="129">
        <v>0.48170000000000002</v>
      </c>
      <c r="AD21" s="128">
        <v>0.58730000000000004</v>
      </c>
      <c r="AE21" s="128">
        <v>0.52529999999999999</v>
      </c>
      <c r="AG21" s="167">
        <v>40238</v>
      </c>
      <c r="AH21" s="173">
        <v>1104</v>
      </c>
      <c r="AI21" s="177">
        <v>3.61E-2</v>
      </c>
      <c r="AJ21" s="173"/>
      <c r="AK21" s="127">
        <v>40.380000000000003</v>
      </c>
      <c r="AL21" s="127"/>
      <c r="AM21" s="177">
        <v>7.2099999999999997E-2</v>
      </c>
      <c r="AN21" s="128"/>
      <c r="AO21" s="175">
        <v>2010</v>
      </c>
      <c r="AQ21" s="125">
        <f t="shared" si="6"/>
        <v>19</v>
      </c>
      <c r="AR21" s="119"/>
      <c r="AS21" s="119"/>
      <c r="AT21" s="169">
        <f>AT22</f>
        <v>4.7905992904401451E-2</v>
      </c>
      <c r="AU21" s="171">
        <f t="shared" si="5"/>
        <v>2.3191433353540609</v>
      </c>
      <c r="AV21" s="169">
        <f t="shared" si="0"/>
        <v>4.526827177055659E-2</v>
      </c>
      <c r="AW21" s="180">
        <f t="shared" si="2"/>
        <v>2042</v>
      </c>
      <c r="AX21" s="182"/>
    </row>
    <row r="22" spans="1:50" x14ac:dyDescent="0.3">
      <c r="A22" s="83" t="s">
        <v>328</v>
      </c>
      <c r="B22" s="83">
        <v>76.19</v>
      </c>
      <c r="C22" s="168">
        <v>45962</v>
      </c>
      <c r="D22" s="83">
        <v>2025</v>
      </c>
      <c r="E22" s="83">
        <v>11</v>
      </c>
      <c r="F22" s="83" t="s">
        <v>374</v>
      </c>
      <c r="H22" s="84">
        <v>2043</v>
      </c>
      <c r="I22" s="170">
        <v>0.03</v>
      </c>
      <c r="J22" s="170">
        <v>0.02</v>
      </c>
      <c r="K22" s="172">
        <f t="shared" si="3"/>
        <v>5.903722970820291</v>
      </c>
      <c r="L22" s="170">
        <v>8.5000000000000006E-2</v>
      </c>
      <c r="N22" s="168">
        <v>44952</v>
      </c>
      <c r="O22" s="172">
        <v>87.28</v>
      </c>
      <c r="P22" s="83">
        <v>2023</v>
      </c>
      <c r="Q22" s="83">
        <v>1</v>
      </c>
      <c r="R22" s="83" t="s">
        <v>136</v>
      </c>
      <c r="T22" s="83">
        <v>2022</v>
      </c>
      <c r="U22" s="83" t="s">
        <v>415</v>
      </c>
      <c r="V22" s="84">
        <v>1105</v>
      </c>
      <c r="W22" s="85">
        <v>1.0900000000000001</v>
      </c>
      <c r="X22" s="86">
        <v>0.16350000000000001</v>
      </c>
      <c r="Y22" s="86">
        <v>0.16619999999999999</v>
      </c>
      <c r="Z22" s="85">
        <v>0.97</v>
      </c>
      <c r="AA22" s="86">
        <v>6.6000000000000003E-2</v>
      </c>
      <c r="AB22" s="85">
        <v>1.04</v>
      </c>
      <c r="AC22" s="87">
        <v>0.35720000000000002</v>
      </c>
      <c r="AD22" s="86">
        <v>0.33789999999999998</v>
      </c>
      <c r="AE22" s="86">
        <v>9.74E-2</v>
      </c>
      <c r="AG22" s="168">
        <v>40269</v>
      </c>
      <c r="AH22" s="174">
        <v>1169</v>
      </c>
      <c r="AI22" s="178">
        <v>3.8300000000000001E-2</v>
      </c>
      <c r="AJ22" s="174"/>
      <c r="AK22" s="85">
        <v>40.340000000000003</v>
      </c>
      <c r="AL22" s="85"/>
      <c r="AM22" s="178">
        <v>7.2099999999999997E-2</v>
      </c>
      <c r="AN22" s="86"/>
      <c r="AO22" s="176">
        <v>2010</v>
      </c>
      <c r="AQ22" s="83">
        <v>20</v>
      </c>
      <c r="AR22" s="236">
        <v>4.5400000000000003E-2</v>
      </c>
      <c r="AS22" s="170">
        <f>1+AR22</f>
        <v>1.0454000000000001</v>
      </c>
      <c r="AT22" s="170">
        <f>(AS22^20/AS12^10)^(1/10)-1</f>
        <v>4.7905992904401451E-2</v>
      </c>
      <c r="AU22" s="172">
        <f t="shared" si="5"/>
        <v>2.4302441995218227</v>
      </c>
      <c r="AV22" s="170">
        <f t="shared" si="0"/>
        <v>4.5400000000000107E-2</v>
      </c>
      <c r="AW22" s="181">
        <f t="shared" si="2"/>
        <v>2043</v>
      </c>
      <c r="AX22" s="194">
        <f>AV22-AR22</f>
        <v>1.0408340855860843E-16</v>
      </c>
    </row>
    <row r="23" spans="1:50" x14ac:dyDescent="0.3">
      <c r="A23" s="125" t="s">
        <v>327</v>
      </c>
      <c r="B23" s="125">
        <v>75.87</v>
      </c>
      <c r="C23" s="167">
        <v>45992</v>
      </c>
      <c r="D23" s="125">
        <v>2025</v>
      </c>
      <c r="E23" s="125">
        <v>12</v>
      </c>
      <c r="F23" s="125" t="s">
        <v>374</v>
      </c>
      <c r="H23" s="126">
        <v>2044</v>
      </c>
      <c r="I23" s="169">
        <v>0.03</v>
      </c>
      <c r="J23" s="169">
        <v>0.02</v>
      </c>
      <c r="K23" s="171">
        <f t="shared" si="3"/>
        <v>5.9616026077891178</v>
      </c>
      <c r="L23" s="169">
        <v>8.5000000000000006E-2</v>
      </c>
      <c r="N23" s="167">
        <v>44953</v>
      </c>
      <c r="O23" s="171">
        <v>86.4</v>
      </c>
      <c r="P23" s="125">
        <v>2023</v>
      </c>
      <c r="Q23" s="125">
        <v>1</v>
      </c>
      <c r="R23" s="125" t="s">
        <v>136</v>
      </c>
      <c r="T23" s="125">
        <v>2022</v>
      </c>
      <c r="U23" s="125" t="s">
        <v>416</v>
      </c>
      <c r="V23" s="126">
        <v>333</v>
      </c>
      <c r="W23" s="127">
        <v>1.26</v>
      </c>
      <c r="X23" s="128">
        <v>0.11849999999999999</v>
      </c>
      <c r="Y23" s="128">
        <v>0.1404</v>
      </c>
      <c r="Z23" s="127">
        <v>1.1599999999999999</v>
      </c>
      <c r="AA23" s="128">
        <v>5.0299999999999997E-2</v>
      </c>
      <c r="AB23" s="127">
        <v>1.22</v>
      </c>
      <c r="AC23" s="129">
        <v>0.35460000000000003</v>
      </c>
      <c r="AD23" s="128">
        <v>0.32919999999999999</v>
      </c>
      <c r="AE23" s="128">
        <v>0.23119999999999999</v>
      </c>
      <c r="AG23" s="167">
        <v>40299</v>
      </c>
      <c r="AH23" s="173">
        <v>1187</v>
      </c>
      <c r="AI23" s="177">
        <v>3.6499999999999998E-2</v>
      </c>
      <c r="AJ23" s="173"/>
      <c r="AK23" s="127">
        <v>40.340000000000003</v>
      </c>
      <c r="AL23" s="127"/>
      <c r="AM23" s="177">
        <v>7.2099999999999997E-2</v>
      </c>
      <c r="AN23" s="128"/>
      <c r="AO23" s="175">
        <v>2010</v>
      </c>
      <c r="AQ23" s="125">
        <f t="shared" si="6"/>
        <v>21</v>
      </c>
      <c r="AR23" s="119"/>
      <c r="AS23" s="119"/>
      <c r="AT23" s="169">
        <f t="shared" ref="AT23:AT30" si="7">AT24</f>
        <v>4.2402868799912063E-2</v>
      </c>
      <c r="AU23" s="171">
        <f t="shared" ref="AU23:AU35" si="8">((AU22)*(1+AT23))</f>
        <v>2.5332935254658939</v>
      </c>
      <c r="AV23" s="169">
        <f t="shared" si="0"/>
        <v>4.525708425682784E-2</v>
      </c>
      <c r="AW23" s="180">
        <f t="shared" si="2"/>
        <v>2044</v>
      </c>
      <c r="AX23" s="182"/>
    </row>
    <row r="24" spans="1:50" x14ac:dyDescent="0.3">
      <c r="A24" s="83" t="s">
        <v>326</v>
      </c>
      <c r="B24" s="83">
        <v>75.55</v>
      </c>
      <c r="C24" s="168">
        <v>46023</v>
      </c>
      <c r="D24" s="83">
        <v>2026</v>
      </c>
      <c r="E24" s="83">
        <v>1</v>
      </c>
      <c r="F24" s="83" t="s">
        <v>565</v>
      </c>
      <c r="H24" s="84">
        <v>2045</v>
      </c>
      <c r="I24" s="170">
        <v>0.03</v>
      </c>
      <c r="J24" s="170">
        <v>0.02</v>
      </c>
      <c r="K24" s="172">
        <f t="shared" si="3"/>
        <v>6.0200496921792075</v>
      </c>
      <c r="L24" s="170">
        <v>8.5000000000000006E-2</v>
      </c>
      <c r="N24" s="168">
        <v>44956</v>
      </c>
      <c r="O24" s="172">
        <v>84.5</v>
      </c>
      <c r="P24" s="83">
        <v>2023</v>
      </c>
      <c r="Q24" s="83">
        <v>1</v>
      </c>
      <c r="R24" s="83" t="s">
        <v>136</v>
      </c>
      <c r="T24" s="83">
        <v>2022</v>
      </c>
      <c r="U24" s="83" t="s">
        <v>474</v>
      </c>
      <c r="V24" s="84">
        <v>790</v>
      </c>
      <c r="W24" s="85">
        <v>1.1200000000000001</v>
      </c>
      <c r="X24" s="86">
        <v>0.4521</v>
      </c>
      <c r="Y24" s="86">
        <v>0.14829999999999999</v>
      </c>
      <c r="Z24" s="85">
        <v>0.83</v>
      </c>
      <c r="AA24" s="86">
        <v>0.1111</v>
      </c>
      <c r="AB24" s="85">
        <v>0.94</v>
      </c>
      <c r="AC24" s="87">
        <v>0.3322</v>
      </c>
      <c r="AD24" s="86">
        <v>0.30149999999999999</v>
      </c>
      <c r="AE24" s="86">
        <v>0.27900000000000003</v>
      </c>
      <c r="AG24" s="168">
        <v>40330</v>
      </c>
      <c r="AH24" s="174">
        <v>1089</v>
      </c>
      <c r="AI24" s="178">
        <v>3.3000000000000002E-2</v>
      </c>
      <c r="AJ24" s="174"/>
      <c r="AK24" s="85">
        <v>40.340000000000003</v>
      </c>
      <c r="AL24" s="85"/>
      <c r="AM24" s="178">
        <v>7.2099999999999997E-2</v>
      </c>
      <c r="AN24" s="86"/>
      <c r="AO24" s="176">
        <v>2010</v>
      </c>
      <c r="AQ24" s="83">
        <f t="shared" si="6"/>
        <v>22</v>
      </c>
      <c r="AR24" s="119"/>
      <c r="AS24" s="119"/>
      <c r="AT24" s="170">
        <f t="shared" si="7"/>
        <v>4.2402868799912063E-2</v>
      </c>
      <c r="AU24" s="172">
        <f t="shared" si="8"/>
        <v>2.6407124384578911</v>
      </c>
      <c r="AV24" s="170">
        <f t="shared" si="0"/>
        <v>4.5127177808381047E-2</v>
      </c>
      <c r="AW24" s="181">
        <f t="shared" si="2"/>
        <v>2045</v>
      </c>
      <c r="AX24" s="183"/>
    </row>
    <row r="25" spans="1:50" x14ac:dyDescent="0.3">
      <c r="A25" s="125" t="s">
        <v>325</v>
      </c>
      <c r="B25" s="125">
        <v>75.260000000000005</v>
      </c>
      <c r="C25" s="167">
        <v>46054</v>
      </c>
      <c r="D25" s="125">
        <v>2026</v>
      </c>
      <c r="E25" s="125">
        <v>2</v>
      </c>
      <c r="F25" s="125" t="s">
        <v>565</v>
      </c>
      <c r="H25" s="126">
        <v>2046</v>
      </c>
      <c r="I25" s="169">
        <v>0.03</v>
      </c>
      <c r="J25" s="169">
        <v>0.02</v>
      </c>
      <c r="K25" s="171">
        <f t="shared" si="3"/>
        <v>6.0790697872005719</v>
      </c>
      <c r="L25" s="169">
        <v>8.5000000000000006E-2</v>
      </c>
      <c r="N25" s="167">
        <v>44957</v>
      </c>
      <c r="O25" s="171">
        <v>85.46</v>
      </c>
      <c r="P25" s="125">
        <v>2023</v>
      </c>
      <c r="Q25" s="125">
        <v>1</v>
      </c>
      <c r="R25" s="125" t="s">
        <v>136</v>
      </c>
      <c r="T25" s="125">
        <v>2022</v>
      </c>
      <c r="U25" s="125" t="s">
        <v>417</v>
      </c>
      <c r="V25" s="126">
        <v>314</v>
      </c>
      <c r="W25" s="127">
        <v>0.96</v>
      </c>
      <c r="X25" s="128">
        <v>0.55900000000000005</v>
      </c>
      <c r="Y25" s="128">
        <v>0.13389999999999999</v>
      </c>
      <c r="Z25" s="127">
        <v>0.68</v>
      </c>
      <c r="AA25" s="128">
        <v>7.6799999999999993E-2</v>
      </c>
      <c r="AB25" s="127">
        <v>0.73</v>
      </c>
      <c r="AC25" s="129">
        <v>0.31290000000000001</v>
      </c>
      <c r="AD25" s="128">
        <v>0.27350000000000002</v>
      </c>
      <c r="AE25" s="128">
        <v>0.30080000000000001</v>
      </c>
      <c r="AG25" s="167">
        <v>40360</v>
      </c>
      <c r="AH25" s="173">
        <v>1031</v>
      </c>
      <c r="AI25" s="177">
        <v>2.9600000000000001E-2</v>
      </c>
      <c r="AJ25" s="173"/>
      <c r="AK25" s="127">
        <v>42.44</v>
      </c>
      <c r="AL25" s="127"/>
      <c r="AM25" s="177">
        <v>7.2099999999999997E-2</v>
      </c>
      <c r="AN25" s="128"/>
      <c r="AO25" s="175">
        <v>2010</v>
      </c>
      <c r="AQ25" s="125">
        <f t="shared" si="6"/>
        <v>23</v>
      </c>
      <c r="AR25" s="119"/>
      <c r="AS25" s="119"/>
      <c r="AT25" s="169">
        <f t="shared" si="7"/>
        <v>4.2402868799912063E-2</v>
      </c>
      <c r="AU25" s="171">
        <f t="shared" si="8"/>
        <v>2.752686221524117</v>
      </c>
      <c r="AV25" s="169">
        <f t="shared" si="0"/>
        <v>4.5008581673071646E-2</v>
      </c>
      <c r="AW25" s="180">
        <f t="shared" si="2"/>
        <v>2046</v>
      </c>
      <c r="AX25" s="182"/>
    </row>
    <row r="26" spans="1:50" x14ac:dyDescent="0.3">
      <c r="A26" s="83" t="s">
        <v>324</v>
      </c>
      <c r="B26" s="83">
        <v>74.989999999999995</v>
      </c>
      <c r="C26" s="168">
        <v>46082</v>
      </c>
      <c r="D26" s="83">
        <v>2026</v>
      </c>
      <c r="E26" s="83">
        <v>3</v>
      </c>
      <c r="F26" s="83" t="s">
        <v>565</v>
      </c>
      <c r="H26" s="84">
        <v>2047</v>
      </c>
      <c r="I26" s="170">
        <v>0.03</v>
      </c>
      <c r="J26" s="170">
        <v>0.02</v>
      </c>
      <c r="K26" s="172">
        <f t="shared" si="3"/>
        <v>6.1386685106044991</v>
      </c>
      <c r="L26" s="170">
        <v>8.5000000000000006E-2</v>
      </c>
      <c r="N26" s="168">
        <v>44958</v>
      </c>
      <c r="O26" s="172">
        <v>82.84</v>
      </c>
      <c r="P26" s="83">
        <v>2023</v>
      </c>
      <c r="Q26" s="83">
        <v>2</v>
      </c>
      <c r="R26" s="83" t="s">
        <v>136</v>
      </c>
      <c r="T26" s="83">
        <v>2022</v>
      </c>
      <c r="U26" s="83" t="s">
        <v>475</v>
      </c>
      <c r="V26" s="84">
        <v>1267</v>
      </c>
      <c r="W26" s="85">
        <v>1.27</v>
      </c>
      <c r="X26" s="86">
        <v>0.12859999999999999</v>
      </c>
      <c r="Y26" s="86">
        <v>2.47E-2</v>
      </c>
      <c r="Z26" s="85">
        <v>1.1599999999999999</v>
      </c>
      <c r="AA26" s="86">
        <v>7.6999999999999999E-2</v>
      </c>
      <c r="AB26" s="85">
        <v>1.25</v>
      </c>
      <c r="AC26" s="87">
        <v>0.56330000000000002</v>
      </c>
      <c r="AD26" s="86">
        <v>0.51690000000000003</v>
      </c>
      <c r="AE26" s="86">
        <v>0.27350000000000002</v>
      </c>
      <c r="AG26" s="168">
        <v>40391</v>
      </c>
      <c r="AH26" s="174">
        <v>1106</v>
      </c>
      <c r="AI26" s="178">
        <v>2.9100000000000001E-2</v>
      </c>
      <c r="AJ26" s="174"/>
      <c r="AK26" s="85">
        <v>42.44</v>
      </c>
      <c r="AL26" s="85"/>
      <c r="AM26" s="178">
        <v>7.2099999999999997E-2</v>
      </c>
      <c r="AN26" s="86"/>
      <c r="AO26" s="176">
        <v>2010</v>
      </c>
      <c r="AQ26" s="83">
        <f t="shared" si="6"/>
        <v>24</v>
      </c>
      <c r="AR26" s="119"/>
      <c r="AS26" s="119"/>
      <c r="AT26" s="170">
        <f t="shared" si="7"/>
        <v>4.2402868799912063E-2</v>
      </c>
      <c r="AU26" s="172">
        <f t="shared" si="8"/>
        <v>2.8694080142227296</v>
      </c>
      <c r="AV26" s="170">
        <f t="shared" si="0"/>
        <v>4.4899880371320533E-2</v>
      </c>
      <c r="AW26" s="181">
        <f t="shared" si="2"/>
        <v>2047</v>
      </c>
      <c r="AX26" s="183"/>
    </row>
    <row r="27" spans="1:50" x14ac:dyDescent="0.3">
      <c r="A27" s="125" t="s">
        <v>323</v>
      </c>
      <c r="B27" s="125">
        <v>74.709999999999994</v>
      </c>
      <c r="C27" s="167">
        <v>46113</v>
      </c>
      <c r="D27" s="125">
        <v>2026</v>
      </c>
      <c r="E27" s="125">
        <v>4</v>
      </c>
      <c r="F27" s="125" t="s">
        <v>566</v>
      </c>
      <c r="H27" s="126">
        <v>2048</v>
      </c>
      <c r="I27" s="169">
        <v>0.03</v>
      </c>
      <c r="J27" s="169">
        <v>0.02</v>
      </c>
      <c r="K27" s="171">
        <f t="shared" si="3"/>
        <v>6.1988515352182691</v>
      </c>
      <c r="L27" s="169">
        <v>8.5000000000000006E-2</v>
      </c>
      <c r="N27" s="167">
        <v>44959</v>
      </c>
      <c r="O27" s="171">
        <v>82.17</v>
      </c>
      <c r="P27" s="125">
        <v>2023</v>
      </c>
      <c r="Q27" s="125">
        <v>2</v>
      </c>
      <c r="R27" s="125" t="s">
        <v>136</v>
      </c>
      <c r="T27" s="125">
        <v>2022</v>
      </c>
      <c r="U27" s="125" t="s">
        <v>476</v>
      </c>
      <c r="V27" s="126">
        <v>1352</v>
      </c>
      <c r="W27" s="127">
        <v>1.06</v>
      </c>
      <c r="X27" s="128">
        <v>0.15140000000000001</v>
      </c>
      <c r="Y27" s="128">
        <v>9.8000000000000004E-2</v>
      </c>
      <c r="Z27" s="127">
        <v>0.95</v>
      </c>
      <c r="AA27" s="128">
        <v>4.1000000000000002E-2</v>
      </c>
      <c r="AB27" s="127">
        <v>1</v>
      </c>
      <c r="AC27" s="129">
        <v>0.4672</v>
      </c>
      <c r="AD27" s="128">
        <v>0.44280000000000003</v>
      </c>
      <c r="AE27" s="128">
        <v>0.1331</v>
      </c>
      <c r="AG27" s="167">
        <v>40422</v>
      </c>
      <c r="AH27" s="173">
        <v>1049</v>
      </c>
      <c r="AI27" s="177">
        <v>2.47E-2</v>
      </c>
      <c r="AJ27" s="173"/>
      <c r="AK27" s="127">
        <v>42.44</v>
      </c>
      <c r="AL27" s="127"/>
      <c r="AM27" s="177">
        <v>7.2099999999999997E-2</v>
      </c>
      <c r="AN27" s="128"/>
      <c r="AO27" s="175">
        <v>2010</v>
      </c>
      <c r="AQ27" s="125">
        <f t="shared" si="6"/>
        <v>25</v>
      </c>
      <c r="AR27" s="119"/>
      <c r="AS27" s="119"/>
      <c r="AT27" s="169">
        <f t="shared" si="7"/>
        <v>4.2402868799912063E-2</v>
      </c>
      <c r="AU27" s="171">
        <f t="shared" si="8"/>
        <v>2.9910791457832322</v>
      </c>
      <c r="AV27" s="169">
        <f t="shared" si="0"/>
        <v>4.4799885160131225E-2</v>
      </c>
      <c r="AW27" s="180">
        <f t="shared" si="2"/>
        <v>2048</v>
      </c>
      <c r="AX27" s="182"/>
    </row>
    <row r="28" spans="1:50" x14ac:dyDescent="0.3">
      <c r="A28" s="83" t="s">
        <v>322</v>
      </c>
      <c r="B28" s="83">
        <v>74.45</v>
      </c>
      <c r="C28" s="168">
        <v>46143</v>
      </c>
      <c r="D28" s="83">
        <v>2026</v>
      </c>
      <c r="E28" s="83">
        <v>5</v>
      </c>
      <c r="F28" s="83" t="s">
        <v>566</v>
      </c>
      <c r="H28" s="84">
        <v>2049</v>
      </c>
      <c r="I28" s="170">
        <v>0.03</v>
      </c>
      <c r="J28" s="170">
        <v>0.02</v>
      </c>
      <c r="K28" s="172">
        <f t="shared" si="3"/>
        <v>6.2596245894851146</v>
      </c>
      <c r="L28" s="170">
        <v>8.5000000000000006E-2</v>
      </c>
      <c r="N28" s="168">
        <v>44960</v>
      </c>
      <c r="O28" s="172">
        <v>79.94</v>
      </c>
      <c r="P28" s="83">
        <v>2023</v>
      </c>
      <c r="Q28" s="83">
        <v>2</v>
      </c>
      <c r="R28" s="83" t="s">
        <v>136</v>
      </c>
      <c r="T28" s="83">
        <v>2022</v>
      </c>
      <c r="U28" s="83" t="s">
        <v>477</v>
      </c>
      <c r="V28" s="84">
        <v>251</v>
      </c>
      <c r="W28" s="85">
        <v>0.88</v>
      </c>
      <c r="X28" s="86">
        <v>0.32879999999999998</v>
      </c>
      <c r="Y28" s="86">
        <v>0.13159999999999999</v>
      </c>
      <c r="Z28" s="85">
        <v>0.7</v>
      </c>
      <c r="AA28" s="86">
        <v>0.1104</v>
      </c>
      <c r="AB28" s="85">
        <v>0.79</v>
      </c>
      <c r="AC28" s="87">
        <v>0.39610000000000001</v>
      </c>
      <c r="AD28" s="86">
        <v>0.3412</v>
      </c>
      <c r="AE28" s="86">
        <v>0.1885</v>
      </c>
      <c r="AG28" s="168">
        <v>40452</v>
      </c>
      <c r="AH28" s="174">
        <v>1141</v>
      </c>
      <c r="AI28" s="178">
        <v>2.5100000000000001E-2</v>
      </c>
      <c r="AJ28" s="174"/>
      <c r="AK28" s="85">
        <v>48.2</v>
      </c>
      <c r="AL28" s="85"/>
      <c r="AM28" s="178">
        <v>7.2099999999999997E-2</v>
      </c>
      <c r="AN28" s="86"/>
      <c r="AO28" s="176">
        <v>2010</v>
      </c>
      <c r="AQ28" s="83">
        <f t="shared" si="6"/>
        <v>26</v>
      </c>
      <c r="AR28" s="119"/>
      <c r="AS28" s="119"/>
      <c r="AT28" s="170">
        <f t="shared" si="7"/>
        <v>4.2402868799912063E-2</v>
      </c>
      <c r="AU28" s="172">
        <f t="shared" si="8"/>
        <v>3.1179094823720317</v>
      </c>
      <c r="AV28" s="170">
        <f t="shared" si="0"/>
        <v>4.4707590381816154E-2</v>
      </c>
      <c r="AW28" s="181">
        <f t="shared" si="2"/>
        <v>2049</v>
      </c>
      <c r="AX28" s="183"/>
    </row>
    <row r="29" spans="1:50" x14ac:dyDescent="0.3">
      <c r="A29" s="125" t="s">
        <v>321</v>
      </c>
      <c r="B29" s="125">
        <v>74.23</v>
      </c>
      <c r="C29" s="167">
        <v>46174</v>
      </c>
      <c r="D29" s="125">
        <v>2026</v>
      </c>
      <c r="E29" s="125">
        <v>6</v>
      </c>
      <c r="F29" s="125" t="s">
        <v>566</v>
      </c>
      <c r="H29" s="126">
        <v>2050</v>
      </c>
      <c r="I29" s="169">
        <v>0.03</v>
      </c>
      <c r="J29" s="169">
        <v>0.02</v>
      </c>
      <c r="K29" s="171">
        <f t="shared" si="3"/>
        <v>6.3209934580094789</v>
      </c>
      <c r="L29" s="169">
        <v>8.5000000000000006E-2</v>
      </c>
      <c r="N29" s="167">
        <v>44963</v>
      </c>
      <c r="O29" s="171">
        <v>80.989999999999995</v>
      </c>
      <c r="P29" s="125">
        <v>2023</v>
      </c>
      <c r="Q29" s="125">
        <v>2</v>
      </c>
      <c r="R29" s="125" t="s">
        <v>136</v>
      </c>
      <c r="T29" s="125">
        <v>2022</v>
      </c>
      <c r="U29" s="125" t="s">
        <v>418</v>
      </c>
      <c r="V29" s="126">
        <v>1045</v>
      </c>
      <c r="W29" s="127">
        <v>1.1399999999999999</v>
      </c>
      <c r="X29" s="128">
        <v>0.16689999999999999</v>
      </c>
      <c r="Y29" s="128">
        <v>0.11700000000000001</v>
      </c>
      <c r="Z29" s="127">
        <v>1.01</v>
      </c>
      <c r="AA29" s="128">
        <v>8.4500000000000006E-2</v>
      </c>
      <c r="AB29" s="127">
        <v>1.1000000000000001</v>
      </c>
      <c r="AC29" s="129">
        <v>0.38729999999999998</v>
      </c>
      <c r="AD29" s="128">
        <v>0.3725</v>
      </c>
      <c r="AE29" s="128">
        <v>0.1608</v>
      </c>
      <c r="AG29" s="167">
        <v>40483</v>
      </c>
      <c r="AH29" s="173">
        <v>1183</v>
      </c>
      <c r="AI29" s="177">
        <v>2.5999999999999999E-2</v>
      </c>
      <c r="AJ29" s="173"/>
      <c r="AK29" s="127">
        <v>48.2</v>
      </c>
      <c r="AL29" s="127"/>
      <c r="AM29" s="177">
        <v>7.2099999999999997E-2</v>
      </c>
      <c r="AN29" s="128"/>
      <c r="AO29" s="175">
        <v>2010</v>
      </c>
      <c r="AQ29" s="125">
        <f t="shared" si="6"/>
        <v>27</v>
      </c>
      <c r="AR29" s="119"/>
      <c r="AS29" s="119"/>
      <c r="AT29" s="169">
        <f t="shared" si="7"/>
        <v>4.2402868799912063E-2</v>
      </c>
      <c r="AU29" s="171">
        <f t="shared" si="8"/>
        <v>3.2501177890830548</v>
      </c>
      <c r="AV29" s="169">
        <f t="shared" si="0"/>
        <v>4.4622139523303073E-2</v>
      </c>
      <c r="AW29" s="180">
        <f t="shared" si="2"/>
        <v>2050</v>
      </c>
      <c r="AX29" s="182"/>
    </row>
    <row r="30" spans="1:50" x14ac:dyDescent="0.3">
      <c r="A30" s="83" t="s">
        <v>320</v>
      </c>
      <c r="B30" s="83">
        <v>73.98</v>
      </c>
      <c r="C30" s="168">
        <v>46204</v>
      </c>
      <c r="D30" s="83">
        <v>2026</v>
      </c>
      <c r="E30" s="83">
        <v>7</v>
      </c>
      <c r="F30" s="83" t="s">
        <v>567</v>
      </c>
      <c r="H30" s="84">
        <v>2051</v>
      </c>
      <c r="I30" s="170">
        <v>0.03</v>
      </c>
      <c r="J30" s="170">
        <v>0.02</v>
      </c>
      <c r="K30" s="172">
        <f t="shared" si="3"/>
        <v>6.3829639821076105</v>
      </c>
      <c r="L30" s="170">
        <v>8.5000000000000006E-2</v>
      </c>
      <c r="N30" s="168">
        <v>44964</v>
      </c>
      <c r="O30" s="172">
        <v>83.69</v>
      </c>
      <c r="P30" s="83">
        <v>2023</v>
      </c>
      <c r="Q30" s="83">
        <v>2</v>
      </c>
      <c r="R30" s="83" t="s">
        <v>136</v>
      </c>
      <c r="T30" s="83">
        <v>2022</v>
      </c>
      <c r="U30" s="83" t="s">
        <v>419</v>
      </c>
      <c r="V30" s="84">
        <v>134</v>
      </c>
      <c r="W30" s="85">
        <v>1.27</v>
      </c>
      <c r="X30" s="86">
        <v>0.44330000000000003</v>
      </c>
      <c r="Y30" s="86">
        <v>0.1255</v>
      </c>
      <c r="Z30" s="85">
        <v>0.95</v>
      </c>
      <c r="AA30" s="86">
        <v>0.12920000000000001</v>
      </c>
      <c r="AB30" s="85">
        <v>1.1000000000000001</v>
      </c>
      <c r="AC30" s="87">
        <v>0.39500000000000002</v>
      </c>
      <c r="AD30" s="86">
        <v>0.3463</v>
      </c>
      <c r="AE30" s="86">
        <v>0.47049999999999997</v>
      </c>
      <c r="AG30" s="168">
        <v>40513</v>
      </c>
      <c r="AH30" s="174">
        <v>1181</v>
      </c>
      <c r="AI30" s="178">
        <v>2.8000000000000001E-2</v>
      </c>
      <c r="AJ30" s="174"/>
      <c r="AK30" s="85">
        <v>48.2</v>
      </c>
      <c r="AL30" s="85"/>
      <c r="AM30" s="178">
        <v>7.2099999999999997E-2</v>
      </c>
      <c r="AN30" s="86"/>
      <c r="AO30" s="176">
        <v>2010</v>
      </c>
      <c r="AQ30" s="83">
        <f t="shared" si="6"/>
        <v>28</v>
      </c>
      <c r="AR30" s="119"/>
      <c r="AS30" s="119"/>
      <c r="AT30" s="170">
        <f t="shared" si="7"/>
        <v>4.2402868799912063E-2</v>
      </c>
      <c r="AU30" s="172">
        <f t="shared" si="8"/>
        <v>3.3879321072778037</v>
      </c>
      <c r="AV30" s="170">
        <f t="shared" si="0"/>
        <v>4.454279855589327E-2</v>
      </c>
      <c r="AW30" s="181">
        <f t="shared" si="2"/>
        <v>2051</v>
      </c>
      <c r="AX30" s="183"/>
    </row>
    <row r="31" spans="1:50" x14ac:dyDescent="0.3">
      <c r="A31" s="125" t="s">
        <v>319</v>
      </c>
      <c r="B31" s="125">
        <v>73.739999999999995</v>
      </c>
      <c r="C31" s="167">
        <v>46235</v>
      </c>
      <c r="D31" s="125">
        <v>2026</v>
      </c>
      <c r="E31" s="125">
        <v>8</v>
      </c>
      <c r="F31" s="125" t="s">
        <v>567</v>
      </c>
      <c r="H31" s="126">
        <v>2052</v>
      </c>
      <c r="I31" s="169">
        <v>0.03</v>
      </c>
      <c r="J31" s="169">
        <v>0.02</v>
      </c>
      <c r="K31" s="171">
        <f t="shared" si="3"/>
        <v>6.445542060363568</v>
      </c>
      <c r="L31" s="169">
        <v>8.5000000000000006E-2</v>
      </c>
      <c r="N31" s="167">
        <v>44965</v>
      </c>
      <c r="O31" s="171">
        <v>85.09</v>
      </c>
      <c r="P31" s="125">
        <v>2023</v>
      </c>
      <c r="Q31" s="125">
        <v>2</v>
      </c>
      <c r="R31" s="125" t="s">
        <v>136</v>
      </c>
      <c r="T31" s="125">
        <v>2022</v>
      </c>
      <c r="U31" s="125" t="s">
        <v>478</v>
      </c>
      <c r="V31" s="126">
        <v>1457</v>
      </c>
      <c r="W31" s="127">
        <v>1.3</v>
      </c>
      <c r="X31" s="128">
        <v>0.1953</v>
      </c>
      <c r="Y31" s="128">
        <v>0.12429999999999999</v>
      </c>
      <c r="Z31" s="127">
        <v>1.1299999999999999</v>
      </c>
      <c r="AA31" s="128">
        <v>0.1249</v>
      </c>
      <c r="AB31" s="127">
        <v>1.29</v>
      </c>
      <c r="AC31" s="129">
        <v>0.36159999999999998</v>
      </c>
      <c r="AD31" s="128">
        <v>0.33179999999999998</v>
      </c>
      <c r="AE31" s="128">
        <v>0.3483</v>
      </c>
      <c r="AG31" s="167">
        <v>40544</v>
      </c>
      <c r="AH31" s="173">
        <v>1258</v>
      </c>
      <c r="AI31" s="177">
        <v>3.2899999999999999E-2</v>
      </c>
      <c r="AJ31" s="173"/>
      <c r="AK31" s="127">
        <v>53.96</v>
      </c>
      <c r="AL31" s="127"/>
      <c r="AM31" s="177">
        <v>6.9500000000000006E-2</v>
      </c>
      <c r="AN31" s="128"/>
      <c r="AO31" s="175">
        <v>2011</v>
      </c>
      <c r="AQ31" s="125">
        <f t="shared" si="6"/>
        <v>29</v>
      </c>
      <c r="AR31" s="119"/>
      <c r="AS31" s="119"/>
      <c r="AT31" s="169">
        <f>AT32</f>
        <v>4.2402868799912063E-2</v>
      </c>
      <c r="AU31" s="171">
        <f t="shared" si="8"/>
        <v>3.5315901479257139</v>
      </c>
      <c r="AV31" s="169">
        <f t="shared" si="0"/>
        <v>4.446893479638292E-2</v>
      </c>
      <c r="AW31" s="180">
        <f t="shared" si="2"/>
        <v>2052</v>
      </c>
      <c r="AX31" s="182"/>
    </row>
    <row r="32" spans="1:50" x14ac:dyDescent="0.3">
      <c r="A32" s="83" t="s">
        <v>318</v>
      </c>
      <c r="B32" s="83">
        <v>73.510000000000005</v>
      </c>
      <c r="C32" s="168">
        <v>46266</v>
      </c>
      <c r="D32" s="83">
        <v>2026</v>
      </c>
      <c r="E32" s="83">
        <v>9</v>
      </c>
      <c r="F32" s="83" t="s">
        <v>567</v>
      </c>
      <c r="H32" s="84">
        <v>2053</v>
      </c>
      <c r="I32" s="170">
        <v>0.03</v>
      </c>
      <c r="J32" s="170">
        <v>0.02</v>
      </c>
      <c r="K32" s="172">
        <f t="shared" si="3"/>
        <v>6.5087336491906616</v>
      </c>
      <c r="L32" s="170">
        <v>8.5000000000000006E-2</v>
      </c>
      <c r="N32" s="168">
        <v>44966</v>
      </c>
      <c r="O32" s="172">
        <v>84.5</v>
      </c>
      <c r="P32" s="83">
        <v>2023</v>
      </c>
      <c r="Q32" s="83">
        <v>2</v>
      </c>
      <c r="R32" s="83" t="s">
        <v>136</v>
      </c>
      <c r="T32" s="83">
        <v>2022</v>
      </c>
      <c r="U32" s="83" t="s">
        <v>479</v>
      </c>
      <c r="V32" s="84">
        <v>1269</v>
      </c>
      <c r="W32" s="85">
        <v>1.03</v>
      </c>
      <c r="X32" s="86">
        <v>1.0424</v>
      </c>
      <c r="Y32" s="86">
        <v>0.1588</v>
      </c>
      <c r="Z32" s="85">
        <v>0.57999999999999996</v>
      </c>
      <c r="AA32" s="86">
        <v>0.21010000000000001</v>
      </c>
      <c r="AB32" s="85">
        <v>0.73</v>
      </c>
      <c r="AC32" s="87">
        <v>0.35039999999999999</v>
      </c>
      <c r="AD32" s="86">
        <v>0.32279999999999998</v>
      </c>
      <c r="AE32" s="86">
        <v>0.2429</v>
      </c>
      <c r="AG32" s="168">
        <v>40575</v>
      </c>
      <c r="AH32" s="174">
        <v>1286</v>
      </c>
      <c r="AI32" s="178">
        <v>3.3799999999999997E-2</v>
      </c>
      <c r="AJ32" s="174"/>
      <c r="AK32" s="85">
        <v>53.96</v>
      </c>
      <c r="AL32" s="85"/>
      <c r="AM32" s="178">
        <v>6.9500000000000006E-2</v>
      </c>
      <c r="AN32" s="86"/>
      <c r="AO32" s="176">
        <v>2011</v>
      </c>
      <c r="AQ32" s="83">
        <v>30</v>
      </c>
      <c r="AR32" s="236">
        <v>4.4400000000000002E-2</v>
      </c>
      <c r="AS32" s="170">
        <f>1+AR32</f>
        <v>1.0444</v>
      </c>
      <c r="AT32" s="170">
        <f>(AS32^30/AS22^20)^(1/10)-1</f>
        <v>4.2402868799912063E-2</v>
      </c>
      <c r="AU32" s="172">
        <f t="shared" si="8"/>
        <v>3.6813397016232701</v>
      </c>
      <c r="AV32" s="170">
        <f t="shared" si="0"/>
        <v>4.4399999999999995E-2</v>
      </c>
      <c r="AW32" s="181">
        <f t="shared" si="2"/>
        <v>2053</v>
      </c>
      <c r="AX32" s="194">
        <f>AV32-AR32</f>
        <v>0</v>
      </c>
    </row>
    <row r="33" spans="1:50" x14ac:dyDescent="0.3">
      <c r="A33" s="125" t="s">
        <v>317</v>
      </c>
      <c r="B33" s="125">
        <v>73.3</v>
      </c>
      <c r="C33" s="167">
        <v>46296</v>
      </c>
      <c r="D33" s="125">
        <v>2026</v>
      </c>
      <c r="E33" s="125">
        <v>10</v>
      </c>
      <c r="F33" s="125" t="s">
        <v>568</v>
      </c>
      <c r="H33" s="126">
        <v>2054</v>
      </c>
      <c r="I33" s="169">
        <v>0.03</v>
      </c>
      <c r="J33" s="169">
        <v>0.02</v>
      </c>
      <c r="K33" s="171">
        <f t="shared" si="3"/>
        <v>6.5725447633984135</v>
      </c>
      <c r="L33" s="169">
        <v>8.5000000000000006E-2</v>
      </c>
      <c r="N33" s="167">
        <v>44967</v>
      </c>
      <c r="O33" s="171">
        <v>86.39</v>
      </c>
      <c r="P33" s="125">
        <v>2023</v>
      </c>
      <c r="Q33" s="125">
        <v>2</v>
      </c>
      <c r="R33" s="125" t="s">
        <v>136</v>
      </c>
      <c r="T33" s="125">
        <v>2022</v>
      </c>
      <c r="U33" s="125" t="s">
        <v>420</v>
      </c>
      <c r="V33" s="126">
        <v>752</v>
      </c>
      <c r="W33" s="127">
        <v>1.2</v>
      </c>
      <c r="X33" s="128">
        <v>0.26400000000000001</v>
      </c>
      <c r="Y33" s="128">
        <v>8.6599999999999996E-2</v>
      </c>
      <c r="Z33" s="127">
        <v>1</v>
      </c>
      <c r="AA33" s="128">
        <v>9.0399999999999994E-2</v>
      </c>
      <c r="AB33" s="127">
        <v>1.1000000000000001</v>
      </c>
      <c r="AC33" s="129">
        <v>0.46089999999999998</v>
      </c>
      <c r="AD33" s="128">
        <v>0.42670000000000002</v>
      </c>
      <c r="AE33" s="128">
        <v>0.23</v>
      </c>
      <c r="AG33" s="167">
        <v>40603</v>
      </c>
      <c r="AH33" s="173">
        <v>1327</v>
      </c>
      <c r="AI33" s="177">
        <v>3.4200000000000001E-2</v>
      </c>
      <c r="AJ33" s="173"/>
      <c r="AK33" s="127">
        <v>53.96</v>
      </c>
      <c r="AL33" s="127"/>
      <c r="AM33" s="177">
        <v>6.9500000000000006E-2</v>
      </c>
      <c r="AN33" s="128"/>
      <c r="AO33" s="175">
        <v>2011</v>
      </c>
      <c r="AQ33" s="125">
        <f t="shared" si="6"/>
        <v>31</v>
      </c>
      <c r="AR33" s="119"/>
      <c r="AS33" s="119"/>
      <c r="AT33" s="169">
        <f>AT32</f>
        <v>4.2402868799912063E-2</v>
      </c>
      <c r="AU33" s="171">
        <f t="shared" si="8"/>
        <v>3.8374390659991091</v>
      </c>
      <c r="AV33" s="169">
        <f>AV32</f>
        <v>4.4399999999999995E-2</v>
      </c>
      <c r="AW33" s="180">
        <f>AW32+1</f>
        <v>2054</v>
      </c>
      <c r="AX33" s="182"/>
    </row>
    <row r="34" spans="1:50" x14ac:dyDescent="0.3">
      <c r="A34" s="83" t="s">
        <v>316</v>
      </c>
      <c r="B34" s="83">
        <v>73.08</v>
      </c>
      <c r="C34" s="168">
        <v>46327</v>
      </c>
      <c r="D34" s="83">
        <v>2026</v>
      </c>
      <c r="E34" s="83">
        <v>11</v>
      </c>
      <c r="F34" s="83" t="s">
        <v>568</v>
      </c>
      <c r="H34" s="84">
        <v>2055</v>
      </c>
      <c r="I34" s="170">
        <v>0.03</v>
      </c>
      <c r="J34" s="170">
        <v>0.02</v>
      </c>
      <c r="K34" s="172">
        <f t="shared" si="3"/>
        <v>6.6369814767650652</v>
      </c>
      <c r="L34" s="170">
        <v>8.5000000000000006E-2</v>
      </c>
      <c r="N34" s="168">
        <v>44970</v>
      </c>
      <c r="O34" s="172">
        <v>86.61</v>
      </c>
      <c r="P34" s="83">
        <v>2023</v>
      </c>
      <c r="Q34" s="83">
        <v>2</v>
      </c>
      <c r="R34" s="83" t="s">
        <v>136</v>
      </c>
      <c r="T34" s="83">
        <v>2022</v>
      </c>
      <c r="U34" s="83" t="s">
        <v>421</v>
      </c>
      <c r="V34" s="84">
        <v>370</v>
      </c>
      <c r="W34" s="85">
        <v>1.0900000000000001</v>
      </c>
      <c r="X34" s="86">
        <v>0.37409999999999999</v>
      </c>
      <c r="Y34" s="86">
        <v>0.1268</v>
      </c>
      <c r="Z34" s="85">
        <v>0.85</v>
      </c>
      <c r="AA34" s="86">
        <v>5.2999999999999999E-2</v>
      </c>
      <c r="AB34" s="85">
        <v>0.9</v>
      </c>
      <c r="AC34" s="87">
        <v>0.40350000000000003</v>
      </c>
      <c r="AD34" s="86">
        <v>0.38240000000000002</v>
      </c>
      <c r="AE34" s="86">
        <v>0.25590000000000002</v>
      </c>
      <c r="AG34" s="168">
        <v>40634</v>
      </c>
      <c r="AH34" s="174">
        <v>1326</v>
      </c>
      <c r="AI34" s="178">
        <v>3.4700000000000002E-2</v>
      </c>
      <c r="AJ34" s="174"/>
      <c r="AK34" s="85">
        <v>58.54</v>
      </c>
      <c r="AL34" s="85"/>
      <c r="AM34" s="178">
        <v>6.9500000000000006E-2</v>
      </c>
      <c r="AN34" s="86"/>
      <c r="AO34" s="176">
        <v>2011</v>
      </c>
      <c r="AQ34" s="83">
        <f t="shared" si="6"/>
        <v>32</v>
      </c>
      <c r="AR34" s="119"/>
      <c r="AS34" s="119"/>
      <c r="AT34" s="170">
        <f t="shared" ref="AT34:AT45" si="9">AT33</f>
        <v>4.2402868799912063E-2</v>
      </c>
      <c r="AU34" s="172">
        <f t="shared" si="8"/>
        <v>4.0001574912423266</v>
      </c>
      <c r="AV34" s="170">
        <f>AU34^(1/$AQ34)-1</f>
        <v>4.4275067277717683E-2</v>
      </c>
      <c r="AW34" s="181">
        <f>AW33+1</f>
        <v>2055</v>
      </c>
      <c r="AX34" s="183"/>
    </row>
    <row r="35" spans="1:50" x14ac:dyDescent="0.3">
      <c r="A35" s="125" t="s">
        <v>315</v>
      </c>
      <c r="B35" s="125">
        <v>72.88</v>
      </c>
      <c r="C35" s="167">
        <v>46357</v>
      </c>
      <c r="D35" s="125">
        <v>2026</v>
      </c>
      <c r="E35" s="125">
        <v>12</v>
      </c>
      <c r="F35" s="125" t="s">
        <v>568</v>
      </c>
      <c r="H35" s="126">
        <v>2056</v>
      </c>
      <c r="I35" s="169">
        <v>0.03</v>
      </c>
      <c r="J35" s="169">
        <v>0.02</v>
      </c>
      <c r="K35" s="171">
        <f t="shared" si="3"/>
        <v>6.7020499226157026</v>
      </c>
      <c r="L35" s="169">
        <v>8.5000000000000006E-2</v>
      </c>
      <c r="N35" s="167">
        <v>44971</v>
      </c>
      <c r="O35" s="171">
        <v>85.3</v>
      </c>
      <c r="P35" s="125">
        <v>2023</v>
      </c>
      <c r="Q35" s="125">
        <v>2</v>
      </c>
      <c r="R35" s="125" t="s">
        <v>136</v>
      </c>
      <c r="T35" s="125">
        <v>2022</v>
      </c>
      <c r="U35" s="125" t="s">
        <v>422</v>
      </c>
      <c r="V35" s="126">
        <v>426</v>
      </c>
      <c r="W35" s="127">
        <v>0.84</v>
      </c>
      <c r="X35" s="128">
        <v>0.46439999999999998</v>
      </c>
      <c r="Y35" s="128">
        <v>0.12620000000000001</v>
      </c>
      <c r="Z35" s="127">
        <v>0.62</v>
      </c>
      <c r="AA35" s="128">
        <v>5.45E-2</v>
      </c>
      <c r="AB35" s="127">
        <v>0.66</v>
      </c>
      <c r="AC35" s="129">
        <v>0.37930000000000003</v>
      </c>
      <c r="AD35" s="128">
        <v>0.34160000000000001</v>
      </c>
      <c r="AE35" s="128">
        <v>0.1913</v>
      </c>
      <c r="AG35" s="167">
        <v>40664</v>
      </c>
      <c r="AH35" s="173">
        <v>1364</v>
      </c>
      <c r="AI35" s="177">
        <v>3.2899999999999999E-2</v>
      </c>
      <c r="AJ35" s="173"/>
      <c r="AK35" s="127">
        <v>58.15</v>
      </c>
      <c r="AL35" s="127"/>
      <c r="AM35" s="177">
        <v>6.9500000000000006E-2</v>
      </c>
      <c r="AN35" s="128"/>
      <c r="AO35" s="175">
        <v>2011</v>
      </c>
      <c r="AQ35" s="125">
        <f t="shared" si="6"/>
        <v>33</v>
      </c>
      <c r="AR35" s="119"/>
      <c r="AS35" s="119"/>
      <c r="AT35" s="169">
        <f t="shared" si="9"/>
        <v>4.2402868799912063E-2</v>
      </c>
      <c r="AU35" s="171">
        <f t="shared" si="8"/>
        <v>4.1697756445224607</v>
      </c>
      <c r="AV35" s="169">
        <f>AU35^(1/$AQ35)-1</f>
        <v>4.4218284617165482E-2</v>
      </c>
      <c r="AW35" s="180">
        <f t="shared" ref="AW35:AW45" si="10">AW34+1</f>
        <v>2056</v>
      </c>
      <c r="AX35" s="182"/>
    </row>
    <row r="36" spans="1:50" x14ac:dyDescent="0.3">
      <c r="A36" s="83" t="s">
        <v>314</v>
      </c>
      <c r="B36" s="83">
        <v>72.67</v>
      </c>
      <c r="C36" s="168">
        <v>46388</v>
      </c>
      <c r="D36" s="83">
        <v>2027</v>
      </c>
      <c r="E36" s="83">
        <v>1</v>
      </c>
      <c r="F36" s="83" t="s">
        <v>569</v>
      </c>
      <c r="H36" s="84">
        <v>2057</v>
      </c>
      <c r="I36" s="170">
        <v>0.03</v>
      </c>
      <c r="J36" s="170">
        <v>0.02</v>
      </c>
      <c r="K36" s="172">
        <f t="shared" si="3"/>
        <v>6.7677562944060528</v>
      </c>
      <c r="L36" s="170">
        <v>8.5000000000000006E-2</v>
      </c>
      <c r="N36" s="168">
        <v>44972</v>
      </c>
      <c r="O36" s="172">
        <v>85.05</v>
      </c>
      <c r="P36" s="83">
        <v>2023</v>
      </c>
      <c r="Q36" s="83">
        <v>2</v>
      </c>
      <c r="R36" s="83" t="s">
        <v>136</v>
      </c>
      <c r="T36" s="83">
        <v>2022</v>
      </c>
      <c r="U36" s="83" t="s">
        <v>423</v>
      </c>
      <c r="V36" s="84">
        <v>1089</v>
      </c>
      <c r="W36" s="85">
        <v>0.88</v>
      </c>
      <c r="X36" s="86">
        <v>6.8083999999999998</v>
      </c>
      <c r="Y36" s="86">
        <v>0.15559999999999999</v>
      </c>
      <c r="Z36" s="85">
        <v>0.14000000000000001</v>
      </c>
      <c r="AA36" s="86">
        <v>7.4099999999999999E-2</v>
      </c>
      <c r="AB36" s="85">
        <v>0.16</v>
      </c>
      <c r="AC36" s="87">
        <v>0.35649999999999998</v>
      </c>
      <c r="AD36" s="86">
        <v>0.33119999999999999</v>
      </c>
      <c r="AE36" s="86">
        <v>0.39900000000000002</v>
      </c>
      <c r="AG36" s="168">
        <v>40695</v>
      </c>
      <c r="AH36" s="174">
        <v>1345</v>
      </c>
      <c r="AI36" s="178">
        <v>3.0599999999999999E-2</v>
      </c>
      <c r="AJ36" s="174"/>
      <c r="AK36" s="85">
        <v>58.15</v>
      </c>
      <c r="AL36" s="85"/>
      <c r="AM36" s="178">
        <v>6.9500000000000006E-2</v>
      </c>
      <c r="AN36" s="86"/>
      <c r="AO36" s="176">
        <v>2011</v>
      </c>
      <c r="AQ36" s="83">
        <f t="shared" si="6"/>
        <v>34</v>
      </c>
      <c r="AR36" s="119"/>
      <c r="AS36" s="119"/>
      <c r="AT36" s="170">
        <f t="shared" si="9"/>
        <v>4.2402868799912063E-2</v>
      </c>
      <c r="AU36" s="172">
        <f t="shared" ref="AU36:AU45" si="11">((AU35)*(1+AT36))</f>
        <v>4.3465860941022152</v>
      </c>
      <c r="AV36" s="170">
        <f t="shared" ref="AV36:AV45" si="12">AU36^(1/$AQ36)-1</f>
        <v>4.4164844933596958E-2</v>
      </c>
      <c r="AW36" s="181">
        <f t="shared" si="10"/>
        <v>2057</v>
      </c>
      <c r="AX36" s="183"/>
    </row>
    <row r="37" spans="1:50" x14ac:dyDescent="0.3">
      <c r="A37" s="125" t="s">
        <v>313</v>
      </c>
      <c r="B37" s="125">
        <v>72.489999999999995</v>
      </c>
      <c r="C37" s="167">
        <v>46419</v>
      </c>
      <c r="D37" s="125">
        <v>2027</v>
      </c>
      <c r="E37" s="125">
        <v>2</v>
      </c>
      <c r="F37" s="125" t="s">
        <v>569</v>
      </c>
      <c r="H37" s="126">
        <v>2058</v>
      </c>
      <c r="I37" s="169">
        <v>0.03</v>
      </c>
      <c r="J37" s="169">
        <v>0.02</v>
      </c>
      <c r="K37" s="171">
        <f t="shared" si="3"/>
        <v>6.8341068463119949</v>
      </c>
      <c r="L37" s="169">
        <v>8.5000000000000006E-2</v>
      </c>
      <c r="N37" s="167">
        <v>44973</v>
      </c>
      <c r="O37" s="171">
        <v>84.8</v>
      </c>
      <c r="P37" s="125">
        <v>2023</v>
      </c>
      <c r="Q37" s="125">
        <v>2</v>
      </c>
      <c r="R37" s="125" t="s">
        <v>136</v>
      </c>
      <c r="T37" s="125">
        <v>2022</v>
      </c>
      <c r="U37" s="125" t="s">
        <v>424</v>
      </c>
      <c r="V37" s="126">
        <v>1397</v>
      </c>
      <c r="W37" s="127">
        <v>0.8</v>
      </c>
      <c r="X37" s="128">
        <v>0.28989999999999999</v>
      </c>
      <c r="Y37" s="128">
        <v>0.15179999999999999</v>
      </c>
      <c r="Z37" s="127">
        <v>0.65</v>
      </c>
      <c r="AA37" s="128">
        <v>5.5599999999999997E-2</v>
      </c>
      <c r="AB37" s="127">
        <v>0.69</v>
      </c>
      <c r="AC37" s="129">
        <v>0.33300000000000002</v>
      </c>
      <c r="AD37" s="128">
        <v>0.29170000000000001</v>
      </c>
      <c r="AE37" s="128">
        <v>0.17910000000000001</v>
      </c>
      <c r="AG37" s="167">
        <v>40725</v>
      </c>
      <c r="AH37" s="173">
        <v>1321</v>
      </c>
      <c r="AI37" s="177">
        <v>3.1699999999999999E-2</v>
      </c>
      <c r="AJ37" s="173"/>
      <c r="AK37" s="127">
        <v>62.24</v>
      </c>
      <c r="AL37" s="127"/>
      <c r="AM37" s="177">
        <v>6.9500000000000006E-2</v>
      </c>
      <c r="AN37" s="128"/>
      <c r="AO37" s="175">
        <v>2011</v>
      </c>
      <c r="AQ37" s="125">
        <f t="shared" si="6"/>
        <v>35</v>
      </c>
      <c r="AR37" s="119"/>
      <c r="AS37" s="119"/>
      <c r="AT37" s="169">
        <f t="shared" si="9"/>
        <v>4.2402868799912063E-2</v>
      </c>
      <c r="AU37" s="171">
        <f t="shared" si="11"/>
        <v>4.5308938139779533</v>
      </c>
      <c r="AV37" s="169">
        <f t="shared" si="12"/>
        <v>4.4114461451151055E-2</v>
      </c>
      <c r="AW37" s="180">
        <f t="shared" si="10"/>
        <v>2058</v>
      </c>
      <c r="AX37" s="182"/>
    </row>
    <row r="38" spans="1:50" x14ac:dyDescent="0.3">
      <c r="A38" s="83" t="s">
        <v>312</v>
      </c>
      <c r="B38" s="83">
        <v>72.31</v>
      </c>
      <c r="C38" s="168">
        <v>46447</v>
      </c>
      <c r="D38" s="83">
        <v>2027</v>
      </c>
      <c r="E38" s="83">
        <v>3</v>
      </c>
      <c r="F38" s="83" t="s">
        <v>569</v>
      </c>
      <c r="H38" s="84">
        <v>2059</v>
      </c>
      <c r="I38" s="170">
        <v>0.03</v>
      </c>
      <c r="J38" s="170">
        <v>0.02</v>
      </c>
      <c r="K38" s="172">
        <f t="shared" si="3"/>
        <v>6.9011078938248582</v>
      </c>
      <c r="L38" s="170">
        <v>8.5000000000000006E-2</v>
      </c>
      <c r="N38" s="168">
        <v>44974</v>
      </c>
      <c r="O38" s="172">
        <v>82.67</v>
      </c>
      <c r="P38" s="83">
        <v>2023</v>
      </c>
      <c r="Q38" s="83">
        <v>2</v>
      </c>
      <c r="R38" s="83" t="s">
        <v>136</v>
      </c>
      <c r="T38" s="83">
        <v>2022</v>
      </c>
      <c r="U38" s="83" t="s">
        <v>425</v>
      </c>
      <c r="V38" s="84">
        <v>169</v>
      </c>
      <c r="W38" s="85">
        <v>0.69</v>
      </c>
      <c r="X38" s="86">
        <v>0.67969999999999997</v>
      </c>
      <c r="Y38" s="86">
        <v>0.1663</v>
      </c>
      <c r="Z38" s="85">
        <v>0.46</v>
      </c>
      <c r="AA38" s="86">
        <v>6.0699999999999997E-2</v>
      </c>
      <c r="AB38" s="85">
        <v>0.48</v>
      </c>
      <c r="AC38" s="87">
        <v>0.3327</v>
      </c>
      <c r="AD38" s="86">
        <v>0.31459999999999999</v>
      </c>
      <c r="AE38" s="86">
        <v>0.1608</v>
      </c>
      <c r="AG38" s="168">
        <v>40756</v>
      </c>
      <c r="AH38" s="174">
        <v>1292</v>
      </c>
      <c r="AI38" s="178">
        <v>2.8000000000000001E-2</v>
      </c>
      <c r="AJ38" s="174"/>
      <c r="AK38" s="85">
        <v>62.24</v>
      </c>
      <c r="AL38" s="85"/>
      <c r="AM38" s="178">
        <v>6.9500000000000006E-2</v>
      </c>
      <c r="AN38" s="86"/>
      <c r="AO38" s="176">
        <v>2011</v>
      </c>
      <c r="AQ38" s="83">
        <f t="shared" si="6"/>
        <v>36</v>
      </c>
      <c r="AR38" s="119"/>
      <c r="AS38" s="119"/>
      <c r="AT38" s="170">
        <f t="shared" si="9"/>
        <v>4.2402868799912063E-2</v>
      </c>
      <c r="AU38" s="172">
        <f t="shared" si="11"/>
        <v>4.7230167099183937</v>
      </c>
      <c r="AV38" s="170">
        <f t="shared" si="12"/>
        <v>4.4066879283348515E-2</v>
      </c>
      <c r="AW38" s="181">
        <f t="shared" si="10"/>
        <v>2059</v>
      </c>
      <c r="AX38" s="183"/>
    </row>
    <row r="39" spans="1:50" x14ac:dyDescent="0.3">
      <c r="A39" s="125" t="s">
        <v>311</v>
      </c>
      <c r="B39" s="125">
        <v>72.16</v>
      </c>
      <c r="C39" s="167">
        <v>46478</v>
      </c>
      <c r="D39" s="125">
        <v>2027</v>
      </c>
      <c r="E39" s="125">
        <v>4</v>
      </c>
      <c r="F39" s="125" t="s">
        <v>570</v>
      </c>
      <c r="H39" s="126">
        <v>2060</v>
      </c>
      <c r="I39" s="169">
        <v>0.03</v>
      </c>
      <c r="J39" s="169">
        <v>0.02</v>
      </c>
      <c r="K39" s="171">
        <f t="shared" si="3"/>
        <v>6.9687658143525528</v>
      </c>
      <c r="L39" s="169">
        <v>8.5000000000000006E-2</v>
      </c>
      <c r="N39" s="167">
        <v>44977</v>
      </c>
      <c r="O39" s="171">
        <v>83.78</v>
      </c>
      <c r="P39" s="125">
        <v>2023</v>
      </c>
      <c r="Q39" s="125">
        <v>2</v>
      </c>
      <c r="R39" s="125" t="s">
        <v>136</v>
      </c>
      <c r="T39" s="125">
        <v>2022</v>
      </c>
      <c r="U39" s="125" t="s">
        <v>426</v>
      </c>
      <c r="V39" s="126">
        <v>362</v>
      </c>
      <c r="W39" s="127">
        <v>1.08</v>
      </c>
      <c r="X39" s="128">
        <v>0.25679999999999997</v>
      </c>
      <c r="Y39" s="128">
        <v>0.15040000000000001</v>
      </c>
      <c r="Z39" s="127">
        <v>0.91</v>
      </c>
      <c r="AA39" s="128">
        <v>0.16689999999999999</v>
      </c>
      <c r="AB39" s="127">
        <v>1.0900000000000001</v>
      </c>
      <c r="AC39" s="129">
        <v>0.3523</v>
      </c>
      <c r="AD39" s="128">
        <v>0.30130000000000001</v>
      </c>
      <c r="AE39" s="128">
        <v>0.30020000000000002</v>
      </c>
      <c r="AG39" s="167">
        <v>40787</v>
      </c>
      <c r="AH39" s="173">
        <v>1219</v>
      </c>
      <c r="AI39" s="177">
        <v>2.23E-2</v>
      </c>
      <c r="AJ39" s="173"/>
      <c r="AK39" s="127">
        <v>62.24</v>
      </c>
      <c r="AL39" s="127"/>
      <c r="AM39" s="177">
        <v>6.9500000000000006E-2</v>
      </c>
      <c r="AN39" s="128"/>
      <c r="AO39" s="175">
        <v>2011</v>
      </c>
      <c r="AQ39" s="125">
        <f t="shared" si="6"/>
        <v>37</v>
      </c>
      <c r="AR39" s="119"/>
      <c r="AS39" s="119"/>
      <c r="AT39" s="169">
        <f t="shared" si="9"/>
        <v>4.2402868799912063E-2</v>
      </c>
      <c r="AU39" s="171">
        <f t="shared" si="11"/>
        <v>4.9232861678088558</v>
      </c>
      <c r="AV39" s="169">
        <f t="shared" si="12"/>
        <v>4.4021871120373701E-2</v>
      </c>
      <c r="AW39" s="180">
        <f t="shared" si="10"/>
        <v>2060</v>
      </c>
      <c r="AX39" s="182"/>
    </row>
    <row r="40" spans="1:50" x14ac:dyDescent="0.3">
      <c r="A40" s="83" t="s">
        <v>310</v>
      </c>
      <c r="B40" s="83">
        <v>72.010000000000005</v>
      </c>
      <c r="C40" s="168">
        <v>46508</v>
      </c>
      <c r="D40" s="83">
        <v>2027</v>
      </c>
      <c r="E40" s="83">
        <v>5</v>
      </c>
      <c r="F40" s="83" t="s">
        <v>570</v>
      </c>
      <c r="H40" s="84">
        <v>2061</v>
      </c>
      <c r="I40" s="170">
        <v>0.03</v>
      </c>
      <c r="J40" s="170">
        <v>0.02</v>
      </c>
      <c r="K40" s="172">
        <f t="shared" si="3"/>
        <v>7.0370870478265974</v>
      </c>
      <c r="L40" s="170">
        <v>8.5000000000000006E-2</v>
      </c>
      <c r="N40" s="168">
        <v>44978</v>
      </c>
      <c r="O40" s="172">
        <v>82.77</v>
      </c>
      <c r="P40" s="83">
        <v>2023</v>
      </c>
      <c r="Q40" s="83">
        <v>2</v>
      </c>
      <c r="R40" s="83" t="s">
        <v>136</v>
      </c>
      <c r="T40" s="83">
        <v>2022</v>
      </c>
      <c r="U40" s="83" t="s">
        <v>480</v>
      </c>
      <c r="V40" s="84">
        <v>248</v>
      </c>
      <c r="W40" s="85">
        <v>1.03</v>
      </c>
      <c r="X40" s="86">
        <v>0.62309999999999999</v>
      </c>
      <c r="Y40" s="86">
        <v>0.1038</v>
      </c>
      <c r="Z40" s="85">
        <v>0.7</v>
      </c>
      <c r="AA40" s="86">
        <v>4.82E-2</v>
      </c>
      <c r="AB40" s="85">
        <v>0.74</v>
      </c>
      <c r="AC40" s="87">
        <v>0.38319999999999999</v>
      </c>
      <c r="AD40" s="86">
        <v>0.36969999999999997</v>
      </c>
      <c r="AE40" s="86">
        <v>0.4032</v>
      </c>
      <c r="AG40" s="168">
        <v>40817</v>
      </c>
      <c r="AH40" s="174">
        <v>1131</v>
      </c>
      <c r="AI40" s="178">
        <v>1.9199999999999998E-2</v>
      </c>
      <c r="AJ40" s="174"/>
      <c r="AK40" s="85">
        <v>68.650000000000006</v>
      </c>
      <c r="AL40" s="85"/>
      <c r="AM40" s="178">
        <v>6.9500000000000006E-2</v>
      </c>
      <c r="AN40" s="86"/>
      <c r="AO40" s="176">
        <v>2011</v>
      </c>
      <c r="AQ40" s="83">
        <f t="shared" si="6"/>
        <v>38</v>
      </c>
      <c r="AR40" s="119"/>
      <c r="AS40" s="119"/>
      <c r="AT40" s="170">
        <f t="shared" si="9"/>
        <v>4.2402868799912063E-2</v>
      </c>
      <c r="AU40" s="172">
        <f t="shared" si="11"/>
        <v>5.1320476252468765</v>
      </c>
      <c r="AV40" s="170">
        <f t="shared" si="12"/>
        <v>4.3979233597828848E-2</v>
      </c>
      <c r="AW40" s="181">
        <f t="shared" si="10"/>
        <v>2061</v>
      </c>
      <c r="AX40" s="183"/>
    </row>
    <row r="41" spans="1:50" x14ac:dyDescent="0.3">
      <c r="A41" s="125" t="s">
        <v>309</v>
      </c>
      <c r="B41" s="125">
        <v>71.88</v>
      </c>
      <c r="C41" s="167">
        <v>46539</v>
      </c>
      <c r="D41" s="125">
        <v>2027</v>
      </c>
      <c r="E41" s="125">
        <v>6</v>
      </c>
      <c r="F41" s="125" t="s">
        <v>570</v>
      </c>
      <c r="H41" s="126">
        <v>2062</v>
      </c>
      <c r="I41" s="169">
        <v>0.03</v>
      </c>
      <c r="J41" s="169">
        <v>0.02</v>
      </c>
      <c r="K41" s="171">
        <f t="shared" si="3"/>
        <v>7.106078097315093</v>
      </c>
      <c r="L41" s="169">
        <v>8.5000000000000006E-2</v>
      </c>
      <c r="N41" s="167">
        <v>44979</v>
      </c>
      <c r="O41" s="171">
        <v>80.45</v>
      </c>
      <c r="P41" s="125">
        <v>2023</v>
      </c>
      <c r="Q41" s="125">
        <v>2</v>
      </c>
      <c r="R41" s="125" t="s">
        <v>136</v>
      </c>
      <c r="T41" s="125">
        <v>2022</v>
      </c>
      <c r="U41" s="125" t="s">
        <v>427</v>
      </c>
      <c r="V41" s="126">
        <v>896</v>
      </c>
      <c r="W41" s="127">
        <v>1.1299999999999999</v>
      </c>
      <c r="X41" s="128">
        <v>0.13150000000000001</v>
      </c>
      <c r="Y41" s="128">
        <v>7.8899999999999998E-2</v>
      </c>
      <c r="Z41" s="127">
        <v>1.03</v>
      </c>
      <c r="AA41" s="128">
        <v>4.5400000000000003E-2</v>
      </c>
      <c r="AB41" s="127">
        <v>1.08</v>
      </c>
      <c r="AC41" s="129">
        <v>0.47070000000000001</v>
      </c>
      <c r="AD41" s="128">
        <v>0.43159999999999998</v>
      </c>
      <c r="AE41" s="128">
        <v>0.34639999999999999</v>
      </c>
      <c r="AG41" s="167">
        <v>40848</v>
      </c>
      <c r="AH41" s="173">
        <v>1253</v>
      </c>
      <c r="AI41" s="177">
        <v>2.0500000000000001E-2</v>
      </c>
      <c r="AJ41" s="173"/>
      <c r="AK41" s="127">
        <v>68.650000000000006</v>
      </c>
      <c r="AL41" s="127"/>
      <c r="AM41" s="177">
        <v>5.5E-2</v>
      </c>
      <c r="AN41" s="128"/>
      <c r="AO41" s="175">
        <v>2011</v>
      </c>
      <c r="AQ41" s="125">
        <f t="shared" si="6"/>
        <v>39</v>
      </c>
      <c r="AR41" s="119"/>
      <c r="AS41" s="119"/>
      <c r="AT41" s="169">
        <f t="shared" si="9"/>
        <v>4.2402868799912063E-2</v>
      </c>
      <c r="AU41" s="171">
        <f t="shared" si="11"/>
        <v>5.3496611673751202</v>
      </c>
      <c r="AV41" s="169">
        <f t="shared" si="12"/>
        <v>4.3938784224548888E-2</v>
      </c>
      <c r="AW41" s="180">
        <f t="shared" si="10"/>
        <v>2062</v>
      </c>
      <c r="AX41" s="182"/>
    </row>
    <row r="42" spans="1:50" x14ac:dyDescent="0.3">
      <c r="A42" s="83" t="s">
        <v>308</v>
      </c>
      <c r="B42" s="83">
        <v>71.72</v>
      </c>
      <c r="C42" s="168">
        <v>46569</v>
      </c>
      <c r="D42" s="83">
        <v>2027</v>
      </c>
      <c r="E42" s="83">
        <v>7</v>
      </c>
      <c r="F42" s="83" t="s">
        <v>571</v>
      </c>
      <c r="H42" s="84">
        <v>2063</v>
      </c>
      <c r="I42" s="170">
        <v>0.03</v>
      </c>
      <c r="J42" s="170">
        <v>0.02</v>
      </c>
      <c r="K42" s="172">
        <f t="shared" si="3"/>
        <v>7.175745529641711</v>
      </c>
      <c r="L42" s="170">
        <v>8.5000000000000006E-2</v>
      </c>
      <c r="N42" s="168">
        <v>44980</v>
      </c>
      <c r="O42" s="172">
        <v>81.95</v>
      </c>
      <c r="P42" s="83">
        <v>2023</v>
      </c>
      <c r="Q42" s="83">
        <v>2</v>
      </c>
      <c r="R42" s="83" t="s">
        <v>136</v>
      </c>
      <c r="T42" s="83">
        <v>2022</v>
      </c>
      <c r="U42" s="83" t="s">
        <v>481</v>
      </c>
      <c r="V42" s="84">
        <v>460</v>
      </c>
      <c r="W42" s="85">
        <v>1.01</v>
      </c>
      <c r="X42" s="86">
        <v>0.27360000000000001</v>
      </c>
      <c r="Y42" s="86">
        <v>0.14380000000000001</v>
      </c>
      <c r="Z42" s="85">
        <v>0.84</v>
      </c>
      <c r="AA42" s="86">
        <v>8.7499999999999994E-2</v>
      </c>
      <c r="AB42" s="85">
        <v>0.92</v>
      </c>
      <c r="AC42" s="87">
        <v>0.42720000000000002</v>
      </c>
      <c r="AD42" s="86">
        <v>0.38240000000000002</v>
      </c>
      <c r="AE42" s="86">
        <v>0.26829999999999998</v>
      </c>
      <c r="AG42" s="168">
        <v>40878</v>
      </c>
      <c r="AH42" s="174">
        <v>1247</v>
      </c>
      <c r="AI42" s="178">
        <v>2.07E-2</v>
      </c>
      <c r="AJ42" s="174"/>
      <c r="AK42" s="85">
        <v>68.650000000000006</v>
      </c>
      <c r="AL42" s="85"/>
      <c r="AM42" s="178">
        <v>5.5E-2</v>
      </c>
      <c r="AN42" s="86"/>
      <c r="AO42" s="176">
        <v>2011</v>
      </c>
      <c r="AQ42" s="83">
        <f t="shared" si="6"/>
        <v>40</v>
      </c>
      <c r="AR42" s="119"/>
      <c r="AS42" s="119"/>
      <c r="AT42" s="170">
        <f t="shared" si="9"/>
        <v>4.2402868799912063E-2</v>
      </c>
      <c r="AU42" s="172">
        <f t="shared" si="11"/>
        <v>5.576502147979312</v>
      </c>
      <c r="AV42" s="170">
        <f t="shared" si="12"/>
        <v>4.3900358771577386E-2</v>
      </c>
      <c r="AW42" s="181">
        <f t="shared" si="10"/>
        <v>2063</v>
      </c>
      <c r="AX42" s="183"/>
    </row>
    <row r="43" spans="1:50" x14ac:dyDescent="0.3">
      <c r="A43" s="125" t="s">
        <v>307</v>
      </c>
      <c r="B43" s="125">
        <v>71.569999999999993</v>
      </c>
      <c r="C43" s="167">
        <v>46600</v>
      </c>
      <c r="D43" s="125">
        <v>2027</v>
      </c>
      <c r="E43" s="125">
        <v>8</v>
      </c>
      <c r="F43" s="125" t="s">
        <v>571</v>
      </c>
      <c r="H43" s="126">
        <v>2064</v>
      </c>
      <c r="I43" s="169">
        <v>0.03</v>
      </c>
      <c r="J43" s="169">
        <v>0.02</v>
      </c>
      <c r="K43" s="171">
        <f t="shared" si="3"/>
        <v>7.2460959760107482</v>
      </c>
      <c r="L43" s="169">
        <v>8.5000000000000006E-2</v>
      </c>
      <c r="N43" s="167">
        <v>44981</v>
      </c>
      <c r="O43" s="171">
        <v>82.82</v>
      </c>
      <c r="P43" s="125">
        <v>2023</v>
      </c>
      <c r="Q43" s="125">
        <v>2</v>
      </c>
      <c r="R43" s="125" t="s">
        <v>136</v>
      </c>
      <c r="T43" s="125">
        <v>2022</v>
      </c>
      <c r="U43" s="125" t="s">
        <v>471</v>
      </c>
      <c r="V43" s="126">
        <v>447</v>
      </c>
      <c r="W43" s="127">
        <v>1.34</v>
      </c>
      <c r="X43" s="128">
        <v>0.1193</v>
      </c>
      <c r="Y43" s="128">
        <v>7.7299999999999994E-2</v>
      </c>
      <c r="Z43" s="127">
        <v>1.23</v>
      </c>
      <c r="AA43" s="128">
        <v>3.6200000000000003E-2</v>
      </c>
      <c r="AB43" s="127">
        <v>1.27</v>
      </c>
      <c r="AC43" s="129">
        <v>0.49170000000000003</v>
      </c>
      <c r="AD43" s="128">
        <v>0.45079999999999998</v>
      </c>
      <c r="AE43" s="128">
        <v>0.51480000000000004</v>
      </c>
      <c r="AG43" s="167">
        <v>40909</v>
      </c>
      <c r="AH43" s="173">
        <v>1258</v>
      </c>
      <c r="AI43" s="177">
        <v>1.8700000000000001E-2</v>
      </c>
      <c r="AJ43" s="173">
        <v>59.01</v>
      </c>
      <c r="AK43" s="127">
        <v>72.23</v>
      </c>
      <c r="AL43" s="127"/>
      <c r="AM43" s="177">
        <v>7.1800000000000003E-2</v>
      </c>
      <c r="AN43" s="128"/>
      <c r="AO43" s="175">
        <v>2012</v>
      </c>
      <c r="AQ43" s="125">
        <f t="shared" si="6"/>
        <v>41</v>
      </c>
      <c r="AR43" s="119"/>
      <c r="AS43" s="119"/>
      <c r="AT43" s="169">
        <f t="shared" si="9"/>
        <v>4.2402868799912063E-2</v>
      </c>
      <c r="AU43" s="171">
        <f t="shared" si="11"/>
        <v>5.8129618369225069</v>
      </c>
      <c r="AV43" s="169">
        <f t="shared" si="12"/>
        <v>4.3863809043508839E-2</v>
      </c>
      <c r="AW43" s="180">
        <f t="shared" si="10"/>
        <v>2064</v>
      </c>
      <c r="AX43" s="182"/>
    </row>
    <row r="44" spans="1:50" x14ac:dyDescent="0.3">
      <c r="A44" s="83" t="s">
        <v>306</v>
      </c>
      <c r="B44" s="83">
        <v>71.400000000000006</v>
      </c>
      <c r="C44" s="168">
        <v>46631</v>
      </c>
      <c r="D44" s="83">
        <v>2027</v>
      </c>
      <c r="E44" s="83">
        <v>9</v>
      </c>
      <c r="F44" s="83" t="s">
        <v>571</v>
      </c>
      <c r="H44" s="84">
        <v>2065</v>
      </c>
      <c r="I44" s="170">
        <v>0.03</v>
      </c>
      <c r="J44" s="170">
        <v>0.02</v>
      </c>
      <c r="K44" s="172">
        <f t="shared" si="3"/>
        <v>7.3171361326383053</v>
      </c>
      <c r="L44" s="170">
        <v>8.5000000000000006E-2</v>
      </c>
      <c r="N44" s="168">
        <v>44984</v>
      </c>
      <c r="O44" s="172">
        <v>82.04</v>
      </c>
      <c r="P44" s="83">
        <v>2023</v>
      </c>
      <c r="Q44" s="83">
        <v>2</v>
      </c>
      <c r="R44" s="83" t="s">
        <v>136</v>
      </c>
      <c r="T44" s="83">
        <v>2022</v>
      </c>
      <c r="U44" s="83" t="s">
        <v>428</v>
      </c>
      <c r="V44" s="84">
        <v>171</v>
      </c>
      <c r="W44" s="85">
        <v>1.1399999999999999</v>
      </c>
      <c r="X44" s="86">
        <v>0.46060000000000001</v>
      </c>
      <c r="Y44" s="86">
        <v>0.1946</v>
      </c>
      <c r="Z44" s="85">
        <v>0.85</v>
      </c>
      <c r="AA44" s="86">
        <v>0.13200000000000001</v>
      </c>
      <c r="AB44" s="85">
        <v>0.97</v>
      </c>
      <c r="AC44" s="87">
        <v>0.33019999999999999</v>
      </c>
      <c r="AD44" s="86">
        <v>0.28510000000000002</v>
      </c>
      <c r="AE44" s="86">
        <v>0.45369999999999999</v>
      </c>
      <c r="AG44" s="168">
        <v>40940</v>
      </c>
      <c r="AH44" s="174">
        <v>1312</v>
      </c>
      <c r="AI44" s="178">
        <v>1.8100000000000002E-2</v>
      </c>
      <c r="AJ44" s="174">
        <v>59.01</v>
      </c>
      <c r="AK44" s="85">
        <v>72.23</v>
      </c>
      <c r="AL44" s="85"/>
      <c r="AM44" s="178">
        <v>7.1800000000000003E-2</v>
      </c>
      <c r="AN44" s="86"/>
      <c r="AO44" s="176">
        <v>2012</v>
      </c>
      <c r="AQ44" s="83">
        <f t="shared" si="6"/>
        <v>42</v>
      </c>
      <c r="AR44" s="119"/>
      <c r="AS44" s="119"/>
      <c r="AT44" s="170">
        <f t="shared" si="9"/>
        <v>4.2402868799912063E-2</v>
      </c>
      <c r="AU44" s="172">
        <f t="shared" si="11"/>
        <v>6.0594480950324279</v>
      </c>
      <c r="AV44" s="170">
        <f t="shared" si="12"/>
        <v>4.382900096842901E-2</v>
      </c>
      <c r="AW44" s="181">
        <f t="shared" si="10"/>
        <v>2065</v>
      </c>
      <c r="AX44" s="183"/>
    </row>
    <row r="45" spans="1:50" x14ac:dyDescent="0.3">
      <c r="A45" s="125" t="s">
        <v>305</v>
      </c>
      <c r="B45" s="125">
        <v>71.239999999999995</v>
      </c>
      <c r="C45" s="167">
        <v>46661</v>
      </c>
      <c r="D45" s="125">
        <v>2027</v>
      </c>
      <c r="E45" s="125">
        <v>10</v>
      </c>
      <c r="F45" s="125" t="s">
        <v>572</v>
      </c>
      <c r="H45" s="126">
        <v>2066</v>
      </c>
      <c r="I45" s="169">
        <v>0.03</v>
      </c>
      <c r="J45" s="169">
        <v>0.02</v>
      </c>
      <c r="K45" s="171">
        <f t="shared" si="3"/>
        <v>7.3888727613896608</v>
      </c>
      <c r="L45" s="169">
        <v>8.5000000000000006E-2</v>
      </c>
      <c r="N45" s="167">
        <v>44985</v>
      </c>
      <c r="O45" s="171">
        <v>83.45</v>
      </c>
      <c r="P45" s="125">
        <v>2023</v>
      </c>
      <c r="Q45" s="125">
        <v>2</v>
      </c>
      <c r="R45" s="125" t="s">
        <v>136</v>
      </c>
      <c r="T45" s="125">
        <v>2022</v>
      </c>
      <c r="U45" s="125" t="s">
        <v>482</v>
      </c>
      <c r="V45" s="126">
        <v>231</v>
      </c>
      <c r="W45" s="127">
        <v>0.77</v>
      </c>
      <c r="X45" s="128">
        <v>0.51480000000000004</v>
      </c>
      <c r="Y45" s="128">
        <v>0.1552</v>
      </c>
      <c r="Z45" s="127">
        <v>0.55000000000000004</v>
      </c>
      <c r="AA45" s="128">
        <v>3.04E-2</v>
      </c>
      <c r="AB45" s="127">
        <v>0.56999999999999995</v>
      </c>
      <c r="AC45" s="129">
        <v>0.35959999999999998</v>
      </c>
      <c r="AD45" s="128">
        <v>0.31840000000000002</v>
      </c>
      <c r="AE45" s="128">
        <v>0.1968</v>
      </c>
      <c r="AG45" s="167">
        <v>40969</v>
      </c>
      <c r="AH45" s="173">
        <v>1366</v>
      </c>
      <c r="AI45" s="177">
        <v>1.9800000000000002E-2</v>
      </c>
      <c r="AJ45" s="173">
        <v>59.01</v>
      </c>
      <c r="AK45" s="127">
        <v>72.23</v>
      </c>
      <c r="AL45" s="127"/>
      <c r="AM45" s="177">
        <v>7.1800000000000003E-2</v>
      </c>
      <c r="AN45" s="128"/>
      <c r="AO45" s="175">
        <v>2012</v>
      </c>
      <c r="AQ45" s="125">
        <f t="shared" si="6"/>
        <v>43</v>
      </c>
      <c r="AR45" s="119"/>
      <c r="AS45" s="119"/>
      <c r="AT45" s="169">
        <f t="shared" si="9"/>
        <v>4.2402868799912063E-2</v>
      </c>
      <c r="AU45" s="171">
        <f t="shared" si="11"/>
        <v>6.3163860776059648</v>
      </c>
      <c r="AV45" s="169">
        <f t="shared" si="12"/>
        <v>4.3795812954553037E-2</v>
      </c>
      <c r="AW45" s="180">
        <f t="shared" si="10"/>
        <v>2066</v>
      </c>
      <c r="AX45" s="182"/>
    </row>
    <row r="46" spans="1:50" x14ac:dyDescent="0.3">
      <c r="A46" s="83" t="s">
        <v>304</v>
      </c>
      <c r="B46" s="83">
        <v>71.12</v>
      </c>
      <c r="C46" s="168">
        <v>46692</v>
      </c>
      <c r="D46" s="83">
        <v>2027</v>
      </c>
      <c r="E46" s="83">
        <v>11</v>
      </c>
      <c r="F46" s="83" t="s">
        <v>572</v>
      </c>
      <c r="H46" s="84">
        <v>2067</v>
      </c>
      <c r="I46" s="170">
        <v>0.03</v>
      </c>
      <c r="J46" s="170">
        <v>0.02</v>
      </c>
      <c r="K46" s="172">
        <f t="shared" si="3"/>
        <v>7.4613126904228926</v>
      </c>
      <c r="L46" s="170">
        <v>8.5000000000000006E-2</v>
      </c>
      <c r="N46" s="168">
        <v>44986</v>
      </c>
      <c r="O46" s="172">
        <v>84.31</v>
      </c>
      <c r="P46" s="83">
        <v>2023</v>
      </c>
      <c r="Q46" s="83">
        <v>3</v>
      </c>
      <c r="R46" s="83" t="s">
        <v>136</v>
      </c>
      <c r="T46" s="83">
        <v>2022</v>
      </c>
      <c r="U46" s="83" t="s">
        <v>429</v>
      </c>
      <c r="V46" s="84">
        <v>650</v>
      </c>
      <c r="W46" s="85">
        <v>0.97</v>
      </c>
      <c r="X46" s="86">
        <v>0.56389999999999996</v>
      </c>
      <c r="Y46" s="86">
        <v>8.3599999999999994E-2</v>
      </c>
      <c r="Z46" s="85">
        <v>0.68</v>
      </c>
      <c r="AA46" s="86">
        <v>8.5900000000000004E-2</v>
      </c>
      <c r="AB46" s="85">
        <v>0.75</v>
      </c>
      <c r="AC46" s="87">
        <v>0.35870000000000002</v>
      </c>
      <c r="AD46" s="86">
        <v>0.34989999999999999</v>
      </c>
      <c r="AE46" s="86">
        <v>0.94389999999999996</v>
      </c>
      <c r="AG46" s="168">
        <v>41000</v>
      </c>
      <c r="AH46" s="174">
        <v>1408</v>
      </c>
      <c r="AI46" s="178">
        <v>2.2100000000000002E-2</v>
      </c>
      <c r="AJ46" s="174">
        <v>66.290000000000006</v>
      </c>
      <c r="AK46" s="85">
        <v>74.069999999999993</v>
      </c>
      <c r="AL46" s="85"/>
      <c r="AM46" s="178">
        <v>7.1800000000000003E-2</v>
      </c>
      <c r="AN46" s="86"/>
      <c r="AO46" s="176">
        <v>2012</v>
      </c>
      <c r="AX46" s="184"/>
    </row>
    <row r="47" spans="1:50" x14ac:dyDescent="0.3">
      <c r="A47" s="125" t="s">
        <v>303</v>
      </c>
      <c r="B47" s="125">
        <v>71.010000000000005</v>
      </c>
      <c r="C47" s="167">
        <v>46722</v>
      </c>
      <c r="D47" s="125">
        <v>2027</v>
      </c>
      <c r="E47" s="125">
        <v>12</v>
      </c>
      <c r="F47" s="125" t="s">
        <v>572</v>
      </c>
      <c r="H47" s="126">
        <v>2068</v>
      </c>
      <c r="I47" s="169">
        <v>0.03</v>
      </c>
      <c r="J47" s="169">
        <v>0.02</v>
      </c>
      <c r="K47" s="171">
        <f t="shared" si="3"/>
        <v>7.5344628148388031</v>
      </c>
      <c r="L47" s="169">
        <v>8.5000000000000006E-2</v>
      </c>
      <c r="N47" s="167">
        <v>44987</v>
      </c>
      <c r="O47" s="171">
        <v>84.75</v>
      </c>
      <c r="P47" s="125">
        <v>2023</v>
      </c>
      <c r="Q47" s="125">
        <v>3</v>
      </c>
      <c r="R47" s="125" t="s">
        <v>136</v>
      </c>
      <c r="T47" s="125">
        <v>2022</v>
      </c>
      <c r="U47" s="125" t="s">
        <v>430</v>
      </c>
      <c r="V47" s="126">
        <v>589</v>
      </c>
      <c r="W47" s="127">
        <v>1.02</v>
      </c>
      <c r="X47" s="128">
        <v>0.1401</v>
      </c>
      <c r="Y47" s="128">
        <v>0.11700000000000001</v>
      </c>
      <c r="Z47" s="127">
        <v>0.93</v>
      </c>
      <c r="AA47" s="128">
        <v>3.4299999999999997E-2</v>
      </c>
      <c r="AB47" s="127">
        <v>0.96</v>
      </c>
      <c r="AC47" s="129">
        <v>0.435</v>
      </c>
      <c r="AD47" s="128">
        <v>0.37890000000000001</v>
      </c>
      <c r="AE47" s="128">
        <v>0.1163</v>
      </c>
      <c r="AG47" s="167">
        <v>41030</v>
      </c>
      <c r="AH47" s="173">
        <v>1398</v>
      </c>
      <c r="AI47" s="177">
        <v>1.9199999999999998E-2</v>
      </c>
      <c r="AJ47" s="173">
        <v>66.290000000000006</v>
      </c>
      <c r="AK47" s="127">
        <v>74.069999999999993</v>
      </c>
      <c r="AL47" s="127"/>
      <c r="AM47" s="177">
        <v>7.1800000000000003E-2</v>
      </c>
      <c r="AN47" s="128"/>
      <c r="AO47" s="175">
        <v>2012</v>
      </c>
    </row>
    <row r="48" spans="1:50" x14ac:dyDescent="0.3">
      <c r="A48" s="83" t="s">
        <v>302</v>
      </c>
      <c r="B48" s="83">
        <v>70.92</v>
      </c>
      <c r="C48" s="168">
        <v>46753</v>
      </c>
      <c r="D48" s="83">
        <v>2028</v>
      </c>
      <c r="E48" s="83">
        <v>1</v>
      </c>
      <c r="F48" s="83" t="s">
        <v>573</v>
      </c>
      <c r="H48" s="84">
        <v>2069</v>
      </c>
      <c r="I48" s="170">
        <v>0.03</v>
      </c>
      <c r="J48" s="170">
        <v>0.02</v>
      </c>
      <c r="K48" s="172">
        <f t="shared" si="3"/>
        <v>7.6083300973372232</v>
      </c>
      <c r="L48" s="170">
        <v>8.5000000000000006E-2</v>
      </c>
      <c r="N48" s="168">
        <v>44988</v>
      </c>
      <c r="O48" s="172">
        <v>85.83</v>
      </c>
      <c r="P48" s="83">
        <v>2023</v>
      </c>
      <c r="Q48" s="83">
        <v>3</v>
      </c>
      <c r="R48" s="83" t="s">
        <v>136</v>
      </c>
      <c r="T48" s="83">
        <v>2022</v>
      </c>
      <c r="U48" s="83" t="s">
        <v>431</v>
      </c>
      <c r="V48" s="84">
        <v>242</v>
      </c>
      <c r="W48" s="85">
        <v>1.41</v>
      </c>
      <c r="X48" s="86">
        <v>0.1404</v>
      </c>
      <c r="Y48" s="86">
        <v>0.15759999999999999</v>
      </c>
      <c r="Z48" s="85">
        <v>1.28</v>
      </c>
      <c r="AA48" s="86">
        <v>4.9099999999999998E-2</v>
      </c>
      <c r="AB48" s="85">
        <v>1.34</v>
      </c>
      <c r="AC48" s="87">
        <v>0.42559999999999998</v>
      </c>
      <c r="AD48" s="86">
        <v>0.40770000000000001</v>
      </c>
      <c r="AE48" s="86">
        <v>0.25750000000000001</v>
      </c>
      <c r="AG48" s="168">
        <v>41061</v>
      </c>
      <c r="AH48" s="174">
        <v>1310</v>
      </c>
      <c r="AI48" s="178">
        <v>1.55E-2</v>
      </c>
      <c r="AJ48" s="174">
        <v>66.290000000000006</v>
      </c>
      <c r="AK48" s="85">
        <v>74.069999999999993</v>
      </c>
      <c r="AL48" s="85"/>
      <c r="AM48" s="178">
        <v>7.1800000000000003E-2</v>
      </c>
      <c r="AN48" s="86"/>
      <c r="AO48" s="176">
        <v>2012</v>
      </c>
    </row>
    <row r="49" spans="1:41" x14ac:dyDescent="0.3">
      <c r="A49" s="125" t="s">
        <v>301</v>
      </c>
      <c r="B49" s="125">
        <v>70.84</v>
      </c>
      <c r="C49" s="167">
        <v>46784</v>
      </c>
      <c r="D49" s="125">
        <v>2028</v>
      </c>
      <c r="E49" s="125">
        <v>2</v>
      </c>
      <c r="F49" s="125" t="s">
        <v>573</v>
      </c>
      <c r="H49" s="126">
        <v>2070</v>
      </c>
      <c r="I49" s="169">
        <v>0.03</v>
      </c>
      <c r="J49" s="169">
        <v>0.02</v>
      </c>
      <c r="K49" s="171">
        <f t="shared" si="3"/>
        <v>7.6829215688797454</v>
      </c>
      <c r="L49" s="169">
        <v>8.5000000000000006E-2</v>
      </c>
      <c r="N49" s="167">
        <v>44991</v>
      </c>
      <c r="O49" s="171">
        <v>86.18</v>
      </c>
      <c r="P49" s="125">
        <v>2023</v>
      </c>
      <c r="Q49" s="125">
        <v>3</v>
      </c>
      <c r="R49" s="125" t="s">
        <v>136</v>
      </c>
      <c r="T49" s="125">
        <v>2022</v>
      </c>
      <c r="U49" s="125" t="s">
        <v>432</v>
      </c>
      <c r="V49" s="126">
        <v>206</v>
      </c>
      <c r="W49" s="127">
        <v>0.69</v>
      </c>
      <c r="X49" s="128">
        <v>0.41220000000000001</v>
      </c>
      <c r="Y49" s="128">
        <v>0.15160000000000001</v>
      </c>
      <c r="Z49" s="127">
        <v>0.53</v>
      </c>
      <c r="AA49" s="128">
        <v>0.13500000000000001</v>
      </c>
      <c r="AB49" s="127">
        <v>0.61</v>
      </c>
      <c r="AC49" s="129">
        <v>0.2681</v>
      </c>
      <c r="AD49" s="128">
        <v>0.25269999999999998</v>
      </c>
      <c r="AE49" s="128">
        <v>0.12479999999999999</v>
      </c>
      <c r="AG49" s="167">
        <v>41091</v>
      </c>
      <c r="AH49" s="173">
        <v>1362</v>
      </c>
      <c r="AI49" s="177">
        <v>1.6500000000000001E-2</v>
      </c>
      <c r="AJ49" s="173">
        <v>64.06</v>
      </c>
      <c r="AK49" s="127">
        <v>71.55</v>
      </c>
      <c r="AL49" s="127"/>
      <c r="AM49" s="177">
        <v>6.5600000000000006E-2</v>
      </c>
      <c r="AN49" s="128"/>
      <c r="AO49" s="175">
        <v>2012</v>
      </c>
    </row>
    <row r="50" spans="1:41" x14ac:dyDescent="0.3">
      <c r="A50" s="83" t="s">
        <v>300</v>
      </c>
      <c r="B50" s="83">
        <v>70.75</v>
      </c>
      <c r="C50" s="168">
        <v>46813</v>
      </c>
      <c r="D50" s="83">
        <v>2028</v>
      </c>
      <c r="E50" s="83">
        <v>3</v>
      </c>
      <c r="F50" s="83" t="s">
        <v>573</v>
      </c>
      <c r="H50" s="84">
        <v>2071</v>
      </c>
      <c r="I50" s="170">
        <v>0.03</v>
      </c>
      <c r="J50" s="170">
        <v>0.02</v>
      </c>
      <c r="K50" s="172">
        <f t="shared" si="3"/>
        <v>7.7582443293589582</v>
      </c>
      <c r="L50" s="170">
        <v>8.5000000000000006E-2</v>
      </c>
      <c r="N50" s="168">
        <v>44992</v>
      </c>
      <c r="O50" s="172">
        <v>83.29</v>
      </c>
      <c r="P50" s="83">
        <v>2023</v>
      </c>
      <c r="Q50" s="83">
        <v>3</v>
      </c>
      <c r="R50" s="83" t="s">
        <v>136</v>
      </c>
      <c r="T50" s="83">
        <v>2022</v>
      </c>
      <c r="U50" s="83" t="s">
        <v>433</v>
      </c>
      <c r="V50" s="84">
        <v>142</v>
      </c>
      <c r="W50" s="85">
        <v>0.9</v>
      </c>
      <c r="X50" s="86">
        <v>0.98480000000000001</v>
      </c>
      <c r="Y50" s="86">
        <v>0.1338</v>
      </c>
      <c r="Z50" s="85">
        <v>0.52</v>
      </c>
      <c r="AA50" s="86">
        <v>0.34839999999999999</v>
      </c>
      <c r="AB50" s="85">
        <v>0.8</v>
      </c>
      <c r="AC50" s="87">
        <v>0.2848</v>
      </c>
      <c r="AD50" s="86">
        <v>0.23899999999999999</v>
      </c>
      <c r="AE50" s="86">
        <v>0.22220000000000001</v>
      </c>
      <c r="AG50" s="168">
        <v>41122</v>
      </c>
      <c r="AH50" s="174">
        <v>1379</v>
      </c>
      <c r="AI50" s="178">
        <v>1.47E-2</v>
      </c>
      <c r="AJ50" s="174">
        <v>64.06</v>
      </c>
      <c r="AK50" s="85">
        <v>71.55</v>
      </c>
      <c r="AL50" s="85"/>
      <c r="AM50" s="178">
        <v>6.5600000000000006E-2</v>
      </c>
      <c r="AN50" s="86"/>
      <c r="AO50" s="176">
        <v>2012</v>
      </c>
    </row>
    <row r="51" spans="1:41" x14ac:dyDescent="0.3">
      <c r="A51" s="125" t="s">
        <v>299</v>
      </c>
      <c r="B51" s="125">
        <v>70.64</v>
      </c>
      <c r="C51" s="167">
        <v>46844</v>
      </c>
      <c r="D51" s="125">
        <v>2028</v>
      </c>
      <c r="E51" s="125">
        <v>4</v>
      </c>
      <c r="F51" s="125" t="s">
        <v>574</v>
      </c>
      <c r="H51" s="126">
        <v>2072</v>
      </c>
      <c r="I51" s="169">
        <v>0.03</v>
      </c>
      <c r="J51" s="169">
        <v>0.02</v>
      </c>
      <c r="K51" s="171">
        <f t="shared" si="3"/>
        <v>7.8343055482742416</v>
      </c>
      <c r="L51" s="169">
        <v>8.5000000000000006E-2</v>
      </c>
      <c r="N51" s="167">
        <v>44993</v>
      </c>
      <c r="O51" s="171">
        <v>82.19</v>
      </c>
      <c r="P51" s="125">
        <v>2023</v>
      </c>
      <c r="Q51" s="125">
        <v>3</v>
      </c>
      <c r="R51" s="125" t="s">
        <v>136</v>
      </c>
      <c r="T51" s="125">
        <v>2022</v>
      </c>
      <c r="U51" s="125" t="s">
        <v>434</v>
      </c>
      <c r="V51" s="126">
        <v>235</v>
      </c>
      <c r="W51" s="127">
        <v>0.75</v>
      </c>
      <c r="X51" s="128">
        <v>0.25280000000000002</v>
      </c>
      <c r="Y51" s="128">
        <v>0.15809999999999999</v>
      </c>
      <c r="Z51" s="127">
        <v>0.63</v>
      </c>
      <c r="AA51" s="128">
        <v>9.2999999999999999E-2</v>
      </c>
      <c r="AB51" s="127">
        <v>0.69</v>
      </c>
      <c r="AC51" s="129">
        <v>0.30059999999999998</v>
      </c>
      <c r="AD51" s="128">
        <v>0.26690000000000003</v>
      </c>
      <c r="AE51" s="128">
        <v>0.1666</v>
      </c>
      <c r="AG51" s="167">
        <v>41153</v>
      </c>
      <c r="AH51" s="173">
        <v>1407</v>
      </c>
      <c r="AI51" s="177">
        <v>1.55E-2</v>
      </c>
      <c r="AJ51" s="173">
        <v>64.06</v>
      </c>
      <c r="AK51" s="127">
        <v>71.55</v>
      </c>
      <c r="AL51" s="127"/>
      <c r="AM51" s="177">
        <v>6.5600000000000006E-2</v>
      </c>
      <c r="AN51" s="128"/>
      <c r="AO51" s="175">
        <v>2012</v>
      </c>
    </row>
    <row r="52" spans="1:41" x14ac:dyDescent="0.3">
      <c r="A52" s="83" t="s">
        <v>298</v>
      </c>
      <c r="B52" s="83">
        <v>70.55</v>
      </c>
      <c r="C52" s="168">
        <v>46874</v>
      </c>
      <c r="D52" s="83">
        <v>2028</v>
      </c>
      <c r="E52" s="83">
        <v>5</v>
      </c>
      <c r="F52" s="83" t="s">
        <v>574</v>
      </c>
      <c r="H52" s="84">
        <v>2073</v>
      </c>
      <c r="I52" s="170">
        <v>0.03</v>
      </c>
      <c r="J52" s="170">
        <v>0.02</v>
      </c>
      <c r="K52" s="172">
        <f t="shared" si="3"/>
        <v>7.9111124654141856</v>
      </c>
      <c r="L52" s="170">
        <v>8.5000000000000006E-2</v>
      </c>
      <c r="N52" s="168">
        <v>44994</v>
      </c>
      <c r="O52" s="172">
        <v>81.09</v>
      </c>
      <c r="P52" s="83">
        <v>2023</v>
      </c>
      <c r="Q52" s="83">
        <v>3</v>
      </c>
      <c r="R52" s="83" t="s">
        <v>136</v>
      </c>
      <c r="T52" s="83">
        <v>2022</v>
      </c>
      <c r="U52" s="83" t="s">
        <v>483</v>
      </c>
      <c r="V52" s="84">
        <v>1660</v>
      </c>
      <c r="W52" s="85">
        <v>0.79</v>
      </c>
      <c r="X52" s="86">
        <v>0.76239999999999997</v>
      </c>
      <c r="Y52" s="86">
        <v>5.7599999999999998E-2</v>
      </c>
      <c r="Z52" s="85">
        <v>0.5</v>
      </c>
      <c r="AA52" s="86">
        <v>0.10970000000000001</v>
      </c>
      <c r="AB52" s="85">
        <v>0.56999999999999995</v>
      </c>
      <c r="AC52" s="87">
        <v>0.2576</v>
      </c>
      <c r="AD52" s="86">
        <v>0.26550000000000001</v>
      </c>
      <c r="AE52" s="86">
        <v>0.3412</v>
      </c>
      <c r="AG52" s="168">
        <v>41183</v>
      </c>
      <c r="AH52" s="174">
        <v>1441</v>
      </c>
      <c r="AI52" s="178">
        <v>1.6199999999999999E-2</v>
      </c>
      <c r="AJ52" s="174">
        <v>67.739999999999995</v>
      </c>
      <c r="AK52" s="85">
        <v>72.739999999999995</v>
      </c>
      <c r="AL52" s="85"/>
      <c r="AM52" s="178">
        <v>6.5600000000000006E-2</v>
      </c>
      <c r="AN52" s="86"/>
      <c r="AO52" s="176">
        <v>2012</v>
      </c>
    </row>
    <row r="53" spans="1:41" x14ac:dyDescent="0.3">
      <c r="A53" s="125" t="s">
        <v>297</v>
      </c>
      <c r="B53" s="125">
        <v>70.489999999999995</v>
      </c>
      <c r="C53" s="167">
        <v>46905</v>
      </c>
      <c r="D53" s="125">
        <v>2028</v>
      </c>
      <c r="E53" s="125">
        <v>6</v>
      </c>
      <c r="F53" s="125" t="s">
        <v>574</v>
      </c>
      <c r="H53" s="126">
        <v>2074</v>
      </c>
      <c r="I53" s="169">
        <v>0.03</v>
      </c>
      <c r="J53" s="169">
        <v>0.02</v>
      </c>
      <c r="K53" s="171">
        <f t="shared" si="3"/>
        <v>7.9886723915456974</v>
      </c>
      <c r="L53" s="169">
        <v>8.5000000000000006E-2</v>
      </c>
      <c r="N53" s="167">
        <v>44995</v>
      </c>
      <c r="O53" s="171">
        <v>82.16</v>
      </c>
      <c r="P53" s="125">
        <v>2023</v>
      </c>
      <c r="Q53" s="125">
        <v>3</v>
      </c>
      <c r="R53" s="125" t="s">
        <v>136</v>
      </c>
      <c r="T53" s="125">
        <v>2022</v>
      </c>
      <c r="U53" s="125" t="s">
        <v>435</v>
      </c>
      <c r="V53" s="126">
        <v>1463</v>
      </c>
      <c r="W53" s="127">
        <v>1.1000000000000001</v>
      </c>
      <c r="X53" s="128">
        <v>0.1726</v>
      </c>
      <c r="Y53" s="128">
        <v>0.15890000000000001</v>
      </c>
      <c r="Z53" s="127">
        <v>0.98</v>
      </c>
      <c r="AA53" s="128">
        <v>8.2400000000000001E-2</v>
      </c>
      <c r="AB53" s="127">
        <v>1.06</v>
      </c>
      <c r="AC53" s="129">
        <v>0.32919999999999999</v>
      </c>
      <c r="AD53" s="128">
        <v>0.31619999999999998</v>
      </c>
      <c r="AE53" s="128">
        <v>0.1545</v>
      </c>
      <c r="AG53" s="167">
        <v>41214</v>
      </c>
      <c r="AH53" s="173">
        <v>1412</v>
      </c>
      <c r="AI53" s="177">
        <v>1.7500000000000002E-2</v>
      </c>
      <c r="AJ53" s="173">
        <v>67.739999999999995</v>
      </c>
      <c r="AK53" s="127">
        <v>72.739999999999995</v>
      </c>
      <c r="AL53" s="127"/>
      <c r="AM53" s="177">
        <v>6.5600000000000006E-2</v>
      </c>
      <c r="AN53" s="128"/>
      <c r="AO53" s="175">
        <v>2012</v>
      </c>
    </row>
    <row r="54" spans="1:41" x14ac:dyDescent="0.3">
      <c r="A54" s="83" t="s">
        <v>296</v>
      </c>
      <c r="B54" s="83">
        <v>70.41</v>
      </c>
      <c r="C54" s="168">
        <v>46935</v>
      </c>
      <c r="D54" s="83">
        <v>2028</v>
      </c>
      <c r="E54" s="83">
        <v>7</v>
      </c>
      <c r="F54" s="83" t="s">
        <v>575</v>
      </c>
      <c r="H54" s="84">
        <v>2075</v>
      </c>
      <c r="I54" s="170">
        <v>0.03</v>
      </c>
      <c r="J54" s="170">
        <v>0.02</v>
      </c>
      <c r="K54" s="172">
        <f t="shared" si="3"/>
        <v>8.0669927091098721</v>
      </c>
      <c r="L54" s="170">
        <v>8.5000000000000006E-2</v>
      </c>
      <c r="N54" s="168">
        <v>44998</v>
      </c>
      <c r="O54" s="172">
        <v>80.23</v>
      </c>
      <c r="P54" s="83">
        <v>2023</v>
      </c>
      <c r="Q54" s="83">
        <v>3</v>
      </c>
      <c r="R54" s="83" t="s">
        <v>136</v>
      </c>
      <c r="T54" s="83">
        <v>2022</v>
      </c>
      <c r="U54" s="83" t="s">
        <v>436</v>
      </c>
      <c r="V54" s="84">
        <v>1783</v>
      </c>
      <c r="W54" s="85">
        <v>1.2</v>
      </c>
      <c r="X54" s="86">
        <v>0.26600000000000001</v>
      </c>
      <c r="Y54" s="86">
        <v>4.36E-2</v>
      </c>
      <c r="Z54" s="85">
        <v>1</v>
      </c>
      <c r="AA54" s="86">
        <v>0.10059999999999999</v>
      </c>
      <c r="AB54" s="85">
        <v>1.1100000000000001</v>
      </c>
      <c r="AC54" s="87">
        <v>0.50719999999999998</v>
      </c>
      <c r="AD54" s="86">
        <v>0.6169</v>
      </c>
      <c r="AE54" s="86">
        <v>0.52429999999999999</v>
      </c>
      <c r="AG54" s="168">
        <v>41244</v>
      </c>
      <c r="AH54" s="174">
        <v>1416</v>
      </c>
      <c r="AI54" s="178">
        <v>1.6199999999999999E-2</v>
      </c>
      <c r="AJ54" s="174">
        <v>67.739999999999995</v>
      </c>
      <c r="AK54" s="85">
        <v>72.739999999999995</v>
      </c>
      <c r="AL54" s="85"/>
      <c r="AM54" s="178">
        <v>6.5600000000000006E-2</v>
      </c>
      <c r="AN54" s="86"/>
      <c r="AO54" s="176">
        <v>2012</v>
      </c>
    </row>
    <row r="55" spans="1:41" x14ac:dyDescent="0.3">
      <c r="A55" s="125" t="s">
        <v>295</v>
      </c>
      <c r="B55" s="125">
        <v>70.33</v>
      </c>
      <c r="C55" s="167">
        <v>46966</v>
      </c>
      <c r="D55" s="125">
        <v>2028</v>
      </c>
      <c r="E55" s="125">
        <v>8</v>
      </c>
      <c r="F55" s="125" t="s">
        <v>575</v>
      </c>
      <c r="H55" s="126">
        <v>2076</v>
      </c>
      <c r="I55" s="169">
        <v>0.03</v>
      </c>
      <c r="J55" s="169">
        <v>0.02</v>
      </c>
      <c r="K55" s="171">
        <f t="shared" si="3"/>
        <v>8.1460808729246743</v>
      </c>
      <c r="L55" s="169">
        <v>8.5000000000000006E-2</v>
      </c>
      <c r="N55" s="167">
        <v>44999</v>
      </c>
      <c r="O55" s="171">
        <v>77</v>
      </c>
      <c r="P55" s="125">
        <v>2023</v>
      </c>
      <c r="Q55" s="125">
        <v>3</v>
      </c>
      <c r="R55" s="125" t="s">
        <v>136</v>
      </c>
      <c r="T55" s="125">
        <v>2022</v>
      </c>
      <c r="U55" s="125" t="s">
        <v>437</v>
      </c>
      <c r="V55" s="126">
        <v>144</v>
      </c>
      <c r="W55" s="127">
        <v>0.93</v>
      </c>
      <c r="X55" s="128">
        <v>0.3357</v>
      </c>
      <c r="Y55" s="128">
        <v>0.17430000000000001</v>
      </c>
      <c r="Z55" s="127">
        <v>0.74</v>
      </c>
      <c r="AA55" s="128">
        <v>0.115</v>
      </c>
      <c r="AB55" s="127">
        <v>0.83</v>
      </c>
      <c r="AC55" s="129">
        <v>0.34689999999999999</v>
      </c>
      <c r="AD55" s="128">
        <v>0.33110000000000001</v>
      </c>
      <c r="AE55" s="128">
        <v>8.2900000000000001E-2</v>
      </c>
      <c r="AG55" s="167">
        <v>41275</v>
      </c>
      <c r="AH55" s="173">
        <v>1426</v>
      </c>
      <c r="AI55" s="177">
        <v>1.7600000000000001E-2</v>
      </c>
      <c r="AJ55" s="173">
        <v>69.459999999999994</v>
      </c>
      <c r="AK55" s="127">
        <v>72.25</v>
      </c>
      <c r="AL55" s="127"/>
      <c r="AM55" s="177">
        <v>5.2699999999999997E-2</v>
      </c>
      <c r="AN55" s="128"/>
      <c r="AO55" s="175">
        <v>2013</v>
      </c>
    </row>
    <row r="56" spans="1:41" x14ac:dyDescent="0.3">
      <c r="A56" s="83" t="s">
        <v>294</v>
      </c>
      <c r="B56" s="83">
        <v>70.239999999999995</v>
      </c>
      <c r="C56" s="168">
        <v>46997</v>
      </c>
      <c r="D56" s="83">
        <v>2028</v>
      </c>
      <c r="E56" s="83">
        <v>9</v>
      </c>
      <c r="F56" s="83" t="s">
        <v>575</v>
      </c>
      <c r="H56" s="84">
        <v>2077</v>
      </c>
      <c r="I56" s="170">
        <v>0.03</v>
      </c>
      <c r="J56" s="170">
        <v>0.02</v>
      </c>
      <c r="K56" s="172">
        <f t="shared" si="3"/>
        <v>8.2259444108945239</v>
      </c>
      <c r="L56" s="170">
        <v>8.5000000000000006E-2</v>
      </c>
      <c r="N56" s="168">
        <v>45000</v>
      </c>
      <c r="O56" s="172">
        <v>73.28</v>
      </c>
      <c r="P56" s="83">
        <v>2023</v>
      </c>
      <c r="Q56" s="83">
        <v>3</v>
      </c>
      <c r="R56" s="83" t="s">
        <v>136</v>
      </c>
      <c r="T56" s="83">
        <v>2022</v>
      </c>
      <c r="U56" s="83" t="s">
        <v>438</v>
      </c>
      <c r="V56" s="84">
        <v>36</v>
      </c>
      <c r="W56" s="85">
        <v>1.08</v>
      </c>
      <c r="X56" s="86">
        <v>0.1943</v>
      </c>
      <c r="Y56" s="86">
        <v>0.2576</v>
      </c>
      <c r="Z56" s="85">
        <v>0.95</v>
      </c>
      <c r="AA56" s="86">
        <v>7.7899999999999997E-2</v>
      </c>
      <c r="AB56" s="85">
        <v>1.03</v>
      </c>
      <c r="AC56" s="87">
        <v>0.30420000000000003</v>
      </c>
      <c r="AD56" s="86">
        <v>0.29070000000000001</v>
      </c>
      <c r="AE56" s="86">
        <v>0.55279999999999996</v>
      </c>
      <c r="AG56" s="168">
        <v>41306</v>
      </c>
      <c r="AH56" s="174">
        <v>1498</v>
      </c>
      <c r="AI56" s="178">
        <v>0.02</v>
      </c>
      <c r="AJ56" s="174">
        <v>69.459999999999994</v>
      </c>
      <c r="AK56" s="85">
        <v>72.25</v>
      </c>
      <c r="AL56" s="85"/>
      <c r="AM56" s="178">
        <v>5.2699999999999997E-2</v>
      </c>
      <c r="AN56" s="86"/>
      <c r="AO56" s="176">
        <v>2013</v>
      </c>
    </row>
    <row r="57" spans="1:41" x14ac:dyDescent="0.3">
      <c r="A57" s="125" t="s">
        <v>293</v>
      </c>
      <c r="B57" s="125">
        <v>70.16</v>
      </c>
      <c r="C57" s="167">
        <v>47027</v>
      </c>
      <c r="D57" s="125">
        <v>2028</v>
      </c>
      <c r="E57" s="125">
        <v>10</v>
      </c>
      <c r="F57" s="125" t="s">
        <v>576</v>
      </c>
      <c r="H57" s="126">
        <v>2078</v>
      </c>
      <c r="I57" s="169">
        <v>0.03</v>
      </c>
      <c r="J57" s="169">
        <v>0.02</v>
      </c>
      <c r="K57" s="171">
        <f t="shared" si="3"/>
        <v>8.306590924726823</v>
      </c>
      <c r="L57" s="169">
        <v>8.5000000000000006E-2</v>
      </c>
      <c r="N57" s="167">
        <v>45001</v>
      </c>
      <c r="O57" s="171">
        <v>74.290000000000006</v>
      </c>
      <c r="P57" s="125">
        <v>2023</v>
      </c>
      <c r="Q57" s="125">
        <v>3</v>
      </c>
      <c r="R57" s="125" t="s">
        <v>136</v>
      </c>
      <c r="T57" s="125">
        <v>2022</v>
      </c>
      <c r="U57" s="125" t="s">
        <v>439</v>
      </c>
      <c r="V57" s="126">
        <v>616</v>
      </c>
      <c r="W57" s="127">
        <v>1.31</v>
      </c>
      <c r="X57" s="128">
        <v>0.2621</v>
      </c>
      <c r="Y57" s="128">
        <v>7.7299999999999994E-2</v>
      </c>
      <c r="Z57" s="127">
        <v>1.0900000000000001</v>
      </c>
      <c r="AA57" s="128">
        <v>6.9099999999999995E-2</v>
      </c>
      <c r="AB57" s="127">
        <v>1.17</v>
      </c>
      <c r="AC57" s="129">
        <v>0.49630000000000002</v>
      </c>
      <c r="AD57" s="128">
        <v>0.57620000000000005</v>
      </c>
      <c r="AE57" s="128">
        <v>1.266</v>
      </c>
      <c r="AG57" s="167">
        <v>41334</v>
      </c>
      <c r="AH57" s="173">
        <v>1515</v>
      </c>
      <c r="AI57" s="177">
        <v>1.8800000000000001E-2</v>
      </c>
      <c r="AJ57" s="173">
        <v>69.459999999999994</v>
      </c>
      <c r="AK57" s="127">
        <v>72.25</v>
      </c>
      <c r="AL57" s="127"/>
      <c r="AM57" s="177">
        <v>5.3199999999999997E-2</v>
      </c>
      <c r="AN57" s="128"/>
      <c r="AO57" s="175">
        <v>2013</v>
      </c>
    </row>
    <row r="58" spans="1:41" x14ac:dyDescent="0.3">
      <c r="A58" s="83" t="s">
        <v>292</v>
      </c>
      <c r="B58" s="83">
        <v>70.099999999999994</v>
      </c>
      <c r="C58" s="168">
        <v>47058</v>
      </c>
      <c r="D58" s="83">
        <v>2028</v>
      </c>
      <c r="E58" s="83">
        <v>11</v>
      </c>
      <c r="F58" s="83" t="s">
        <v>576</v>
      </c>
      <c r="H58" s="84">
        <v>2079</v>
      </c>
      <c r="I58" s="170">
        <v>0.03</v>
      </c>
      <c r="J58" s="170">
        <v>0.02</v>
      </c>
      <c r="K58" s="172">
        <f t="shared" si="3"/>
        <v>8.3880280906555171</v>
      </c>
      <c r="L58" s="170">
        <v>8.5000000000000006E-2</v>
      </c>
      <c r="N58" s="168">
        <v>45002</v>
      </c>
      <c r="O58" s="172">
        <v>72.77</v>
      </c>
      <c r="P58" s="83">
        <v>2023</v>
      </c>
      <c r="Q58" s="83">
        <v>3</v>
      </c>
      <c r="R58" s="83" t="s">
        <v>136</v>
      </c>
      <c r="T58" s="83">
        <v>2022</v>
      </c>
      <c r="U58" s="83" t="s">
        <v>440</v>
      </c>
      <c r="V58" s="84">
        <v>166</v>
      </c>
      <c r="W58" s="85">
        <v>0.96</v>
      </c>
      <c r="X58" s="86">
        <v>0.73209999999999997</v>
      </c>
      <c r="Y58" s="86">
        <v>0.1172</v>
      </c>
      <c r="Z58" s="85">
        <v>0.62</v>
      </c>
      <c r="AA58" s="86">
        <v>3.4700000000000002E-2</v>
      </c>
      <c r="AB58" s="85">
        <v>0.64</v>
      </c>
      <c r="AC58" s="87">
        <v>0.36809999999999998</v>
      </c>
      <c r="AD58" s="86">
        <v>0.31690000000000002</v>
      </c>
      <c r="AE58" s="86">
        <v>0.29730000000000001</v>
      </c>
      <c r="AG58" s="168">
        <v>41365</v>
      </c>
      <c r="AH58" s="174">
        <v>1569</v>
      </c>
      <c r="AI58" s="178">
        <v>1.8499999999999999E-2</v>
      </c>
      <c r="AJ58" s="174">
        <v>76.760000000000005</v>
      </c>
      <c r="AK58" s="85">
        <v>75.31</v>
      </c>
      <c r="AL58" s="85"/>
      <c r="AM58" s="178">
        <v>5.3100000000000001E-2</v>
      </c>
      <c r="AN58" s="86"/>
      <c r="AO58" s="176">
        <v>2013</v>
      </c>
    </row>
    <row r="59" spans="1:41" x14ac:dyDescent="0.3">
      <c r="A59" s="125" t="s">
        <v>291</v>
      </c>
      <c r="B59" s="125">
        <v>70.06</v>
      </c>
      <c r="C59" s="167">
        <v>47088</v>
      </c>
      <c r="D59" s="125">
        <v>2028</v>
      </c>
      <c r="E59" s="125">
        <v>12</v>
      </c>
      <c r="F59" s="125" t="s">
        <v>576</v>
      </c>
      <c r="H59" s="126">
        <v>2080</v>
      </c>
      <c r="I59" s="169">
        <v>0.03</v>
      </c>
      <c r="J59" s="169">
        <v>0.02</v>
      </c>
      <c r="K59" s="171">
        <f t="shared" si="3"/>
        <v>8.4702636601717494</v>
      </c>
      <c r="L59" s="169">
        <v>8.5000000000000006E-2</v>
      </c>
      <c r="N59" s="167">
        <v>45005</v>
      </c>
      <c r="O59" s="171">
        <v>73.540000000000006</v>
      </c>
      <c r="P59" s="125">
        <v>2023</v>
      </c>
      <c r="Q59" s="125">
        <v>3</v>
      </c>
      <c r="R59" s="125" t="s">
        <v>136</v>
      </c>
      <c r="T59" s="125">
        <v>2022</v>
      </c>
      <c r="U59" s="125" t="s">
        <v>441</v>
      </c>
      <c r="V59" s="126">
        <v>455</v>
      </c>
      <c r="W59" s="127">
        <v>1.1499999999999999</v>
      </c>
      <c r="X59" s="128">
        <v>0.46589999999999998</v>
      </c>
      <c r="Y59" s="128">
        <v>0.1216</v>
      </c>
      <c r="Z59" s="127">
        <v>0.85</v>
      </c>
      <c r="AA59" s="128">
        <v>7.6700000000000004E-2</v>
      </c>
      <c r="AB59" s="127">
        <v>0.92</v>
      </c>
      <c r="AC59" s="129">
        <v>0.39739999999999998</v>
      </c>
      <c r="AD59" s="128">
        <v>0.38679999999999998</v>
      </c>
      <c r="AE59" s="128">
        <v>0.38540000000000002</v>
      </c>
      <c r="AG59" s="167">
        <v>41395</v>
      </c>
      <c r="AH59" s="173">
        <v>1598</v>
      </c>
      <c r="AI59" s="177">
        <v>1.6500000000000001E-2</v>
      </c>
      <c r="AJ59" s="173">
        <v>76.760000000000005</v>
      </c>
      <c r="AK59" s="127">
        <v>75.31</v>
      </c>
      <c r="AL59" s="127"/>
      <c r="AM59" s="177">
        <v>5.2299999999999999E-2</v>
      </c>
      <c r="AN59" s="128"/>
      <c r="AO59" s="175">
        <v>2013</v>
      </c>
    </row>
    <row r="60" spans="1:41" x14ac:dyDescent="0.3">
      <c r="A60" s="83" t="s">
        <v>290</v>
      </c>
      <c r="B60" s="83">
        <v>70.040000000000006</v>
      </c>
      <c r="C60" s="168">
        <v>47119</v>
      </c>
      <c r="D60" s="83">
        <v>2029</v>
      </c>
      <c r="E60" s="83">
        <v>1</v>
      </c>
      <c r="F60" s="83" t="s">
        <v>577</v>
      </c>
      <c r="N60" s="168">
        <v>45006</v>
      </c>
      <c r="O60" s="172">
        <v>75.03</v>
      </c>
      <c r="P60" s="83">
        <v>2023</v>
      </c>
      <c r="Q60" s="83">
        <v>3</v>
      </c>
      <c r="R60" s="83" t="s">
        <v>136</v>
      </c>
      <c r="T60" s="83">
        <v>2022</v>
      </c>
      <c r="U60" s="83" t="s">
        <v>442</v>
      </c>
      <c r="V60" s="84">
        <v>414</v>
      </c>
      <c r="W60" s="85">
        <v>0.84</v>
      </c>
      <c r="X60" s="86">
        <v>0.4894</v>
      </c>
      <c r="Y60" s="86">
        <v>0.1648</v>
      </c>
      <c r="Z60" s="85">
        <v>0.61</v>
      </c>
      <c r="AA60" s="86">
        <v>5.3900000000000003E-2</v>
      </c>
      <c r="AB60" s="85">
        <v>0.65</v>
      </c>
      <c r="AC60" s="87">
        <v>0.32700000000000001</v>
      </c>
      <c r="AD60" s="86">
        <v>0.29449999999999998</v>
      </c>
      <c r="AE60" s="86">
        <v>0.14510000000000001</v>
      </c>
      <c r="AG60" s="168">
        <v>41426</v>
      </c>
      <c r="AH60" s="174">
        <v>1631</v>
      </c>
      <c r="AI60" s="178">
        <v>2.1399999999999999E-2</v>
      </c>
      <c r="AJ60" s="174">
        <v>76.760000000000005</v>
      </c>
      <c r="AK60" s="85">
        <v>75.31</v>
      </c>
      <c r="AL60" s="85"/>
      <c r="AM60" s="178">
        <v>5.4300000000000001E-2</v>
      </c>
      <c r="AN60" s="86"/>
      <c r="AO60" s="176">
        <v>2013</v>
      </c>
    </row>
    <row r="61" spans="1:41" x14ac:dyDescent="0.3">
      <c r="A61" s="125" t="s">
        <v>352</v>
      </c>
      <c r="B61" s="125">
        <v>70.02</v>
      </c>
      <c r="C61" s="167">
        <v>47150</v>
      </c>
      <c r="D61" s="125">
        <v>2029</v>
      </c>
      <c r="E61" s="125">
        <v>2</v>
      </c>
      <c r="F61" s="125" t="s">
        <v>577</v>
      </c>
      <c r="N61" s="167">
        <v>45007</v>
      </c>
      <c r="O61" s="171">
        <v>76.38</v>
      </c>
      <c r="P61" s="125">
        <v>2023</v>
      </c>
      <c r="Q61" s="125">
        <v>3</v>
      </c>
      <c r="R61" s="125" t="s">
        <v>136</v>
      </c>
      <c r="T61" s="125">
        <v>2022</v>
      </c>
      <c r="U61" s="125" t="s">
        <v>443</v>
      </c>
      <c r="V61" s="126">
        <v>268</v>
      </c>
      <c r="W61" s="127">
        <v>0.99</v>
      </c>
      <c r="X61" s="128">
        <v>0.6139</v>
      </c>
      <c r="Y61" s="128">
        <v>0.15820000000000001</v>
      </c>
      <c r="Z61" s="127">
        <v>0.68</v>
      </c>
      <c r="AA61" s="128">
        <v>9.7299999999999998E-2</v>
      </c>
      <c r="AB61" s="127">
        <v>0.75</v>
      </c>
      <c r="AC61" s="129">
        <v>0.33689999999999998</v>
      </c>
      <c r="AD61" s="128">
        <v>0.31190000000000001</v>
      </c>
      <c r="AE61" s="128">
        <v>0.40689999999999998</v>
      </c>
      <c r="AG61" s="167">
        <v>41456</v>
      </c>
      <c r="AH61" s="173">
        <v>1606</v>
      </c>
      <c r="AI61" s="177">
        <v>2.4899999999999999E-2</v>
      </c>
      <c r="AJ61" s="173">
        <v>78.66</v>
      </c>
      <c r="AK61" s="127">
        <v>78.58</v>
      </c>
      <c r="AL61" s="127"/>
      <c r="AM61" s="177">
        <v>5.57E-2</v>
      </c>
      <c r="AN61" s="128"/>
      <c r="AO61" s="175">
        <v>2013</v>
      </c>
    </row>
    <row r="62" spans="1:41" x14ac:dyDescent="0.3">
      <c r="A62" s="83" t="s">
        <v>358</v>
      </c>
      <c r="B62" s="83">
        <v>70</v>
      </c>
      <c r="C62" s="168">
        <v>47178</v>
      </c>
      <c r="D62" s="83">
        <v>2029</v>
      </c>
      <c r="E62" s="83">
        <v>3</v>
      </c>
      <c r="F62" s="83" t="s">
        <v>577</v>
      </c>
      <c r="N62" s="168">
        <v>45008</v>
      </c>
      <c r="O62" s="172">
        <v>75.5</v>
      </c>
      <c r="P62" s="83">
        <v>2023</v>
      </c>
      <c r="Q62" s="83">
        <v>3</v>
      </c>
      <c r="R62" s="83" t="s">
        <v>136</v>
      </c>
      <c r="T62" s="83">
        <v>2022</v>
      </c>
      <c r="U62" s="83" t="s">
        <v>444</v>
      </c>
      <c r="V62" s="84">
        <v>485</v>
      </c>
      <c r="W62" s="85">
        <v>0.73</v>
      </c>
      <c r="X62" s="86">
        <v>0.96150000000000002</v>
      </c>
      <c r="Y62" s="86">
        <v>0.1467</v>
      </c>
      <c r="Z62" s="85">
        <v>0.42</v>
      </c>
      <c r="AA62" s="86">
        <v>4.6899999999999997E-2</v>
      </c>
      <c r="AB62" s="85">
        <v>0.44</v>
      </c>
      <c r="AC62" s="87">
        <v>0.28560000000000002</v>
      </c>
      <c r="AD62" s="86">
        <v>0.25940000000000002</v>
      </c>
      <c r="AE62" s="86">
        <v>8.4900000000000003E-2</v>
      </c>
      <c r="AG62" s="168">
        <v>41487</v>
      </c>
      <c r="AH62" s="174">
        <v>1686</v>
      </c>
      <c r="AI62" s="178">
        <v>2.5700000000000001E-2</v>
      </c>
      <c r="AJ62" s="174">
        <v>78.66</v>
      </c>
      <c r="AK62" s="85">
        <v>78.58</v>
      </c>
      <c r="AL62" s="85"/>
      <c r="AM62" s="178">
        <v>5.6000000000000001E-2</v>
      </c>
      <c r="AN62" s="86"/>
      <c r="AO62" s="176">
        <v>2013</v>
      </c>
    </row>
    <row r="63" spans="1:41" x14ac:dyDescent="0.3">
      <c r="A63" s="125" t="s">
        <v>353</v>
      </c>
      <c r="B63" s="125">
        <v>69.98</v>
      </c>
      <c r="C63" s="167">
        <v>47209</v>
      </c>
      <c r="D63" s="125">
        <v>2029</v>
      </c>
      <c r="E63" s="125">
        <v>4</v>
      </c>
      <c r="F63" s="125" t="s">
        <v>578</v>
      </c>
      <c r="N63" s="167">
        <v>45009</v>
      </c>
      <c r="O63" s="171">
        <v>74.59</v>
      </c>
      <c r="P63" s="125">
        <v>2023</v>
      </c>
      <c r="Q63" s="125">
        <v>3</v>
      </c>
      <c r="R63" s="125" t="s">
        <v>136</v>
      </c>
      <c r="T63" s="125">
        <v>2022</v>
      </c>
      <c r="U63" s="125" t="s">
        <v>445</v>
      </c>
      <c r="V63" s="126">
        <v>930</v>
      </c>
      <c r="W63" s="127">
        <v>1.1399999999999999</v>
      </c>
      <c r="X63" s="128">
        <v>0.1825</v>
      </c>
      <c r="Y63" s="128">
        <v>4.1200000000000001E-2</v>
      </c>
      <c r="Z63" s="127">
        <v>1</v>
      </c>
      <c r="AA63" s="128">
        <v>8.9200000000000002E-2</v>
      </c>
      <c r="AB63" s="127">
        <v>1.1000000000000001</v>
      </c>
      <c r="AC63" s="129">
        <v>0.54169999999999996</v>
      </c>
      <c r="AD63" s="128">
        <v>0.62909999999999999</v>
      </c>
      <c r="AE63" s="128">
        <v>0.85450000000000004</v>
      </c>
      <c r="AG63" s="167">
        <v>41518</v>
      </c>
      <c r="AH63" s="173">
        <v>1633</v>
      </c>
      <c r="AI63" s="177">
        <v>2.7900000000000001E-2</v>
      </c>
      <c r="AJ63" s="173">
        <v>78.66</v>
      </c>
      <c r="AK63" s="127">
        <v>78.58</v>
      </c>
      <c r="AL63" s="127"/>
      <c r="AM63" s="177">
        <v>5.6899999999999999E-2</v>
      </c>
      <c r="AN63" s="128"/>
      <c r="AO63" s="175">
        <v>2013</v>
      </c>
    </row>
    <row r="64" spans="1:41" x14ac:dyDescent="0.3">
      <c r="A64" s="83" t="s">
        <v>354</v>
      </c>
      <c r="B64" s="83">
        <v>69.97</v>
      </c>
      <c r="C64" s="168">
        <v>47239</v>
      </c>
      <c r="D64" s="83">
        <v>2029</v>
      </c>
      <c r="E64" s="83">
        <v>5</v>
      </c>
      <c r="F64" s="83" t="s">
        <v>578</v>
      </c>
      <c r="N64" s="168">
        <v>45012</v>
      </c>
      <c r="O64" s="172">
        <v>77.760000000000005</v>
      </c>
      <c r="P64" s="83">
        <v>2023</v>
      </c>
      <c r="Q64" s="83">
        <v>3</v>
      </c>
      <c r="R64" s="83" t="s">
        <v>136</v>
      </c>
      <c r="T64" s="83">
        <v>2022</v>
      </c>
      <c r="U64" s="83" t="s">
        <v>492</v>
      </c>
      <c r="V64" s="84">
        <v>327</v>
      </c>
      <c r="W64" s="85">
        <v>0.89</v>
      </c>
      <c r="X64" s="86">
        <v>0.29859999999999998</v>
      </c>
      <c r="Y64" s="86">
        <v>0.13900000000000001</v>
      </c>
      <c r="Z64" s="85">
        <v>0.73</v>
      </c>
      <c r="AA64" s="86">
        <v>0.16470000000000001</v>
      </c>
      <c r="AB64" s="85">
        <v>0.87</v>
      </c>
      <c r="AC64" s="87">
        <v>0.32840000000000003</v>
      </c>
      <c r="AD64" s="86">
        <v>0.31440000000000001</v>
      </c>
      <c r="AE64" s="86">
        <v>8.4699999999999998E-2</v>
      </c>
      <c r="AG64" s="168">
        <v>41548</v>
      </c>
      <c r="AH64" s="174">
        <v>1682</v>
      </c>
      <c r="AI64" s="178">
        <v>2.6100000000000002E-2</v>
      </c>
      <c r="AJ64" s="174">
        <v>82.35</v>
      </c>
      <c r="AK64" s="85">
        <v>80.33</v>
      </c>
      <c r="AL64" s="85"/>
      <c r="AM64" s="178">
        <v>5.62E-2</v>
      </c>
      <c r="AN64" s="86"/>
      <c r="AO64" s="176">
        <v>2013</v>
      </c>
    </row>
    <row r="65" spans="1:41" x14ac:dyDescent="0.3">
      <c r="A65" s="125" t="s">
        <v>359</v>
      </c>
      <c r="B65" s="125">
        <v>69.95</v>
      </c>
      <c r="C65" s="167">
        <v>47270</v>
      </c>
      <c r="D65" s="125">
        <v>2029</v>
      </c>
      <c r="E65" s="125">
        <v>6</v>
      </c>
      <c r="F65" s="125" t="s">
        <v>578</v>
      </c>
      <c r="N65" s="167">
        <v>45013</v>
      </c>
      <c r="O65" s="171">
        <v>78.14</v>
      </c>
      <c r="P65" s="125">
        <v>2023</v>
      </c>
      <c r="Q65" s="125">
        <v>3</v>
      </c>
      <c r="R65" s="125" t="s">
        <v>136</v>
      </c>
      <c r="T65" s="125">
        <v>2022</v>
      </c>
      <c r="U65" s="125" t="s">
        <v>446</v>
      </c>
      <c r="V65" s="126">
        <v>792</v>
      </c>
      <c r="W65" s="127">
        <v>0.79</v>
      </c>
      <c r="X65" s="128">
        <v>0.78359999999999996</v>
      </c>
      <c r="Y65" s="128">
        <v>3.0300000000000001E-2</v>
      </c>
      <c r="Z65" s="127">
        <v>0.5</v>
      </c>
      <c r="AA65" s="128">
        <v>2.1100000000000001E-2</v>
      </c>
      <c r="AB65" s="127">
        <v>0.51</v>
      </c>
      <c r="AC65" s="129">
        <v>0.24010000000000001</v>
      </c>
      <c r="AD65" s="128">
        <v>0.1885</v>
      </c>
      <c r="AE65" s="128">
        <v>0.1928</v>
      </c>
      <c r="AG65" s="167">
        <v>41579</v>
      </c>
      <c r="AH65" s="173">
        <v>1757</v>
      </c>
      <c r="AI65" s="177">
        <v>2.5499999999999998E-2</v>
      </c>
      <c r="AJ65" s="173">
        <v>82.35</v>
      </c>
      <c r="AK65" s="127">
        <v>80.33</v>
      </c>
      <c r="AL65" s="127"/>
      <c r="AM65" s="177">
        <v>5.5899999999999998E-2</v>
      </c>
      <c r="AN65" s="128"/>
      <c r="AO65" s="175">
        <v>2013</v>
      </c>
    </row>
    <row r="66" spans="1:41" x14ac:dyDescent="0.3">
      <c r="A66" s="83" t="s">
        <v>360</v>
      </c>
      <c r="B66" s="83">
        <v>69.930000000000007</v>
      </c>
      <c r="C66" s="168">
        <v>47300</v>
      </c>
      <c r="D66" s="83">
        <v>2029</v>
      </c>
      <c r="E66" s="83">
        <v>7</v>
      </c>
      <c r="F66" s="83" t="s">
        <v>579</v>
      </c>
      <c r="N66" s="168">
        <v>45014</v>
      </c>
      <c r="O66" s="172">
        <v>77.59</v>
      </c>
      <c r="P66" s="83">
        <v>2023</v>
      </c>
      <c r="Q66" s="83">
        <v>3</v>
      </c>
      <c r="R66" s="83" t="s">
        <v>136</v>
      </c>
      <c r="T66" s="83">
        <v>2022</v>
      </c>
      <c r="U66" s="83" t="s">
        <v>447</v>
      </c>
      <c r="V66" s="84">
        <v>869</v>
      </c>
      <c r="W66" s="85">
        <v>1.02</v>
      </c>
      <c r="X66" s="86">
        <v>2.0257999999999998</v>
      </c>
      <c r="Y66" s="86">
        <v>0.1588</v>
      </c>
      <c r="Z66" s="85">
        <v>0.4</v>
      </c>
      <c r="AA66" s="86">
        <v>0.1963</v>
      </c>
      <c r="AB66" s="85">
        <v>0.5</v>
      </c>
      <c r="AC66" s="87">
        <v>0.36199999999999999</v>
      </c>
      <c r="AD66" s="86">
        <v>0.3256</v>
      </c>
      <c r="AE66" s="86">
        <v>0.38840000000000002</v>
      </c>
      <c r="AG66" s="168">
        <v>41609</v>
      </c>
      <c r="AH66" s="174">
        <v>1806</v>
      </c>
      <c r="AI66" s="178">
        <v>2.75E-2</v>
      </c>
      <c r="AJ66" s="174">
        <v>82.35</v>
      </c>
      <c r="AK66" s="85">
        <v>80.33</v>
      </c>
      <c r="AL66" s="85"/>
      <c r="AM66" s="178">
        <v>5.67E-2</v>
      </c>
      <c r="AN66" s="86"/>
      <c r="AO66" s="176">
        <v>2013</v>
      </c>
    </row>
    <row r="67" spans="1:41" x14ac:dyDescent="0.3">
      <c r="A67" s="125" t="s">
        <v>355</v>
      </c>
      <c r="B67" s="125">
        <v>69.91</v>
      </c>
      <c r="C67" s="167">
        <v>47331</v>
      </c>
      <c r="D67" s="125">
        <v>2029</v>
      </c>
      <c r="E67" s="125">
        <v>8</v>
      </c>
      <c r="F67" s="125" t="s">
        <v>579</v>
      </c>
      <c r="N67" s="167">
        <v>45015</v>
      </c>
      <c r="O67" s="171">
        <v>78.599999999999994</v>
      </c>
      <c r="P67" s="125">
        <v>2023</v>
      </c>
      <c r="Q67" s="125">
        <v>3</v>
      </c>
      <c r="R67" s="125" t="s">
        <v>136</v>
      </c>
      <c r="T67" s="125">
        <v>2022</v>
      </c>
      <c r="U67" s="125" t="s">
        <v>484</v>
      </c>
      <c r="V67" s="126">
        <v>342</v>
      </c>
      <c r="W67" s="127">
        <v>0.93</v>
      </c>
      <c r="X67" s="128">
        <v>1.2472000000000001</v>
      </c>
      <c r="Y67" s="128">
        <v>0.15590000000000001</v>
      </c>
      <c r="Z67" s="127">
        <v>0.48</v>
      </c>
      <c r="AA67" s="128">
        <v>9.0700000000000003E-2</v>
      </c>
      <c r="AB67" s="127">
        <v>0.53</v>
      </c>
      <c r="AC67" s="129">
        <v>0.2984</v>
      </c>
      <c r="AD67" s="128">
        <v>0.26800000000000002</v>
      </c>
      <c r="AE67" s="128">
        <v>0.17030000000000001</v>
      </c>
      <c r="AG67" s="167">
        <v>41640</v>
      </c>
      <c r="AH67" s="173">
        <v>1848</v>
      </c>
      <c r="AI67" s="177">
        <v>3.04E-2</v>
      </c>
      <c r="AJ67" s="173">
        <v>90.52</v>
      </c>
      <c r="AK67" s="127">
        <v>84.16</v>
      </c>
      <c r="AL67" s="127"/>
      <c r="AM67" s="177">
        <v>4.2799999999999998E-2</v>
      </c>
      <c r="AN67" s="128"/>
      <c r="AO67" s="175">
        <v>2014</v>
      </c>
    </row>
    <row r="68" spans="1:41" x14ac:dyDescent="0.3">
      <c r="A68" s="83" t="s">
        <v>356</v>
      </c>
      <c r="B68" s="83">
        <v>69.900000000000006</v>
      </c>
      <c r="C68" s="168">
        <v>47362</v>
      </c>
      <c r="D68" s="83">
        <v>2029</v>
      </c>
      <c r="E68" s="83">
        <v>9</v>
      </c>
      <c r="F68" s="83" t="s">
        <v>579</v>
      </c>
      <c r="N68" s="168">
        <v>45016</v>
      </c>
      <c r="O68" s="172">
        <v>79.89</v>
      </c>
      <c r="P68" s="83">
        <v>2023</v>
      </c>
      <c r="Q68" s="83">
        <v>3</v>
      </c>
      <c r="R68" s="83" t="s">
        <v>136</v>
      </c>
      <c r="T68" s="83">
        <v>2022</v>
      </c>
      <c r="U68" s="83" t="s">
        <v>448</v>
      </c>
      <c r="V68" s="84">
        <v>730</v>
      </c>
      <c r="W68" s="85">
        <v>0.9</v>
      </c>
      <c r="X68" s="86">
        <v>0.98850000000000005</v>
      </c>
      <c r="Y68" s="86">
        <v>0.1447</v>
      </c>
      <c r="Z68" s="85">
        <v>0.52</v>
      </c>
      <c r="AA68" s="86">
        <v>6.4500000000000002E-2</v>
      </c>
      <c r="AB68" s="85">
        <v>0.55000000000000004</v>
      </c>
      <c r="AC68" s="87">
        <v>0.33560000000000001</v>
      </c>
      <c r="AD68" s="86">
        <v>0.29970000000000002</v>
      </c>
      <c r="AE68" s="86">
        <v>0.15570000000000001</v>
      </c>
      <c r="AG68" s="168">
        <v>41671</v>
      </c>
      <c r="AH68" s="174">
        <v>1783</v>
      </c>
      <c r="AI68" s="178">
        <v>2.6499999999999999E-2</v>
      </c>
      <c r="AJ68" s="174">
        <v>90.52</v>
      </c>
      <c r="AK68" s="85">
        <v>84.16</v>
      </c>
      <c r="AL68" s="85"/>
      <c r="AM68" s="178">
        <v>4.1300000000000003E-2</v>
      </c>
      <c r="AN68" s="86"/>
      <c r="AO68" s="176">
        <v>2014</v>
      </c>
    </row>
    <row r="69" spans="1:41" x14ac:dyDescent="0.3">
      <c r="A69" s="125" t="s">
        <v>357</v>
      </c>
      <c r="B69" s="125">
        <v>69.900000000000006</v>
      </c>
      <c r="C69" s="167">
        <v>47392</v>
      </c>
      <c r="D69" s="125">
        <v>2029</v>
      </c>
      <c r="E69" s="125">
        <v>10</v>
      </c>
      <c r="F69" s="125" t="s">
        <v>580</v>
      </c>
      <c r="N69" s="167">
        <v>45019</v>
      </c>
      <c r="O69" s="171">
        <v>84.93</v>
      </c>
      <c r="P69" s="125">
        <v>2023</v>
      </c>
      <c r="Q69" s="125">
        <v>4</v>
      </c>
      <c r="R69" s="125" t="s">
        <v>137</v>
      </c>
      <c r="T69" s="125">
        <v>2022</v>
      </c>
      <c r="U69" s="125" t="s">
        <v>449</v>
      </c>
      <c r="V69" s="126">
        <v>323</v>
      </c>
      <c r="W69" s="127">
        <v>1.1100000000000001</v>
      </c>
      <c r="X69" s="128">
        <v>0.3281</v>
      </c>
      <c r="Y69" s="128">
        <v>0.1394</v>
      </c>
      <c r="Z69" s="127">
        <v>0.89</v>
      </c>
      <c r="AA69" s="128">
        <v>9.7900000000000001E-2</v>
      </c>
      <c r="AB69" s="127">
        <v>0.99</v>
      </c>
      <c r="AC69" s="129">
        <v>0.38179999999999997</v>
      </c>
      <c r="AD69" s="128">
        <v>0.33179999999999998</v>
      </c>
      <c r="AE69" s="128">
        <v>0.14449999999999999</v>
      </c>
      <c r="AG69" s="167">
        <v>41699</v>
      </c>
      <c r="AH69" s="173">
        <v>1859</v>
      </c>
      <c r="AI69" s="177">
        <v>2.6599999999999999E-2</v>
      </c>
      <c r="AJ69" s="173">
        <v>90.52</v>
      </c>
      <c r="AK69" s="127">
        <v>84.16</v>
      </c>
      <c r="AL69" s="127"/>
      <c r="AM69" s="177">
        <v>4.1300000000000003E-2</v>
      </c>
      <c r="AN69" s="128"/>
      <c r="AO69" s="175">
        <v>2014</v>
      </c>
    </row>
    <row r="70" spans="1:41" x14ac:dyDescent="0.3">
      <c r="A70" s="83" t="s">
        <v>349</v>
      </c>
      <c r="B70" s="83">
        <v>69.89</v>
      </c>
      <c r="C70" s="168">
        <v>47423</v>
      </c>
      <c r="D70" s="83">
        <v>2029</v>
      </c>
      <c r="E70" s="83">
        <v>11</v>
      </c>
      <c r="F70" s="83" t="s">
        <v>580</v>
      </c>
      <c r="N70" s="168">
        <v>45020</v>
      </c>
      <c r="O70" s="172">
        <v>84.94</v>
      </c>
      <c r="P70" s="83">
        <v>2023</v>
      </c>
      <c r="Q70" s="83">
        <v>4</v>
      </c>
      <c r="R70" s="83" t="s">
        <v>137</v>
      </c>
      <c r="T70" s="83">
        <v>2022</v>
      </c>
      <c r="U70" s="83" t="s">
        <v>450</v>
      </c>
      <c r="V70" s="84">
        <v>34</v>
      </c>
      <c r="W70" s="85">
        <v>1.1599999999999999</v>
      </c>
      <c r="X70" s="86">
        <v>0.35160000000000002</v>
      </c>
      <c r="Y70" s="86">
        <v>9.8699999999999996E-2</v>
      </c>
      <c r="Z70" s="85">
        <v>0.92</v>
      </c>
      <c r="AA70" s="86">
        <v>0.1583</v>
      </c>
      <c r="AB70" s="85">
        <v>1.0900000000000001</v>
      </c>
      <c r="AC70" s="87">
        <v>0.28050000000000003</v>
      </c>
      <c r="AD70" s="86">
        <v>0.28320000000000001</v>
      </c>
      <c r="AE70" s="86">
        <v>0.28460000000000002</v>
      </c>
      <c r="AG70" s="168">
        <v>41730</v>
      </c>
      <c r="AH70" s="174">
        <v>1874</v>
      </c>
      <c r="AI70" s="178">
        <v>2.7199999999999998E-2</v>
      </c>
      <c r="AJ70" s="174">
        <v>95.39</v>
      </c>
      <c r="AK70" s="85">
        <v>88.13</v>
      </c>
      <c r="AL70" s="85"/>
      <c r="AM70" s="178">
        <v>4.1500000000000002E-2</v>
      </c>
      <c r="AN70" s="86"/>
      <c r="AO70" s="176">
        <v>2014</v>
      </c>
    </row>
    <row r="71" spans="1:41" x14ac:dyDescent="0.3">
      <c r="A71" s="125" t="s">
        <v>350</v>
      </c>
      <c r="B71" s="125">
        <v>69.88</v>
      </c>
      <c r="C71" s="167">
        <v>47453</v>
      </c>
      <c r="D71" s="125">
        <v>2029</v>
      </c>
      <c r="E71" s="125">
        <v>12</v>
      </c>
      <c r="F71" s="125" t="s">
        <v>580</v>
      </c>
      <c r="N71" s="167">
        <v>45021</v>
      </c>
      <c r="O71" s="171">
        <v>84.99</v>
      </c>
      <c r="P71" s="125">
        <v>2023</v>
      </c>
      <c r="Q71" s="125">
        <v>4</v>
      </c>
      <c r="R71" s="125" t="s">
        <v>137</v>
      </c>
      <c r="T71" s="125">
        <v>2022</v>
      </c>
      <c r="U71" s="125" t="s">
        <v>485</v>
      </c>
      <c r="V71" s="126">
        <v>382</v>
      </c>
      <c r="W71" s="127">
        <v>1</v>
      </c>
      <c r="X71" s="128">
        <v>0.32650000000000001</v>
      </c>
      <c r="Y71" s="128">
        <v>0.13059999999999999</v>
      </c>
      <c r="Z71" s="127">
        <v>0.8</v>
      </c>
      <c r="AA71" s="128">
        <v>3.6299999999999999E-2</v>
      </c>
      <c r="AB71" s="127">
        <v>0.83</v>
      </c>
      <c r="AC71" s="129">
        <v>0.32900000000000001</v>
      </c>
      <c r="AD71" s="128">
        <v>0.31359999999999999</v>
      </c>
      <c r="AE71" s="128">
        <v>0.2253</v>
      </c>
      <c r="AG71" s="167">
        <v>41760</v>
      </c>
      <c r="AH71" s="173">
        <v>1884</v>
      </c>
      <c r="AI71" s="177">
        <v>2.6499999999999999E-2</v>
      </c>
      <c r="AJ71" s="173">
        <v>95.39</v>
      </c>
      <c r="AK71" s="127">
        <v>88.13</v>
      </c>
      <c r="AL71" s="127"/>
      <c r="AM71" s="177">
        <v>4.1300000000000003E-2</v>
      </c>
      <c r="AN71" s="128"/>
      <c r="AO71" s="175">
        <v>2014</v>
      </c>
    </row>
    <row r="72" spans="1:41" x14ac:dyDescent="0.3">
      <c r="A72" s="83" t="s">
        <v>351</v>
      </c>
      <c r="B72" s="83">
        <v>69.88</v>
      </c>
      <c r="C72" s="168">
        <v>47484</v>
      </c>
      <c r="D72" s="83">
        <v>2030</v>
      </c>
      <c r="E72" s="83">
        <v>1</v>
      </c>
      <c r="F72" s="83" t="s">
        <v>581</v>
      </c>
      <c r="N72" s="168">
        <v>45022</v>
      </c>
      <c r="O72" s="172">
        <v>85.12</v>
      </c>
      <c r="P72" s="83">
        <v>2023</v>
      </c>
      <c r="Q72" s="83">
        <v>4</v>
      </c>
      <c r="R72" s="83" t="s">
        <v>137</v>
      </c>
      <c r="T72" s="83">
        <v>2022</v>
      </c>
      <c r="U72" s="83" t="s">
        <v>451</v>
      </c>
      <c r="V72" s="84">
        <v>193</v>
      </c>
      <c r="W72" s="85">
        <v>0.98</v>
      </c>
      <c r="X72" s="86">
        <v>0.58440000000000003</v>
      </c>
      <c r="Y72" s="86">
        <v>0.193</v>
      </c>
      <c r="Z72" s="85">
        <v>0.68</v>
      </c>
      <c r="AA72" s="86">
        <v>0.05</v>
      </c>
      <c r="AB72" s="85">
        <v>0.72</v>
      </c>
      <c r="AC72" s="87">
        <v>0.33579999999999999</v>
      </c>
      <c r="AD72" s="86">
        <v>0.30420000000000003</v>
      </c>
      <c r="AE72" s="86">
        <v>0.28170000000000001</v>
      </c>
      <c r="AG72" s="168">
        <v>41791</v>
      </c>
      <c r="AH72" s="174">
        <v>1924</v>
      </c>
      <c r="AI72" s="178">
        <v>2.4799999999999999E-2</v>
      </c>
      <c r="AJ72" s="174">
        <v>95.39</v>
      </c>
      <c r="AK72" s="85">
        <v>88.13</v>
      </c>
      <c r="AL72" s="85"/>
      <c r="AM72" s="178">
        <v>4.0599999999999997E-2</v>
      </c>
      <c r="AN72" s="86"/>
      <c r="AO72" s="176">
        <v>2014</v>
      </c>
    </row>
    <row r="73" spans="1:41" x14ac:dyDescent="0.3">
      <c r="A73" s="125" t="s">
        <v>361</v>
      </c>
      <c r="B73" s="125">
        <v>69.88</v>
      </c>
      <c r="C73" s="167">
        <v>47515</v>
      </c>
      <c r="D73" s="125">
        <v>2030</v>
      </c>
      <c r="E73" s="125">
        <v>2</v>
      </c>
      <c r="F73" s="125" t="s">
        <v>581</v>
      </c>
      <c r="N73" s="167">
        <v>45023</v>
      </c>
      <c r="O73" s="171">
        <v>85.12</v>
      </c>
      <c r="P73" s="125">
        <v>2023</v>
      </c>
      <c r="Q73" s="125">
        <v>4</v>
      </c>
      <c r="R73" s="125" t="s">
        <v>137</v>
      </c>
      <c r="T73" s="125">
        <v>2022</v>
      </c>
      <c r="U73" s="125" t="s">
        <v>452</v>
      </c>
      <c r="V73" s="126">
        <v>98</v>
      </c>
      <c r="W73" s="127">
        <v>1.08</v>
      </c>
      <c r="X73" s="128">
        <v>0.24049999999999999</v>
      </c>
      <c r="Y73" s="128">
        <v>0.19900000000000001</v>
      </c>
      <c r="Z73" s="127">
        <v>0.91</v>
      </c>
      <c r="AA73" s="128">
        <v>2.2200000000000001E-2</v>
      </c>
      <c r="AB73" s="127">
        <v>0.93</v>
      </c>
      <c r="AC73" s="129">
        <v>0.3165</v>
      </c>
      <c r="AD73" s="128">
        <v>0.27789999999999998</v>
      </c>
      <c r="AE73" s="128">
        <v>0.313</v>
      </c>
      <c r="AG73" s="167">
        <v>41821</v>
      </c>
      <c r="AH73" s="173">
        <v>1960</v>
      </c>
      <c r="AI73" s="177">
        <v>2.52E-2</v>
      </c>
      <c r="AJ73" s="173">
        <v>99.78</v>
      </c>
      <c r="AK73" s="127">
        <v>96.01</v>
      </c>
      <c r="AL73" s="127"/>
      <c r="AM73" s="177">
        <v>4.07E-2</v>
      </c>
      <c r="AN73" s="128"/>
      <c r="AO73" s="175">
        <v>2014</v>
      </c>
    </row>
    <row r="74" spans="1:41" x14ac:dyDescent="0.3">
      <c r="A74" s="83" t="s">
        <v>362</v>
      </c>
      <c r="B74" s="83">
        <v>69.88</v>
      </c>
      <c r="C74" s="168">
        <v>47543</v>
      </c>
      <c r="D74" s="83">
        <v>2030</v>
      </c>
      <c r="E74" s="83">
        <v>3</v>
      </c>
      <c r="F74" s="83" t="s">
        <v>581</v>
      </c>
      <c r="N74" s="168">
        <v>45026</v>
      </c>
      <c r="O74" s="172">
        <v>84.18</v>
      </c>
      <c r="P74" s="83">
        <v>2023</v>
      </c>
      <c r="Q74" s="83">
        <v>4</v>
      </c>
      <c r="R74" s="83" t="s">
        <v>137</v>
      </c>
      <c r="T74" s="83">
        <v>2022</v>
      </c>
      <c r="U74" s="83" t="s">
        <v>453</v>
      </c>
      <c r="V74" s="84">
        <v>1006</v>
      </c>
      <c r="W74" s="85">
        <v>0.83</v>
      </c>
      <c r="X74" s="86">
        <v>0.69220000000000004</v>
      </c>
      <c r="Y74" s="86">
        <v>0.17230000000000001</v>
      </c>
      <c r="Z74" s="85">
        <v>0.54</v>
      </c>
      <c r="AA74" s="86">
        <v>8.8400000000000006E-2</v>
      </c>
      <c r="AB74" s="85">
        <v>0.6</v>
      </c>
      <c r="AC74" s="87">
        <v>0.35859999999999997</v>
      </c>
      <c r="AD74" s="86">
        <v>0.32640000000000002</v>
      </c>
      <c r="AE74" s="86">
        <v>0.28849999999999998</v>
      </c>
      <c r="AG74" s="168">
        <v>41852</v>
      </c>
      <c r="AH74" s="174">
        <v>1931</v>
      </c>
      <c r="AI74" s="178">
        <v>2.5600000000000001E-2</v>
      </c>
      <c r="AJ74" s="174">
        <v>99.78</v>
      </c>
      <c r="AK74" s="85">
        <v>96.01</v>
      </c>
      <c r="AL74" s="85"/>
      <c r="AM74" s="178">
        <v>4.0899999999999999E-2</v>
      </c>
      <c r="AN74" s="86"/>
      <c r="AO74" s="176">
        <v>2014</v>
      </c>
    </row>
    <row r="75" spans="1:41" x14ac:dyDescent="0.3">
      <c r="A75" s="125" t="s">
        <v>559</v>
      </c>
      <c r="B75" s="125">
        <v>69.88</v>
      </c>
      <c r="C75" s="167">
        <v>47574</v>
      </c>
      <c r="D75" s="125">
        <v>2030</v>
      </c>
      <c r="E75" s="125">
        <v>4</v>
      </c>
      <c r="F75" s="125" t="s">
        <v>582</v>
      </c>
      <c r="N75" s="167">
        <v>45027</v>
      </c>
      <c r="O75" s="171">
        <v>85.61</v>
      </c>
      <c r="P75" s="125">
        <v>2023</v>
      </c>
      <c r="Q75" s="125">
        <v>4</v>
      </c>
      <c r="R75" s="125" t="s">
        <v>137</v>
      </c>
      <c r="T75" s="125">
        <v>2022</v>
      </c>
      <c r="U75" s="125" t="s">
        <v>454</v>
      </c>
      <c r="V75" s="126">
        <v>189</v>
      </c>
      <c r="W75" s="127">
        <v>0.89</v>
      </c>
      <c r="X75" s="128">
        <v>0.36480000000000001</v>
      </c>
      <c r="Y75" s="128">
        <v>0.1837</v>
      </c>
      <c r="Z75" s="127">
        <v>0.7</v>
      </c>
      <c r="AA75" s="128">
        <v>4.9299999999999997E-2</v>
      </c>
      <c r="AB75" s="127">
        <v>0.73</v>
      </c>
      <c r="AC75" s="129">
        <v>0.29289999999999999</v>
      </c>
      <c r="AD75" s="128">
        <v>0.27279999999999999</v>
      </c>
      <c r="AE75" s="128">
        <v>7.5399999999999995E-2</v>
      </c>
      <c r="AG75" s="167">
        <v>41883</v>
      </c>
      <c r="AH75" s="173">
        <v>2003</v>
      </c>
      <c r="AI75" s="177">
        <v>2.35E-2</v>
      </c>
      <c r="AJ75" s="173">
        <v>99.78</v>
      </c>
      <c r="AK75" s="127">
        <v>96.01</v>
      </c>
      <c r="AL75" s="127"/>
      <c r="AM75" s="177">
        <v>0.04</v>
      </c>
      <c r="AN75" s="128"/>
      <c r="AO75" s="175">
        <v>2014</v>
      </c>
    </row>
    <row r="76" spans="1:41" x14ac:dyDescent="0.3">
      <c r="A76" s="83" t="s">
        <v>560</v>
      </c>
      <c r="B76" s="83">
        <v>69.89</v>
      </c>
      <c r="C76" s="168">
        <v>47604</v>
      </c>
      <c r="D76" s="83">
        <v>2030</v>
      </c>
      <c r="E76" s="83">
        <v>5</v>
      </c>
      <c r="F76" s="83" t="s">
        <v>582</v>
      </c>
      <c r="N76" s="168">
        <v>45028</v>
      </c>
      <c r="O76" s="172">
        <v>87.33</v>
      </c>
      <c r="P76" s="83">
        <v>2023</v>
      </c>
      <c r="Q76" s="83">
        <v>4</v>
      </c>
      <c r="R76" s="83" t="s">
        <v>137</v>
      </c>
      <c r="T76" s="83">
        <v>2022</v>
      </c>
      <c r="U76" s="83" t="s">
        <v>455</v>
      </c>
      <c r="V76" s="84">
        <v>181</v>
      </c>
      <c r="W76" s="85">
        <v>0.71</v>
      </c>
      <c r="X76" s="86">
        <v>0.57899999999999996</v>
      </c>
      <c r="Y76" s="86">
        <v>0.21190000000000001</v>
      </c>
      <c r="Z76" s="85">
        <v>0.49</v>
      </c>
      <c r="AA76" s="86">
        <v>7.0699999999999999E-2</v>
      </c>
      <c r="AB76" s="85">
        <v>0.53</v>
      </c>
      <c r="AC76" s="87">
        <v>0.28289999999999998</v>
      </c>
      <c r="AD76" s="86">
        <v>0.23949999999999999</v>
      </c>
      <c r="AE76" s="86">
        <v>0.185</v>
      </c>
      <c r="AG76" s="168">
        <v>41913</v>
      </c>
      <c r="AH76" s="174">
        <v>1973</v>
      </c>
      <c r="AI76" s="178">
        <v>2.4899999999999999E-2</v>
      </c>
      <c r="AJ76" s="174">
        <v>100.41</v>
      </c>
      <c r="AK76" s="85">
        <v>97.52</v>
      </c>
      <c r="AL76" s="85"/>
      <c r="AM76" s="178">
        <v>4.0399999999999998E-2</v>
      </c>
      <c r="AN76" s="86"/>
      <c r="AO76" s="176">
        <v>2014</v>
      </c>
    </row>
    <row r="77" spans="1:41" x14ac:dyDescent="0.3">
      <c r="A77" s="125" t="s">
        <v>671</v>
      </c>
      <c r="B77" s="125">
        <v>69.900000000000006</v>
      </c>
      <c r="C77" s="167">
        <v>47635</v>
      </c>
      <c r="D77" s="125">
        <v>2030</v>
      </c>
      <c r="E77" s="125">
        <v>6</v>
      </c>
      <c r="F77" s="125" t="s">
        <v>583</v>
      </c>
      <c r="N77" s="167">
        <v>45029</v>
      </c>
      <c r="O77" s="171">
        <v>86.09</v>
      </c>
      <c r="P77" s="125">
        <v>2023</v>
      </c>
      <c r="Q77" s="125">
        <v>4</v>
      </c>
      <c r="R77" s="125" t="s">
        <v>137</v>
      </c>
      <c r="T77" s="125">
        <v>2022</v>
      </c>
      <c r="U77" s="125" t="s">
        <v>486</v>
      </c>
      <c r="V77" s="126">
        <v>342</v>
      </c>
      <c r="W77" s="127">
        <v>1.59</v>
      </c>
      <c r="X77" s="128">
        <v>0.2054</v>
      </c>
      <c r="Y77" s="128">
        <v>9.9699999999999997E-2</v>
      </c>
      <c r="Z77" s="127">
        <v>1.38</v>
      </c>
      <c r="AA77" s="128">
        <v>7.4999999999999997E-2</v>
      </c>
      <c r="AB77" s="127">
        <v>1.49</v>
      </c>
      <c r="AC77" s="129">
        <v>0.52739999999999998</v>
      </c>
      <c r="AD77" s="128">
        <v>0.46350000000000002</v>
      </c>
      <c r="AE77" s="128">
        <v>0.51200000000000001</v>
      </c>
      <c r="AG77" s="167">
        <v>41944</v>
      </c>
      <c r="AH77" s="173">
        <v>2018</v>
      </c>
      <c r="AI77" s="177">
        <v>2.3400000000000001E-2</v>
      </c>
      <c r="AJ77" s="173">
        <v>100.41</v>
      </c>
      <c r="AK77" s="127">
        <v>97.52</v>
      </c>
      <c r="AL77" s="127"/>
      <c r="AM77" s="177">
        <v>0.04</v>
      </c>
      <c r="AN77" s="128"/>
      <c r="AO77" s="175">
        <v>2014</v>
      </c>
    </row>
    <row r="78" spans="1:41" x14ac:dyDescent="0.3">
      <c r="A78" s="83" t="s">
        <v>672</v>
      </c>
      <c r="B78" s="83">
        <v>69.900000000000006</v>
      </c>
      <c r="C78" s="168">
        <v>47665</v>
      </c>
      <c r="D78" s="83">
        <v>2030</v>
      </c>
      <c r="E78" s="83">
        <v>7</v>
      </c>
      <c r="F78" s="83" t="s">
        <v>584</v>
      </c>
      <c r="N78" s="168">
        <v>45030</v>
      </c>
      <c r="O78" s="172">
        <v>86.31</v>
      </c>
      <c r="P78" s="83">
        <v>2023</v>
      </c>
      <c r="Q78" s="83">
        <v>4</v>
      </c>
      <c r="R78" s="83" t="s">
        <v>137</v>
      </c>
      <c r="T78" s="83">
        <v>2022</v>
      </c>
      <c r="U78" s="83" t="s">
        <v>456</v>
      </c>
      <c r="V78" s="84">
        <v>495</v>
      </c>
      <c r="W78" s="85">
        <v>1.0900000000000001</v>
      </c>
      <c r="X78" s="86">
        <v>0.31130000000000002</v>
      </c>
      <c r="Y78" s="86">
        <v>0.1757</v>
      </c>
      <c r="Z78" s="85">
        <v>0.88</v>
      </c>
      <c r="AA78" s="86">
        <v>7.6499999999999999E-2</v>
      </c>
      <c r="AB78" s="85">
        <v>0.96</v>
      </c>
      <c r="AC78" s="87">
        <v>0.35870000000000002</v>
      </c>
      <c r="AD78" s="86">
        <v>0.31790000000000002</v>
      </c>
      <c r="AE78" s="86">
        <v>0.16370000000000001</v>
      </c>
      <c r="AG78" s="168">
        <v>41974</v>
      </c>
      <c r="AH78" s="174">
        <v>2068</v>
      </c>
      <c r="AI78" s="178">
        <v>2.1700000000000001E-2</v>
      </c>
      <c r="AJ78" s="174">
        <v>100.41</v>
      </c>
      <c r="AK78" s="85">
        <v>97.52</v>
      </c>
      <c r="AL78" s="85"/>
      <c r="AM78" s="178">
        <v>3.9300000000000002E-2</v>
      </c>
      <c r="AN78" s="86"/>
      <c r="AO78" s="176">
        <v>2014</v>
      </c>
    </row>
    <row r="79" spans="1:41" x14ac:dyDescent="0.3">
      <c r="A79" s="125" t="s">
        <v>561</v>
      </c>
      <c r="B79" s="125">
        <v>69.900000000000006</v>
      </c>
      <c r="C79" s="167">
        <v>47696</v>
      </c>
      <c r="D79" s="125">
        <v>2030</v>
      </c>
      <c r="E79" s="125">
        <v>8</v>
      </c>
      <c r="F79" s="125" t="s">
        <v>585</v>
      </c>
      <c r="N79" s="167">
        <v>45033</v>
      </c>
      <c r="O79" s="171">
        <v>84.76</v>
      </c>
      <c r="P79" s="125">
        <v>2023</v>
      </c>
      <c r="Q79" s="125">
        <v>4</v>
      </c>
      <c r="R79" s="125" t="s">
        <v>137</v>
      </c>
      <c r="T79" s="125">
        <v>2022</v>
      </c>
      <c r="U79" s="125" t="s">
        <v>457</v>
      </c>
      <c r="V79" s="126">
        <v>89</v>
      </c>
      <c r="W79" s="127">
        <v>1.1599999999999999</v>
      </c>
      <c r="X79" s="128">
        <v>0.51190000000000002</v>
      </c>
      <c r="Y79" s="128">
        <v>0.15959999999999999</v>
      </c>
      <c r="Z79" s="127">
        <v>0.84</v>
      </c>
      <c r="AA79" s="128">
        <v>0.1003</v>
      </c>
      <c r="AB79" s="127">
        <v>0.93</v>
      </c>
      <c r="AC79" s="129">
        <v>0.30220000000000002</v>
      </c>
      <c r="AD79" s="128">
        <v>0.27729999999999999</v>
      </c>
      <c r="AE79" s="128">
        <v>0.1113</v>
      </c>
      <c r="AG79" s="167">
        <v>42005</v>
      </c>
      <c r="AH79" s="173">
        <v>2059</v>
      </c>
      <c r="AI79" s="177">
        <v>2.1700000000000001E-2</v>
      </c>
      <c r="AJ79" s="173">
        <v>107.97</v>
      </c>
      <c r="AK79" s="127">
        <v>100.5</v>
      </c>
      <c r="AL79" s="127"/>
      <c r="AM79" s="177">
        <v>5.5800000000000002E-2</v>
      </c>
      <c r="AN79" s="128"/>
      <c r="AO79" s="175">
        <v>2015</v>
      </c>
    </row>
    <row r="80" spans="1:41" x14ac:dyDescent="0.3">
      <c r="A80" s="83" t="s">
        <v>562</v>
      </c>
      <c r="B80" s="83">
        <v>69.900000000000006</v>
      </c>
      <c r="C80" s="168">
        <v>47727</v>
      </c>
      <c r="D80" s="83">
        <v>2030</v>
      </c>
      <c r="E80" s="83">
        <v>9</v>
      </c>
      <c r="F80" s="83" t="s">
        <v>585</v>
      </c>
      <c r="N80" s="168">
        <v>45034</v>
      </c>
      <c r="O80" s="172">
        <v>84.45</v>
      </c>
      <c r="P80" s="83">
        <v>2023</v>
      </c>
      <c r="Q80" s="83">
        <v>4</v>
      </c>
      <c r="R80" s="83" t="s">
        <v>137</v>
      </c>
      <c r="T80" s="83">
        <v>2022</v>
      </c>
      <c r="U80" s="83" t="s">
        <v>458</v>
      </c>
      <c r="V80" s="84">
        <v>624</v>
      </c>
      <c r="W80" s="85">
        <v>1.69</v>
      </c>
      <c r="X80" s="86">
        <v>0.11609999999999999</v>
      </c>
      <c r="Y80" s="86">
        <v>0.10349999999999999</v>
      </c>
      <c r="Z80" s="85">
        <v>1.56</v>
      </c>
      <c r="AA80" s="86">
        <v>6.9500000000000006E-2</v>
      </c>
      <c r="AB80" s="85">
        <v>1.67</v>
      </c>
      <c r="AC80" s="87">
        <v>0.39350000000000002</v>
      </c>
      <c r="AD80" s="86">
        <v>0.37340000000000001</v>
      </c>
      <c r="AE80" s="86">
        <v>0.46879999999999999</v>
      </c>
      <c r="AG80" s="168">
        <v>42036</v>
      </c>
      <c r="AH80" s="174">
        <v>1995</v>
      </c>
      <c r="AI80" s="178">
        <v>1.7000000000000001E-2</v>
      </c>
      <c r="AJ80" s="174">
        <v>107.97</v>
      </c>
      <c r="AK80" s="85">
        <v>100.5</v>
      </c>
      <c r="AL80" s="85"/>
      <c r="AM80" s="178">
        <v>5.3800000000000001E-2</v>
      </c>
      <c r="AN80" s="86"/>
      <c r="AO80" s="176">
        <v>2015</v>
      </c>
    </row>
    <row r="81" spans="1:41" x14ac:dyDescent="0.3">
      <c r="A81" s="125" t="s">
        <v>563</v>
      </c>
      <c r="B81" s="125">
        <v>69.900000000000006</v>
      </c>
      <c r="C81" s="167">
        <v>47757</v>
      </c>
      <c r="D81" s="125">
        <v>2030</v>
      </c>
      <c r="E81" s="125">
        <v>10</v>
      </c>
      <c r="F81" s="125" t="s">
        <v>586</v>
      </c>
      <c r="N81" s="167">
        <v>45035</v>
      </c>
      <c r="O81" s="171">
        <v>82.79</v>
      </c>
      <c r="P81" s="125">
        <v>2023</v>
      </c>
      <c r="Q81" s="125">
        <v>4</v>
      </c>
      <c r="R81" s="125" t="s">
        <v>137</v>
      </c>
      <c r="T81" s="125">
        <v>2022</v>
      </c>
      <c r="U81" s="125" t="s">
        <v>459</v>
      </c>
      <c r="V81" s="126">
        <v>342</v>
      </c>
      <c r="W81" s="127">
        <v>1.96</v>
      </c>
      <c r="X81" s="128">
        <v>7.0900000000000005E-2</v>
      </c>
      <c r="Y81" s="128">
        <v>0.1439</v>
      </c>
      <c r="Z81" s="127">
        <v>1.86</v>
      </c>
      <c r="AA81" s="128">
        <v>6.0499999999999998E-2</v>
      </c>
      <c r="AB81" s="127">
        <v>1.98</v>
      </c>
      <c r="AC81" s="129">
        <v>0.36630000000000001</v>
      </c>
      <c r="AD81" s="128">
        <v>0.3327</v>
      </c>
      <c r="AE81" s="128">
        <v>0.6996</v>
      </c>
      <c r="AG81" s="167">
        <v>42064</v>
      </c>
      <c r="AH81" s="173">
        <v>2105</v>
      </c>
      <c r="AI81" s="177">
        <v>0.02</v>
      </c>
      <c r="AJ81" s="173">
        <v>107.97</v>
      </c>
      <c r="AK81" s="127">
        <v>100.5</v>
      </c>
      <c r="AL81" s="127"/>
      <c r="AM81" s="177">
        <v>5.5100000000000003E-2</v>
      </c>
      <c r="AN81" s="128"/>
      <c r="AO81" s="175">
        <v>2015</v>
      </c>
    </row>
    <row r="82" spans="1:41" x14ac:dyDescent="0.3">
      <c r="A82" s="83" t="s">
        <v>673</v>
      </c>
      <c r="B82" s="83">
        <v>69.91</v>
      </c>
      <c r="C82" s="168">
        <v>47788</v>
      </c>
      <c r="D82" s="83">
        <v>2030</v>
      </c>
      <c r="E82" s="83">
        <v>11</v>
      </c>
      <c r="F82" s="83" t="s">
        <v>587</v>
      </c>
      <c r="N82" s="168">
        <v>45036</v>
      </c>
      <c r="O82" s="172">
        <v>80.81</v>
      </c>
      <c r="P82" s="83">
        <v>2023</v>
      </c>
      <c r="Q82" s="83">
        <v>4</v>
      </c>
      <c r="R82" s="83" t="s">
        <v>137</v>
      </c>
      <c r="T82" s="83">
        <v>2022</v>
      </c>
      <c r="U82" s="83" t="s">
        <v>460</v>
      </c>
      <c r="V82" s="84">
        <v>349</v>
      </c>
      <c r="W82" s="85">
        <v>1.1000000000000001</v>
      </c>
      <c r="X82" s="86">
        <v>0.50019999999999998</v>
      </c>
      <c r="Y82" s="86">
        <v>0.12280000000000001</v>
      </c>
      <c r="Z82" s="85">
        <v>0.8</v>
      </c>
      <c r="AA82" s="86">
        <v>0.24149999999999999</v>
      </c>
      <c r="AB82" s="85">
        <v>1.05</v>
      </c>
      <c r="AC82" s="87">
        <v>0.33329999999999999</v>
      </c>
      <c r="AD82" s="86">
        <v>0.33910000000000001</v>
      </c>
      <c r="AE82" s="86">
        <v>1.1534</v>
      </c>
      <c r="AG82" s="168">
        <v>42095</v>
      </c>
      <c r="AH82" s="174">
        <v>2068</v>
      </c>
      <c r="AI82" s="178">
        <v>1.9300000000000001E-2</v>
      </c>
      <c r="AJ82" s="174">
        <v>108.59</v>
      </c>
      <c r="AK82" s="85">
        <v>101.98</v>
      </c>
      <c r="AL82" s="85"/>
      <c r="AM82" s="178">
        <v>5.4800000000000001E-2</v>
      </c>
      <c r="AN82" s="86"/>
      <c r="AO82" s="176">
        <v>2015</v>
      </c>
    </row>
    <row r="83" spans="1:41" x14ac:dyDescent="0.3">
      <c r="A83" s="125" t="s">
        <v>564</v>
      </c>
      <c r="B83" s="125">
        <v>69.92</v>
      </c>
      <c r="C83" s="167">
        <v>47818</v>
      </c>
      <c r="D83" s="125">
        <v>2030</v>
      </c>
      <c r="E83" s="125">
        <v>12</v>
      </c>
      <c r="F83" s="125" t="s">
        <v>586</v>
      </c>
      <c r="N83" s="167">
        <v>45037</v>
      </c>
      <c r="O83" s="171">
        <v>81.459999999999994</v>
      </c>
      <c r="P83" s="125">
        <v>2023</v>
      </c>
      <c r="Q83" s="125">
        <v>4</v>
      </c>
      <c r="R83" s="125" t="s">
        <v>137</v>
      </c>
      <c r="T83" s="125">
        <v>2022</v>
      </c>
      <c r="U83" s="125" t="s">
        <v>461</v>
      </c>
      <c r="V83" s="126">
        <v>85</v>
      </c>
      <c r="W83" s="127">
        <v>1.02</v>
      </c>
      <c r="X83" s="128">
        <v>0.1239</v>
      </c>
      <c r="Y83" s="128">
        <v>0.14360000000000001</v>
      </c>
      <c r="Z83" s="127">
        <v>0.93</v>
      </c>
      <c r="AA83" s="128">
        <v>4.6800000000000001E-2</v>
      </c>
      <c r="AB83" s="127">
        <v>0.98</v>
      </c>
      <c r="AC83" s="129">
        <v>0.36799999999999999</v>
      </c>
      <c r="AD83" s="128">
        <v>0.35249999999999998</v>
      </c>
      <c r="AE83" s="128">
        <v>0.21540000000000001</v>
      </c>
      <c r="AG83" s="167">
        <v>42125</v>
      </c>
      <c r="AH83" s="173">
        <v>2086</v>
      </c>
      <c r="AI83" s="177">
        <v>2.0500000000000001E-2</v>
      </c>
      <c r="AJ83" s="173">
        <v>108.59</v>
      </c>
      <c r="AK83" s="127">
        <v>101.98</v>
      </c>
      <c r="AL83" s="127"/>
      <c r="AM83" s="177">
        <v>5.5300000000000002E-2</v>
      </c>
      <c r="AN83" s="128"/>
      <c r="AO83" s="175">
        <v>2015</v>
      </c>
    </row>
    <row r="84" spans="1:41" x14ac:dyDescent="0.3">
      <c r="A84" s="232" t="s">
        <v>734</v>
      </c>
      <c r="B84" s="83">
        <v>69.92</v>
      </c>
      <c r="C84" s="168">
        <v>47849</v>
      </c>
      <c r="D84" s="83">
        <v>2031</v>
      </c>
      <c r="E84" s="83">
        <v>1</v>
      </c>
      <c r="F84" s="83" t="s">
        <v>586</v>
      </c>
      <c r="N84" s="168">
        <v>45040</v>
      </c>
      <c r="O84" s="172">
        <v>82.54</v>
      </c>
      <c r="P84" s="83">
        <v>2023</v>
      </c>
      <c r="Q84" s="83">
        <v>4</v>
      </c>
      <c r="R84" s="83" t="s">
        <v>137</v>
      </c>
      <c r="T84" s="83">
        <v>2022</v>
      </c>
      <c r="U84" s="83" t="s">
        <v>487</v>
      </c>
      <c r="V84" s="84">
        <v>320</v>
      </c>
      <c r="W84" s="85">
        <v>1.48</v>
      </c>
      <c r="X84" s="86">
        <v>7.2099999999999997E-2</v>
      </c>
      <c r="Y84" s="86">
        <v>9.4600000000000004E-2</v>
      </c>
      <c r="Z84" s="85">
        <v>1.4</v>
      </c>
      <c r="AA84" s="86">
        <v>4.1700000000000001E-2</v>
      </c>
      <c r="AB84" s="85">
        <v>1.46</v>
      </c>
      <c r="AC84" s="87">
        <v>0.52349999999999997</v>
      </c>
      <c r="AD84" s="86">
        <v>0.47749999999999998</v>
      </c>
      <c r="AE84" s="86">
        <v>0.61329999999999996</v>
      </c>
      <c r="AG84" s="168">
        <v>42156</v>
      </c>
      <c r="AH84" s="174">
        <v>2107</v>
      </c>
      <c r="AI84" s="178">
        <v>2.1299999999999999E-2</v>
      </c>
      <c r="AJ84" s="174">
        <v>108.59</v>
      </c>
      <c r="AK84" s="85">
        <v>101.98</v>
      </c>
      <c r="AL84" s="85"/>
      <c r="AM84" s="178">
        <v>5.5599999999999997E-2</v>
      </c>
      <c r="AN84" s="86"/>
      <c r="AO84" s="176">
        <v>2015</v>
      </c>
    </row>
    <row r="85" spans="1:41" x14ac:dyDescent="0.3">
      <c r="A85" s="233" t="s">
        <v>731</v>
      </c>
      <c r="B85" s="125">
        <v>69.92</v>
      </c>
      <c r="C85" s="167">
        <v>47880</v>
      </c>
      <c r="D85" s="125">
        <v>2031</v>
      </c>
      <c r="E85" s="125">
        <v>2</v>
      </c>
      <c r="F85" s="125" t="s">
        <v>586</v>
      </c>
      <c r="N85" s="167">
        <v>45041</v>
      </c>
      <c r="O85" s="171">
        <v>80.599999999999994</v>
      </c>
      <c r="P85" s="125">
        <v>2023</v>
      </c>
      <c r="Q85" s="125">
        <v>4</v>
      </c>
      <c r="R85" s="125" t="s">
        <v>137</v>
      </c>
      <c r="T85" s="125">
        <v>2022</v>
      </c>
      <c r="U85" s="125" t="s">
        <v>488</v>
      </c>
      <c r="V85" s="126">
        <v>152</v>
      </c>
      <c r="W85" s="127">
        <v>1.35</v>
      </c>
      <c r="X85" s="128">
        <v>0.16669999999999999</v>
      </c>
      <c r="Y85" s="128">
        <v>9.0300000000000005E-2</v>
      </c>
      <c r="Z85" s="127">
        <v>1.2</v>
      </c>
      <c r="AA85" s="128">
        <v>5.0700000000000002E-2</v>
      </c>
      <c r="AB85" s="127">
        <v>1.26</v>
      </c>
      <c r="AC85" s="129">
        <v>0.46800000000000003</v>
      </c>
      <c r="AD85" s="128">
        <v>0.43240000000000001</v>
      </c>
      <c r="AE85" s="128">
        <v>0.3584</v>
      </c>
      <c r="AG85" s="167">
        <v>42186</v>
      </c>
      <c r="AH85" s="173">
        <v>2063</v>
      </c>
      <c r="AI85" s="177">
        <v>2.3599999999999999E-2</v>
      </c>
      <c r="AJ85" s="173">
        <v>108.34</v>
      </c>
      <c r="AK85" s="127">
        <v>101.58</v>
      </c>
      <c r="AL85" s="127"/>
      <c r="AM85" s="177">
        <v>5.6500000000000002E-2</v>
      </c>
      <c r="AN85" s="128"/>
      <c r="AO85" s="175">
        <v>2015</v>
      </c>
    </row>
    <row r="86" spans="1:41" x14ac:dyDescent="0.3">
      <c r="A86" s="232" t="s">
        <v>735</v>
      </c>
      <c r="B86" s="83">
        <v>69.92</v>
      </c>
      <c r="C86" s="168">
        <v>47908</v>
      </c>
      <c r="D86" s="83">
        <v>2031</v>
      </c>
      <c r="E86" s="83">
        <v>3</v>
      </c>
      <c r="F86" s="83" t="s">
        <v>586</v>
      </c>
      <c r="N86" s="168">
        <v>45042</v>
      </c>
      <c r="O86" s="172">
        <v>77.72</v>
      </c>
      <c r="P86" s="83">
        <v>2023</v>
      </c>
      <c r="Q86" s="83">
        <v>4</v>
      </c>
      <c r="R86" s="83" t="s">
        <v>137</v>
      </c>
      <c r="T86" s="83">
        <v>2022</v>
      </c>
      <c r="U86" s="83" t="s">
        <v>489</v>
      </c>
      <c r="V86" s="84">
        <v>1648</v>
      </c>
      <c r="W86" s="85">
        <v>1.35</v>
      </c>
      <c r="X86" s="86">
        <v>8.9399999999999993E-2</v>
      </c>
      <c r="Y86" s="86">
        <v>7.8799999999999995E-2</v>
      </c>
      <c r="Z86" s="85">
        <v>1.27</v>
      </c>
      <c r="AA86" s="86">
        <v>3.73E-2</v>
      </c>
      <c r="AB86" s="85">
        <v>1.32</v>
      </c>
      <c r="AC86" s="87">
        <v>0.48659999999999998</v>
      </c>
      <c r="AD86" s="86">
        <v>0.44540000000000002</v>
      </c>
      <c r="AE86" s="86">
        <v>0.28999999999999998</v>
      </c>
      <c r="AG86" s="168">
        <v>42217</v>
      </c>
      <c r="AH86" s="174">
        <v>2104</v>
      </c>
      <c r="AI86" s="178">
        <v>2.18E-2</v>
      </c>
      <c r="AJ86" s="174">
        <v>108.34</v>
      </c>
      <c r="AK86" s="85">
        <v>101.58</v>
      </c>
      <c r="AL86" s="85"/>
      <c r="AM86" s="178">
        <v>5.5800000000000002E-2</v>
      </c>
      <c r="AN86" s="86"/>
      <c r="AO86" s="176">
        <v>2015</v>
      </c>
    </row>
    <row r="87" spans="1:41" x14ac:dyDescent="0.3">
      <c r="A87" s="233" t="s">
        <v>735</v>
      </c>
      <c r="B87" s="125">
        <v>69.92</v>
      </c>
      <c r="C87" s="167">
        <v>47939</v>
      </c>
      <c r="D87" s="125">
        <v>2031</v>
      </c>
      <c r="E87" s="125">
        <v>4</v>
      </c>
      <c r="F87" s="125" t="str">
        <f>IF(E87&lt;4,"1T",IF(E87&lt;7,"2T",IF(E87&lt;10,"3T","4T")))&amp;RIGHT(D87,2)</f>
        <v>2T31</v>
      </c>
      <c r="N87" s="167">
        <v>45043</v>
      </c>
      <c r="O87" s="171">
        <v>78.22</v>
      </c>
      <c r="P87" s="125">
        <v>2023</v>
      </c>
      <c r="Q87" s="125">
        <v>4</v>
      </c>
      <c r="R87" s="125" t="s">
        <v>137</v>
      </c>
      <c r="T87" s="125">
        <v>2022</v>
      </c>
      <c r="U87" s="125" t="s">
        <v>462</v>
      </c>
      <c r="V87" s="126">
        <v>710</v>
      </c>
      <c r="W87" s="127">
        <v>1.23</v>
      </c>
      <c r="X87" s="128">
        <v>0.4733</v>
      </c>
      <c r="Y87" s="128">
        <v>0.15659999999999999</v>
      </c>
      <c r="Z87" s="127">
        <v>0.91</v>
      </c>
      <c r="AA87" s="128">
        <v>0.12429999999999999</v>
      </c>
      <c r="AB87" s="127">
        <v>1.04</v>
      </c>
      <c r="AC87" s="129">
        <v>0.36520000000000002</v>
      </c>
      <c r="AD87" s="128">
        <v>0.36049999999999999</v>
      </c>
      <c r="AE87" s="128">
        <v>0.73060000000000003</v>
      </c>
      <c r="AG87" s="167">
        <v>42248</v>
      </c>
      <c r="AH87" s="173">
        <v>1972</v>
      </c>
      <c r="AI87" s="177">
        <v>2.2200000000000001E-2</v>
      </c>
      <c r="AJ87" s="173">
        <v>108.34</v>
      </c>
      <c r="AK87" s="127">
        <v>101.58</v>
      </c>
      <c r="AL87" s="127"/>
      <c r="AM87" s="177">
        <v>6.3200000000000006E-2</v>
      </c>
      <c r="AN87" s="128"/>
      <c r="AO87" s="175">
        <v>2015</v>
      </c>
    </row>
    <row r="88" spans="1:41" x14ac:dyDescent="0.3">
      <c r="A88" s="232" t="s">
        <v>732</v>
      </c>
      <c r="B88" s="83">
        <v>69.92</v>
      </c>
      <c r="C88" s="168">
        <v>47969</v>
      </c>
      <c r="D88" s="83">
        <v>2031</v>
      </c>
      <c r="E88" s="83">
        <v>5</v>
      </c>
      <c r="F88" s="83" t="str">
        <f>IF(E88&lt;4,"1T",IF(E88&lt;7,"2T",IF(E88&lt;10,"3T","4T")))&amp;RIGHT(D88,2)</f>
        <v>2T31</v>
      </c>
      <c r="N88" s="168">
        <v>45044</v>
      </c>
      <c r="O88" s="172">
        <v>80.33</v>
      </c>
      <c r="P88" s="83">
        <v>2023</v>
      </c>
      <c r="Q88" s="83">
        <v>4</v>
      </c>
      <c r="R88" s="83" t="s">
        <v>137</v>
      </c>
      <c r="T88" s="83">
        <v>2022</v>
      </c>
      <c r="U88" s="83" t="s">
        <v>463</v>
      </c>
      <c r="V88" s="84">
        <v>99</v>
      </c>
      <c r="W88" s="85">
        <v>0.84</v>
      </c>
      <c r="X88" s="86">
        <v>0.69479999999999997</v>
      </c>
      <c r="Y88" s="86">
        <v>0.16209999999999999</v>
      </c>
      <c r="Z88" s="85">
        <v>0.55000000000000004</v>
      </c>
      <c r="AA88" s="86">
        <v>8.5000000000000006E-2</v>
      </c>
      <c r="AB88" s="85">
        <v>0.6</v>
      </c>
      <c r="AC88" s="87">
        <v>0.31580000000000003</v>
      </c>
      <c r="AD88" s="86">
        <v>0.27379999999999999</v>
      </c>
      <c r="AE88" s="86">
        <v>0.1295</v>
      </c>
      <c r="AG88" s="168">
        <v>42278</v>
      </c>
      <c r="AH88" s="174">
        <v>1920</v>
      </c>
      <c r="AI88" s="178">
        <v>2.06E-2</v>
      </c>
      <c r="AJ88" s="174">
        <v>100.83</v>
      </c>
      <c r="AK88" s="85">
        <v>104.2</v>
      </c>
      <c r="AL88" s="85">
        <v>74.239999999999995</v>
      </c>
      <c r="AM88" s="178">
        <v>6.25E-2</v>
      </c>
      <c r="AN88" s="86"/>
      <c r="AO88" s="176">
        <v>2015</v>
      </c>
    </row>
    <row r="89" spans="1:41" x14ac:dyDescent="0.3">
      <c r="A89" s="233" t="s">
        <v>733</v>
      </c>
      <c r="B89" s="125">
        <v>69.92</v>
      </c>
      <c r="C89" s="167">
        <v>48000</v>
      </c>
      <c r="D89" s="125">
        <v>2031</v>
      </c>
      <c r="E89" s="125">
        <v>6</v>
      </c>
      <c r="F89" s="125" t="str">
        <f>IF(E89&lt;4,"1T",IF(E89&lt;7,"2T",IF(E89&lt;10,"3T","4T")))&amp;RIGHT(D89,2)</f>
        <v>2T31</v>
      </c>
      <c r="N89" s="167">
        <v>45047</v>
      </c>
      <c r="O89" s="171">
        <v>79.31</v>
      </c>
      <c r="P89" s="125">
        <v>2023</v>
      </c>
      <c r="Q89" s="125">
        <v>5</v>
      </c>
      <c r="R89" s="125" t="s">
        <v>137</v>
      </c>
      <c r="T89" s="125">
        <v>2022</v>
      </c>
      <c r="U89" s="125" t="s">
        <v>464</v>
      </c>
      <c r="V89" s="126">
        <v>461</v>
      </c>
      <c r="W89" s="127">
        <v>1.2</v>
      </c>
      <c r="X89" s="128">
        <v>0.1399</v>
      </c>
      <c r="Y89" s="128">
        <v>8.4000000000000005E-2</v>
      </c>
      <c r="Z89" s="127">
        <v>1.08</v>
      </c>
      <c r="AA89" s="128">
        <v>7.7299999999999994E-2</v>
      </c>
      <c r="AB89" s="127">
        <v>1.18</v>
      </c>
      <c r="AC89" s="129">
        <v>0.38729999999999998</v>
      </c>
      <c r="AD89" s="128">
        <v>0.35580000000000001</v>
      </c>
      <c r="AE89" s="128">
        <v>0.1414</v>
      </c>
      <c r="AG89" s="167">
        <v>42309</v>
      </c>
      <c r="AH89" s="173">
        <v>2079</v>
      </c>
      <c r="AI89" s="177">
        <v>2.1499999999999998E-2</v>
      </c>
      <c r="AJ89" s="173">
        <v>100.83</v>
      </c>
      <c r="AK89" s="127">
        <v>104.2</v>
      </c>
      <c r="AL89" s="127">
        <v>74.239999999999995</v>
      </c>
      <c r="AM89" s="177">
        <v>6.2899999999999998E-2</v>
      </c>
      <c r="AN89" s="128"/>
      <c r="AO89" s="175">
        <v>2015</v>
      </c>
    </row>
    <row r="90" spans="1:41" x14ac:dyDescent="0.3">
      <c r="C90"/>
      <c r="N90" s="168">
        <v>45048</v>
      </c>
      <c r="O90" s="172">
        <v>75.319999999999993</v>
      </c>
      <c r="P90" s="83">
        <v>2023</v>
      </c>
      <c r="Q90" s="83">
        <v>5</v>
      </c>
      <c r="R90" s="83" t="s">
        <v>137</v>
      </c>
      <c r="T90" s="83">
        <v>2022</v>
      </c>
      <c r="U90" s="83" t="s">
        <v>465</v>
      </c>
      <c r="V90" s="84">
        <v>295</v>
      </c>
      <c r="W90" s="85">
        <v>0.83</v>
      </c>
      <c r="X90" s="86">
        <v>0.83560000000000001</v>
      </c>
      <c r="Y90" s="86">
        <v>0.1368</v>
      </c>
      <c r="Z90" s="85">
        <v>0.51</v>
      </c>
      <c r="AA90" s="86">
        <v>4.2700000000000002E-2</v>
      </c>
      <c r="AB90" s="85">
        <v>0.53</v>
      </c>
      <c r="AC90" s="87">
        <v>0.34660000000000002</v>
      </c>
      <c r="AD90" s="86">
        <v>0.33229999999999998</v>
      </c>
      <c r="AE90" s="86">
        <v>8.0399999999999999E-2</v>
      </c>
      <c r="AG90" s="168">
        <v>42339</v>
      </c>
      <c r="AH90" s="174">
        <v>2080</v>
      </c>
      <c r="AI90" s="178">
        <v>2.2100000000000002E-2</v>
      </c>
      <c r="AJ90" s="174">
        <v>100.83</v>
      </c>
      <c r="AK90" s="85">
        <v>104.2</v>
      </c>
      <c r="AL90" s="85">
        <v>74.239999999999995</v>
      </c>
      <c r="AM90" s="178">
        <v>6.3200000000000006E-2</v>
      </c>
      <c r="AN90" s="86"/>
      <c r="AO90" s="176">
        <v>2015</v>
      </c>
    </row>
    <row r="91" spans="1:41" x14ac:dyDescent="0.3">
      <c r="C91"/>
      <c r="N91" s="167">
        <v>45049</v>
      </c>
      <c r="O91" s="171">
        <v>72.33</v>
      </c>
      <c r="P91" s="125">
        <v>2023</v>
      </c>
      <c r="Q91" s="125">
        <v>5</v>
      </c>
      <c r="R91" s="125" t="s">
        <v>137</v>
      </c>
      <c r="T91" s="125">
        <v>2022</v>
      </c>
      <c r="U91" s="125" t="s">
        <v>466</v>
      </c>
      <c r="V91" s="126">
        <v>56</v>
      </c>
      <c r="W91" s="127">
        <v>0.89</v>
      </c>
      <c r="X91" s="128">
        <v>0.26819999999999999</v>
      </c>
      <c r="Y91" s="128">
        <v>0.18770000000000001</v>
      </c>
      <c r="Z91" s="127">
        <v>0.74</v>
      </c>
      <c r="AA91" s="128">
        <v>4.19E-2</v>
      </c>
      <c r="AB91" s="127">
        <v>0.78</v>
      </c>
      <c r="AC91" s="129">
        <v>0.35149999999999998</v>
      </c>
      <c r="AD91" s="128">
        <v>0.28820000000000001</v>
      </c>
      <c r="AE91" s="128">
        <v>0.12470000000000001</v>
      </c>
      <c r="AG91" s="167">
        <v>42370</v>
      </c>
      <c r="AH91" s="173">
        <v>2044</v>
      </c>
      <c r="AI91" s="177">
        <v>2.2700000000000001E-2</v>
      </c>
      <c r="AJ91" s="173">
        <v>107.33</v>
      </c>
      <c r="AK91" s="127">
        <v>106.1</v>
      </c>
      <c r="AL91" s="127">
        <v>74.239999999999995</v>
      </c>
      <c r="AM91" s="177">
        <v>5.5500000000000001E-2</v>
      </c>
      <c r="AN91" s="128">
        <v>5.16E-2</v>
      </c>
      <c r="AO91" s="175">
        <v>2016</v>
      </c>
    </row>
    <row r="92" spans="1:41" x14ac:dyDescent="0.3">
      <c r="N92" s="168">
        <v>45050</v>
      </c>
      <c r="O92" s="172">
        <v>72.5</v>
      </c>
      <c r="P92" s="83">
        <v>2023</v>
      </c>
      <c r="Q92" s="83">
        <v>5</v>
      </c>
      <c r="R92" s="83" t="s">
        <v>137</v>
      </c>
      <c r="T92" s="83">
        <v>2022</v>
      </c>
      <c r="U92" s="83" t="s">
        <v>490</v>
      </c>
      <c r="V92" s="84">
        <v>302</v>
      </c>
      <c r="W92" s="85">
        <v>1.01</v>
      </c>
      <c r="X92" s="86">
        <v>0.45229999999999998</v>
      </c>
      <c r="Y92" s="86">
        <v>0.1726</v>
      </c>
      <c r="Z92" s="85">
        <v>0.76</v>
      </c>
      <c r="AA92" s="86">
        <v>8.8999999999999996E-2</v>
      </c>
      <c r="AB92" s="85">
        <v>0.83</v>
      </c>
      <c r="AC92" s="87">
        <v>0.3382</v>
      </c>
      <c r="AD92" s="86">
        <v>0.31080000000000002</v>
      </c>
      <c r="AE92" s="86">
        <v>0.2296</v>
      </c>
      <c r="AG92" s="168">
        <v>42401</v>
      </c>
      <c r="AH92" s="174">
        <v>1940</v>
      </c>
      <c r="AI92" s="178">
        <v>1.9199999999999998E-2</v>
      </c>
      <c r="AJ92" s="174">
        <v>107.33</v>
      </c>
      <c r="AK92" s="85">
        <v>106.1</v>
      </c>
      <c r="AL92" s="85">
        <v>74.239999999999995</v>
      </c>
      <c r="AM92" s="178">
        <v>5.3800000000000001E-2</v>
      </c>
      <c r="AN92" s="86">
        <v>5.6099999999999997E-2</v>
      </c>
      <c r="AO92" s="176">
        <v>2016</v>
      </c>
    </row>
    <row r="93" spans="1:41" x14ac:dyDescent="0.3">
      <c r="N93" s="167">
        <v>45051</v>
      </c>
      <c r="O93" s="171">
        <v>75.3</v>
      </c>
      <c r="P93" s="125">
        <v>2023</v>
      </c>
      <c r="Q93" s="125">
        <v>5</v>
      </c>
      <c r="R93" s="125" t="s">
        <v>137</v>
      </c>
      <c r="T93" s="125">
        <v>2022</v>
      </c>
      <c r="U93" s="125" t="s">
        <v>491</v>
      </c>
      <c r="V93" s="126">
        <v>50</v>
      </c>
      <c r="W93" s="127">
        <v>0.67</v>
      </c>
      <c r="X93" s="128">
        <v>0.39069999999999999</v>
      </c>
      <c r="Y93" s="128">
        <v>0.2137</v>
      </c>
      <c r="Z93" s="127">
        <v>0.52</v>
      </c>
      <c r="AA93" s="128">
        <v>3.3500000000000002E-2</v>
      </c>
      <c r="AB93" s="127">
        <v>0.54</v>
      </c>
      <c r="AC93" s="129">
        <v>0.1797</v>
      </c>
      <c r="AD93" s="128">
        <v>0.1905</v>
      </c>
      <c r="AE93" s="128">
        <v>0.2135</v>
      </c>
      <c r="AG93" s="167">
        <v>42430</v>
      </c>
      <c r="AH93" s="173">
        <v>1932</v>
      </c>
      <c r="AI93" s="177">
        <v>1.7399999999999999E-2</v>
      </c>
      <c r="AJ93" s="173">
        <v>107.33</v>
      </c>
      <c r="AK93" s="127">
        <v>106.1</v>
      </c>
      <c r="AL93" s="127">
        <v>74.239999999999995</v>
      </c>
      <c r="AM93" s="177">
        <v>5.2900000000000003E-2</v>
      </c>
      <c r="AN93" s="128">
        <v>5.7200000000000001E-2</v>
      </c>
      <c r="AO93" s="175">
        <v>2016</v>
      </c>
    </row>
    <row r="94" spans="1:41" x14ac:dyDescent="0.3">
      <c r="N94" s="168">
        <v>45054</v>
      </c>
      <c r="O94" s="172">
        <v>77.010000000000005</v>
      </c>
      <c r="P94" s="83">
        <v>2023</v>
      </c>
      <c r="Q94" s="83">
        <v>5</v>
      </c>
      <c r="R94" s="83" t="s">
        <v>137</v>
      </c>
      <c r="T94" s="83">
        <v>2022</v>
      </c>
      <c r="U94" s="83" t="s">
        <v>467</v>
      </c>
      <c r="V94" s="84">
        <v>220</v>
      </c>
      <c r="W94" s="85">
        <v>1.08</v>
      </c>
      <c r="X94" s="86">
        <v>0.58799999999999997</v>
      </c>
      <c r="Y94" s="86">
        <v>0.16869999999999999</v>
      </c>
      <c r="Z94" s="85">
        <v>0.75</v>
      </c>
      <c r="AA94" s="86">
        <v>6.59E-2</v>
      </c>
      <c r="AB94" s="85">
        <v>0.8</v>
      </c>
      <c r="AC94" s="87">
        <v>0.33110000000000001</v>
      </c>
      <c r="AD94" s="86">
        <v>0.318</v>
      </c>
      <c r="AE94" s="86">
        <v>0.60450000000000004</v>
      </c>
      <c r="AG94" s="168">
        <v>42461</v>
      </c>
      <c r="AH94" s="174">
        <v>2060</v>
      </c>
      <c r="AI94" s="178">
        <v>1.77E-2</v>
      </c>
      <c r="AJ94" s="174">
        <v>108.35</v>
      </c>
      <c r="AK94" s="85">
        <v>108.16</v>
      </c>
      <c r="AL94" s="85">
        <v>74.239999999999995</v>
      </c>
      <c r="AM94" s="178">
        <v>5.3199999999999997E-2</v>
      </c>
      <c r="AN94" s="86">
        <v>5.1499999999999997E-2</v>
      </c>
      <c r="AO94" s="176">
        <v>2016</v>
      </c>
    </row>
    <row r="95" spans="1:41" x14ac:dyDescent="0.3">
      <c r="N95" s="167">
        <v>45055</v>
      </c>
      <c r="O95" s="171">
        <v>77.44</v>
      </c>
      <c r="P95" s="125">
        <v>2023</v>
      </c>
      <c r="Q95" s="125">
        <v>5</v>
      </c>
      <c r="R95" s="125" t="s">
        <v>137</v>
      </c>
      <c r="T95" s="125">
        <v>2022</v>
      </c>
      <c r="U95" s="125" t="s">
        <v>468</v>
      </c>
      <c r="V95" s="126">
        <v>51</v>
      </c>
      <c r="W95" s="127">
        <v>0.68</v>
      </c>
      <c r="X95" s="128">
        <v>0.80659999999999998</v>
      </c>
      <c r="Y95" s="128">
        <v>0.15579999999999999</v>
      </c>
      <c r="Z95" s="127">
        <v>0.42</v>
      </c>
      <c r="AA95" s="128">
        <v>4.9299999999999997E-2</v>
      </c>
      <c r="AB95" s="127">
        <v>0.45</v>
      </c>
      <c r="AC95" s="129">
        <v>0.20469999999999999</v>
      </c>
      <c r="AD95" s="128">
        <v>0.1837</v>
      </c>
      <c r="AE95" s="128">
        <v>0.128</v>
      </c>
      <c r="AG95" s="167">
        <v>42491</v>
      </c>
      <c r="AH95" s="173">
        <v>2065</v>
      </c>
      <c r="AI95" s="177">
        <v>1.83E-2</v>
      </c>
      <c r="AJ95" s="173">
        <v>108.35</v>
      </c>
      <c r="AK95" s="127">
        <v>108.99</v>
      </c>
      <c r="AL95" s="127">
        <v>82.17</v>
      </c>
      <c r="AM95" s="177">
        <v>5.33E-2</v>
      </c>
      <c r="AN95" s="128">
        <v>5.11E-2</v>
      </c>
      <c r="AO95" s="175">
        <v>2016</v>
      </c>
    </row>
    <row r="96" spans="1:41" x14ac:dyDescent="0.3">
      <c r="N96" s="168">
        <v>45056</v>
      </c>
      <c r="O96" s="172">
        <v>76.41</v>
      </c>
      <c r="P96" s="83">
        <v>2023</v>
      </c>
      <c r="Q96" s="83">
        <v>5</v>
      </c>
      <c r="R96" s="83" t="s">
        <v>137</v>
      </c>
      <c r="T96" s="83">
        <v>2022</v>
      </c>
      <c r="U96" s="83" t="s">
        <v>469</v>
      </c>
      <c r="V96" s="84">
        <v>104</v>
      </c>
      <c r="W96" s="85">
        <v>0.74</v>
      </c>
      <c r="X96" s="86">
        <v>0.82679999999999998</v>
      </c>
      <c r="Y96" s="86">
        <v>0.12889999999999999</v>
      </c>
      <c r="Z96" s="85">
        <v>0.46</v>
      </c>
      <c r="AA96" s="86">
        <v>6.08E-2</v>
      </c>
      <c r="AB96" s="85">
        <v>0.49</v>
      </c>
      <c r="AC96" s="87">
        <v>0.29170000000000001</v>
      </c>
      <c r="AD96" s="86">
        <v>0.3589</v>
      </c>
      <c r="AE96" s="86">
        <v>0.18509999999999999</v>
      </c>
      <c r="AG96" s="168">
        <v>42522</v>
      </c>
      <c r="AH96" s="174">
        <v>2097</v>
      </c>
      <c r="AI96" s="178">
        <v>1.83E-2</v>
      </c>
      <c r="AJ96" s="174">
        <v>108.35</v>
      </c>
      <c r="AK96" s="85">
        <v>108.88</v>
      </c>
      <c r="AL96" s="85">
        <v>82.17</v>
      </c>
      <c r="AM96" s="178">
        <v>5.33E-2</v>
      </c>
      <c r="AN96" s="86">
        <v>5.0299999999999997E-2</v>
      </c>
      <c r="AO96" s="176">
        <v>2016</v>
      </c>
    </row>
    <row r="97" spans="14:41" x14ac:dyDescent="0.3">
      <c r="N97" s="167">
        <v>45057</v>
      </c>
      <c r="O97" s="171">
        <v>74.98</v>
      </c>
      <c r="P97" s="125">
        <v>2023</v>
      </c>
      <c r="Q97" s="125">
        <v>5</v>
      </c>
      <c r="R97" s="125" t="s">
        <v>137</v>
      </c>
      <c r="T97" s="125">
        <v>2022</v>
      </c>
      <c r="U97" s="125" t="s">
        <v>470</v>
      </c>
      <c r="V97" s="126">
        <v>47913</v>
      </c>
      <c r="W97" s="127">
        <v>1.07</v>
      </c>
      <c r="X97" s="128">
        <v>0.67969999999999997</v>
      </c>
      <c r="Y97" s="128">
        <v>0.12590000000000001</v>
      </c>
      <c r="Z97" s="127">
        <v>0.71</v>
      </c>
      <c r="AA97" s="128">
        <v>0.1346</v>
      </c>
      <c r="AB97" s="127">
        <v>0.82</v>
      </c>
      <c r="AC97" s="129">
        <v>0.37740000000000001</v>
      </c>
      <c r="AD97" s="128">
        <v>0.3589</v>
      </c>
      <c r="AE97" s="128">
        <v>0.20100000000000001</v>
      </c>
      <c r="AG97" s="167">
        <v>42552</v>
      </c>
      <c r="AH97" s="173">
        <v>2099</v>
      </c>
      <c r="AI97" s="177">
        <v>1.47E-2</v>
      </c>
      <c r="AJ97" s="173">
        <v>111.06</v>
      </c>
      <c r="AK97" s="127">
        <v>110.61</v>
      </c>
      <c r="AL97" s="127">
        <v>82.17</v>
      </c>
      <c r="AM97" s="177">
        <v>5.1499999999999997E-2</v>
      </c>
      <c r="AN97" s="128">
        <v>5.0799999999999998E-2</v>
      </c>
      <c r="AO97" s="175">
        <v>2016</v>
      </c>
    </row>
    <row r="98" spans="14:41" x14ac:dyDescent="0.3">
      <c r="N98" s="168">
        <v>45058</v>
      </c>
      <c r="O98" s="172">
        <v>74.17</v>
      </c>
      <c r="P98" s="83">
        <v>2023</v>
      </c>
      <c r="Q98" s="83">
        <v>5</v>
      </c>
      <c r="R98" s="83" t="s">
        <v>137</v>
      </c>
      <c r="T98" s="83">
        <v>2022</v>
      </c>
      <c r="U98" s="83" t="s">
        <v>493</v>
      </c>
      <c r="V98" s="84">
        <v>42593</v>
      </c>
      <c r="W98" s="85">
        <v>1.1000000000000001</v>
      </c>
      <c r="X98" s="86">
        <v>0.34239999999999998</v>
      </c>
      <c r="Y98" s="86">
        <v>0.12479999999999999</v>
      </c>
      <c r="Z98" s="85">
        <v>0.88</v>
      </c>
      <c r="AA98" s="86">
        <v>7.2999999999999995E-2</v>
      </c>
      <c r="AB98" s="85">
        <v>0.95</v>
      </c>
      <c r="AC98" s="87">
        <v>0.38969999999999999</v>
      </c>
      <c r="AD98" s="86">
        <v>0.37019999999999997</v>
      </c>
      <c r="AE98" s="86">
        <v>0.20180000000000001</v>
      </c>
      <c r="AG98" s="168">
        <v>42583</v>
      </c>
      <c r="AH98" s="174">
        <v>2174</v>
      </c>
      <c r="AI98" s="178">
        <v>1.4500000000000001E-2</v>
      </c>
      <c r="AJ98" s="174">
        <v>111.06</v>
      </c>
      <c r="AK98" s="85">
        <v>110.61</v>
      </c>
      <c r="AL98" s="85">
        <v>82.17</v>
      </c>
      <c r="AM98" s="178">
        <v>5.1400000000000001E-2</v>
      </c>
      <c r="AN98" s="86">
        <v>4.9200000000000001E-2</v>
      </c>
      <c r="AO98" s="176">
        <v>2016</v>
      </c>
    </row>
    <row r="99" spans="14:41" x14ac:dyDescent="0.3">
      <c r="N99" s="167">
        <v>45061</v>
      </c>
      <c r="O99" s="171">
        <v>75.23</v>
      </c>
      <c r="P99" s="125">
        <v>2023</v>
      </c>
      <c r="Q99" s="125">
        <v>5</v>
      </c>
      <c r="R99" s="125" t="s">
        <v>137</v>
      </c>
      <c r="T99" s="125">
        <v>2023</v>
      </c>
      <c r="U99" s="125" t="s">
        <v>398</v>
      </c>
      <c r="V99" s="126">
        <v>58</v>
      </c>
      <c r="W99" s="127">
        <v>1.63</v>
      </c>
      <c r="X99" s="128">
        <v>0.44990000000000002</v>
      </c>
      <c r="Y99" s="128">
        <v>6.3899999999999998E-2</v>
      </c>
      <c r="Z99" s="127">
        <v>1.22</v>
      </c>
      <c r="AA99" s="128">
        <v>9.35E-2</v>
      </c>
      <c r="AB99" s="127">
        <v>1.35</v>
      </c>
      <c r="AC99" s="129">
        <v>0.68669999999999998</v>
      </c>
      <c r="AD99" s="128">
        <v>0.5272</v>
      </c>
      <c r="AE99" s="128">
        <v>0.14399999999999999</v>
      </c>
      <c r="AG99" s="167">
        <v>42614</v>
      </c>
      <c r="AH99" s="173">
        <v>2171</v>
      </c>
      <c r="AI99" s="177">
        <v>1.5900000000000001E-2</v>
      </c>
      <c r="AJ99" s="173">
        <v>111.06</v>
      </c>
      <c r="AK99" s="127">
        <v>110.61</v>
      </c>
      <c r="AL99" s="127">
        <v>82.17</v>
      </c>
      <c r="AM99" s="177">
        <v>5.21E-2</v>
      </c>
      <c r="AN99" s="128">
        <v>4.8599999999999997E-2</v>
      </c>
      <c r="AO99" s="175">
        <v>2016</v>
      </c>
    </row>
    <row r="100" spans="14:41" x14ac:dyDescent="0.3">
      <c r="N100" s="168">
        <v>45062</v>
      </c>
      <c r="O100" s="172">
        <v>74.91</v>
      </c>
      <c r="P100" s="83">
        <v>2023</v>
      </c>
      <c r="Q100" s="83">
        <v>5</v>
      </c>
      <c r="R100" s="83" t="s">
        <v>137</v>
      </c>
      <c r="T100" s="83">
        <v>2023</v>
      </c>
      <c r="U100" s="83" t="s">
        <v>399</v>
      </c>
      <c r="V100" s="84">
        <v>77</v>
      </c>
      <c r="W100" s="85">
        <v>1.41</v>
      </c>
      <c r="X100" s="86">
        <v>0.2606</v>
      </c>
      <c r="Y100" s="86">
        <v>8.5999999999999993E-2</v>
      </c>
      <c r="Z100" s="85">
        <v>1.18</v>
      </c>
      <c r="AA100" s="86">
        <v>3.7699999999999997E-2</v>
      </c>
      <c r="AB100" s="85">
        <v>1.23</v>
      </c>
      <c r="AC100" s="87">
        <v>0.47210000000000002</v>
      </c>
      <c r="AD100" s="86">
        <v>0.37559999999999999</v>
      </c>
      <c r="AE100" s="86">
        <v>0.19189999999999999</v>
      </c>
      <c r="AG100" s="168">
        <v>42644</v>
      </c>
      <c r="AH100" s="174">
        <v>2168</v>
      </c>
      <c r="AI100" s="178">
        <v>1.6E-2</v>
      </c>
      <c r="AJ100" s="174">
        <v>112.42</v>
      </c>
      <c r="AK100" s="85">
        <v>114.73</v>
      </c>
      <c r="AL100" s="85">
        <v>82.17</v>
      </c>
      <c r="AM100" s="178">
        <v>5.21E-2</v>
      </c>
      <c r="AN100" s="86">
        <v>4.9099999999999998E-2</v>
      </c>
      <c r="AO100" s="176">
        <v>2016</v>
      </c>
    </row>
    <row r="101" spans="14:41" x14ac:dyDescent="0.3">
      <c r="N101" s="167">
        <v>45063</v>
      </c>
      <c r="O101" s="171">
        <v>76.959999999999994</v>
      </c>
      <c r="P101" s="125">
        <v>2023</v>
      </c>
      <c r="Q101" s="125">
        <v>5</v>
      </c>
      <c r="R101" s="125" t="s">
        <v>137</v>
      </c>
      <c r="T101" s="125">
        <v>2023</v>
      </c>
      <c r="U101" s="125" t="s">
        <v>400</v>
      </c>
      <c r="V101" s="126">
        <v>21</v>
      </c>
      <c r="W101" s="127">
        <v>1.42</v>
      </c>
      <c r="X101" s="128">
        <v>1.8633</v>
      </c>
      <c r="Y101" s="128">
        <v>0.1047</v>
      </c>
      <c r="Z101" s="127">
        <v>0.59</v>
      </c>
      <c r="AA101" s="128">
        <v>0.14899999999999999</v>
      </c>
      <c r="AB101" s="127">
        <v>0.69</v>
      </c>
      <c r="AC101" s="129">
        <v>0.44030000000000002</v>
      </c>
      <c r="AD101" s="128">
        <v>0.37730000000000002</v>
      </c>
      <c r="AE101" s="128">
        <v>2.2120000000000002</v>
      </c>
      <c r="AG101" s="167">
        <v>42675</v>
      </c>
      <c r="AH101" s="173">
        <v>2126</v>
      </c>
      <c r="AI101" s="177">
        <v>1.84E-2</v>
      </c>
      <c r="AJ101" s="173">
        <v>112.42</v>
      </c>
      <c r="AK101" s="127">
        <v>114.73</v>
      </c>
      <c r="AL101" s="127">
        <v>82.17</v>
      </c>
      <c r="AM101" s="177">
        <v>5.3199999999999997E-2</v>
      </c>
      <c r="AN101" s="128">
        <v>4.8899999999999999E-2</v>
      </c>
      <c r="AO101" s="175">
        <v>2016</v>
      </c>
    </row>
    <row r="102" spans="14:41" x14ac:dyDescent="0.3">
      <c r="N102" s="168">
        <v>45064</v>
      </c>
      <c r="O102" s="172">
        <v>75.8</v>
      </c>
      <c r="P102" s="83">
        <v>2023</v>
      </c>
      <c r="Q102" s="83">
        <v>5</v>
      </c>
      <c r="R102" s="83" t="s">
        <v>137</v>
      </c>
      <c r="T102" s="83">
        <v>2023</v>
      </c>
      <c r="U102" s="83" t="s">
        <v>401</v>
      </c>
      <c r="V102" s="84">
        <v>39</v>
      </c>
      <c r="W102" s="85">
        <v>1.32</v>
      </c>
      <c r="X102" s="86">
        <v>0.51570000000000005</v>
      </c>
      <c r="Y102" s="86">
        <v>0.12039999999999999</v>
      </c>
      <c r="Z102" s="85">
        <v>0.96</v>
      </c>
      <c r="AA102" s="86">
        <v>6.0199999999999997E-2</v>
      </c>
      <c r="AB102" s="85">
        <v>1.02</v>
      </c>
      <c r="AC102" s="87">
        <v>0.52200000000000002</v>
      </c>
      <c r="AD102" s="86">
        <v>0.3851</v>
      </c>
      <c r="AE102" s="86">
        <v>0.23019999999999999</v>
      </c>
      <c r="AG102" s="168">
        <v>42705</v>
      </c>
      <c r="AH102" s="174">
        <v>2199</v>
      </c>
      <c r="AI102" s="178">
        <v>2.3900000000000001E-2</v>
      </c>
      <c r="AJ102" s="174">
        <v>112.42</v>
      </c>
      <c r="AK102" s="85">
        <v>114.73</v>
      </c>
      <c r="AL102" s="85">
        <v>82.17</v>
      </c>
      <c r="AM102" s="178">
        <v>5.62E-2</v>
      </c>
      <c r="AN102" s="86">
        <v>4.4999999999999998E-2</v>
      </c>
      <c r="AO102" s="176">
        <v>2016</v>
      </c>
    </row>
    <row r="103" spans="14:41" x14ac:dyDescent="0.3">
      <c r="N103" s="167">
        <v>45065</v>
      </c>
      <c r="O103" s="171">
        <v>75.47</v>
      </c>
      <c r="P103" s="125">
        <v>2023</v>
      </c>
      <c r="Q103" s="125">
        <v>5</v>
      </c>
      <c r="R103" s="125" t="s">
        <v>137</v>
      </c>
      <c r="T103" s="125">
        <v>2023</v>
      </c>
      <c r="U103" s="125" t="s">
        <v>402</v>
      </c>
      <c r="V103" s="126">
        <v>31</v>
      </c>
      <c r="W103" s="127">
        <v>1.54</v>
      </c>
      <c r="X103" s="128">
        <v>0.50190000000000001</v>
      </c>
      <c r="Y103" s="128">
        <v>0.03</v>
      </c>
      <c r="Z103" s="127">
        <v>1.1200000000000001</v>
      </c>
      <c r="AA103" s="128">
        <v>8.6699999999999999E-2</v>
      </c>
      <c r="AB103" s="127">
        <v>1.23</v>
      </c>
      <c r="AC103" s="129">
        <v>0.69059999999999999</v>
      </c>
      <c r="AD103" s="128">
        <v>0.52610000000000001</v>
      </c>
      <c r="AE103" s="128">
        <v>0.46100000000000002</v>
      </c>
      <c r="AG103" s="167">
        <v>42736</v>
      </c>
      <c r="AH103" s="173">
        <v>2239</v>
      </c>
      <c r="AI103" s="177">
        <v>2.4500000000000001E-2</v>
      </c>
      <c r="AJ103" s="173">
        <v>117.78</v>
      </c>
      <c r="AK103" s="127">
        <v>108.67</v>
      </c>
      <c r="AL103" s="127">
        <v>85.67</v>
      </c>
      <c r="AM103" s="177">
        <v>5.5399999999999998E-2</v>
      </c>
      <c r="AN103" s="128">
        <v>4.4999999999999998E-2</v>
      </c>
      <c r="AO103" s="175">
        <v>2017</v>
      </c>
    </row>
    <row r="104" spans="14:41" x14ac:dyDescent="0.3">
      <c r="N104" s="168">
        <v>45068</v>
      </c>
      <c r="O104" s="172">
        <v>75.87</v>
      </c>
      <c r="P104" s="83">
        <v>2023</v>
      </c>
      <c r="Q104" s="83">
        <v>5</v>
      </c>
      <c r="R104" s="83" t="s">
        <v>137</v>
      </c>
      <c r="T104" s="83">
        <v>2023</v>
      </c>
      <c r="U104" s="83" t="s">
        <v>403</v>
      </c>
      <c r="V104" s="84">
        <v>37</v>
      </c>
      <c r="W104" s="85">
        <v>1.47</v>
      </c>
      <c r="X104" s="86">
        <v>0.42659999999999998</v>
      </c>
      <c r="Y104" s="86">
        <v>9.2999999999999999E-2</v>
      </c>
      <c r="Z104" s="85">
        <v>1.1200000000000001</v>
      </c>
      <c r="AA104" s="86">
        <v>7.1300000000000002E-2</v>
      </c>
      <c r="AB104" s="85">
        <v>1.2</v>
      </c>
      <c r="AC104" s="87">
        <v>0.50990000000000002</v>
      </c>
      <c r="AD104" s="86">
        <v>0.3952</v>
      </c>
      <c r="AE104" s="86">
        <v>0.25419999999999998</v>
      </c>
      <c r="AG104" s="168">
        <v>42767</v>
      </c>
      <c r="AH104" s="174">
        <v>2279</v>
      </c>
      <c r="AI104" s="178">
        <v>2.47E-2</v>
      </c>
      <c r="AJ104" s="174">
        <v>117.78</v>
      </c>
      <c r="AK104" s="85">
        <v>108.67</v>
      </c>
      <c r="AL104" s="85">
        <v>85.67</v>
      </c>
      <c r="AM104" s="178">
        <v>5.5500000000000001E-2</v>
      </c>
      <c r="AN104" s="86">
        <v>4.41E-2</v>
      </c>
      <c r="AO104" s="176">
        <v>2017</v>
      </c>
    </row>
    <row r="105" spans="14:41" x14ac:dyDescent="0.3">
      <c r="N105" s="167">
        <v>45069</v>
      </c>
      <c r="O105" s="171">
        <v>76.739999999999995</v>
      </c>
      <c r="P105" s="125">
        <v>2023</v>
      </c>
      <c r="Q105" s="125">
        <v>5</v>
      </c>
      <c r="R105" s="125" t="s">
        <v>137</v>
      </c>
      <c r="T105" s="125">
        <v>2023</v>
      </c>
      <c r="U105" s="125" t="s">
        <v>472</v>
      </c>
      <c r="V105" s="126">
        <v>7</v>
      </c>
      <c r="W105" s="127">
        <v>1.08</v>
      </c>
      <c r="X105" s="128">
        <v>2.1638000000000002</v>
      </c>
      <c r="Y105" s="128">
        <v>0.16250000000000001</v>
      </c>
      <c r="Z105" s="127">
        <v>0.41</v>
      </c>
      <c r="AA105" s="128">
        <v>0.443</v>
      </c>
      <c r="AB105" s="127">
        <v>0.74</v>
      </c>
      <c r="AC105" s="129">
        <v>0.2235</v>
      </c>
      <c r="AD105" s="128">
        <v>0.19589999999999999</v>
      </c>
      <c r="AE105" s="128" t="s">
        <v>494</v>
      </c>
      <c r="AG105" s="167">
        <v>42795</v>
      </c>
      <c r="AH105" s="173">
        <v>2364</v>
      </c>
      <c r="AI105" s="177">
        <v>2.3900000000000001E-2</v>
      </c>
      <c r="AJ105" s="173">
        <v>117.78</v>
      </c>
      <c r="AK105" s="127">
        <v>108.67</v>
      </c>
      <c r="AL105" s="127">
        <v>85.67</v>
      </c>
      <c r="AM105" s="177">
        <v>5.5100000000000003E-2</v>
      </c>
      <c r="AN105" s="128">
        <v>4.2900000000000001E-2</v>
      </c>
      <c r="AO105" s="175">
        <v>2017</v>
      </c>
    </row>
    <row r="106" spans="14:41" x14ac:dyDescent="0.3">
      <c r="N106" s="168">
        <v>45070</v>
      </c>
      <c r="O106" s="172">
        <v>78.23</v>
      </c>
      <c r="P106" s="83">
        <v>2023</v>
      </c>
      <c r="Q106" s="83">
        <v>5</v>
      </c>
      <c r="R106" s="83" t="s">
        <v>137</v>
      </c>
      <c r="T106" s="83">
        <v>2023</v>
      </c>
      <c r="U106" s="83" t="s">
        <v>404</v>
      </c>
      <c r="V106" s="84">
        <v>557</v>
      </c>
      <c r="W106" s="85">
        <v>0.5</v>
      </c>
      <c r="X106" s="86">
        <v>0.6462</v>
      </c>
      <c r="Y106" s="86">
        <v>0.18840000000000001</v>
      </c>
      <c r="Z106" s="85">
        <v>0.34</v>
      </c>
      <c r="AA106" s="86">
        <v>0.17660000000000001</v>
      </c>
      <c r="AB106" s="85">
        <v>0.41</v>
      </c>
      <c r="AC106" s="87">
        <v>0.1757</v>
      </c>
      <c r="AD106" s="86">
        <v>0.1676</v>
      </c>
      <c r="AE106" s="86">
        <v>0.95489999999999997</v>
      </c>
      <c r="AG106" s="168">
        <v>42826</v>
      </c>
      <c r="AH106" s="174">
        <v>2363</v>
      </c>
      <c r="AI106" s="178">
        <v>2.3900000000000001E-2</v>
      </c>
      <c r="AJ106" s="174">
        <v>124.27</v>
      </c>
      <c r="AK106" s="85">
        <v>108.43</v>
      </c>
      <c r="AL106" s="85">
        <v>86.97</v>
      </c>
      <c r="AM106" s="178">
        <v>5.5100000000000003E-2</v>
      </c>
      <c r="AN106" s="86">
        <v>4.5100000000000001E-2</v>
      </c>
      <c r="AO106" s="176">
        <v>2017</v>
      </c>
    </row>
    <row r="107" spans="14:41" x14ac:dyDescent="0.3">
      <c r="N107" s="167">
        <v>45071</v>
      </c>
      <c r="O107" s="171">
        <v>76.180000000000007</v>
      </c>
      <c r="P107" s="125">
        <v>2023</v>
      </c>
      <c r="Q107" s="125">
        <v>5</v>
      </c>
      <c r="R107" s="125" t="s">
        <v>137</v>
      </c>
      <c r="T107" s="125">
        <v>2023</v>
      </c>
      <c r="U107" s="125" t="s">
        <v>405</v>
      </c>
      <c r="V107" s="126">
        <v>23</v>
      </c>
      <c r="W107" s="127">
        <v>1.01</v>
      </c>
      <c r="X107" s="128">
        <v>0.2291</v>
      </c>
      <c r="Y107" s="128">
        <v>9.3899999999999997E-2</v>
      </c>
      <c r="Z107" s="127">
        <v>0.86</v>
      </c>
      <c r="AA107" s="128">
        <v>1.8599999999999998E-2</v>
      </c>
      <c r="AB107" s="127">
        <v>0.88</v>
      </c>
      <c r="AC107" s="129">
        <v>0.58709999999999996</v>
      </c>
      <c r="AD107" s="128">
        <v>0.49869999999999998</v>
      </c>
      <c r="AE107" s="128">
        <v>0.33800000000000002</v>
      </c>
      <c r="AG107" s="167">
        <v>42856</v>
      </c>
      <c r="AH107" s="173">
        <v>2384</v>
      </c>
      <c r="AI107" s="177">
        <v>2.3E-2</v>
      </c>
      <c r="AJ107" s="173">
        <v>124.27</v>
      </c>
      <c r="AK107" s="127">
        <v>108.43</v>
      </c>
      <c r="AL107" s="127">
        <v>86.97</v>
      </c>
      <c r="AM107" s="177">
        <v>5.4600000000000003E-2</v>
      </c>
      <c r="AN107" s="128">
        <v>4.5100000000000001E-2</v>
      </c>
      <c r="AO107" s="175">
        <v>2017</v>
      </c>
    </row>
    <row r="108" spans="14:41" x14ac:dyDescent="0.3">
      <c r="N108" s="168">
        <v>45072</v>
      </c>
      <c r="O108" s="172">
        <v>76.98</v>
      </c>
      <c r="P108" s="83">
        <v>2023</v>
      </c>
      <c r="Q108" s="83">
        <v>5</v>
      </c>
      <c r="R108" s="83" t="s">
        <v>137</v>
      </c>
      <c r="T108" s="83">
        <v>2023</v>
      </c>
      <c r="U108" s="83" t="s">
        <v>473</v>
      </c>
      <c r="V108" s="84">
        <v>31</v>
      </c>
      <c r="W108" s="85">
        <v>1.3</v>
      </c>
      <c r="X108" s="86">
        <v>0.1527</v>
      </c>
      <c r="Y108" s="86">
        <v>6.4199999999999993E-2</v>
      </c>
      <c r="Z108" s="85">
        <v>1.17</v>
      </c>
      <c r="AA108" s="86">
        <v>2.6599999999999999E-2</v>
      </c>
      <c r="AB108" s="85">
        <v>1.2</v>
      </c>
      <c r="AC108" s="87">
        <v>0.61050000000000004</v>
      </c>
      <c r="AD108" s="86">
        <v>0.41720000000000002</v>
      </c>
      <c r="AE108" s="86">
        <v>9.3600000000000003E-2</v>
      </c>
      <c r="AG108" s="168">
        <v>42887</v>
      </c>
      <c r="AH108" s="174">
        <v>2412</v>
      </c>
      <c r="AI108" s="178">
        <v>2.2100000000000002E-2</v>
      </c>
      <c r="AJ108" s="174">
        <v>124.27</v>
      </c>
      <c r="AK108" s="85">
        <v>108.43</v>
      </c>
      <c r="AL108" s="85">
        <v>86.97</v>
      </c>
      <c r="AM108" s="178">
        <v>5.4199999999999998E-2</v>
      </c>
      <c r="AN108" s="86">
        <v>4.4900000000000002E-2</v>
      </c>
      <c r="AO108" s="176">
        <v>2017</v>
      </c>
    </row>
    <row r="109" spans="14:41" x14ac:dyDescent="0.3">
      <c r="N109" s="167">
        <v>45075</v>
      </c>
      <c r="O109" s="171">
        <v>77.099999999999994</v>
      </c>
      <c r="P109" s="125">
        <v>2023</v>
      </c>
      <c r="Q109" s="125">
        <v>5</v>
      </c>
      <c r="R109" s="125" t="s">
        <v>137</v>
      </c>
      <c r="T109" s="125">
        <v>2023</v>
      </c>
      <c r="U109" s="125" t="s">
        <v>406</v>
      </c>
      <c r="V109" s="126">
        <v>26</v>
      </c>
      <c r="W109" s="127">
        <v>1.32</v>
      </c>
      <c r="X109" s="128">
        <v>1.4682999999999999</v>
      </c>
      <c r="Y109" s="128">
        <v>0.15759999999999999</v>
      </c>
      <c r="Z109" s="127">
        <v>0.63</v>
      </c>
      <c r="AA109" s="128">
        <v>0.10390000000000001</v>
      </c>
      <c r="AB109" s="127">
        <v>0.7</v>
      </c>
      <c r="AC109" s="129">
        <v>0.55840000000000001</v>
      </c>
      <c r="AD109" s="128">
        <v>0.46899999999999997</v>
      </c>
      <c r="AE109" s="128">
        <v>0.31659999999999999</v>
      </c>
      <c r="AG109" s="167">
        <v>42917</v>
      </c>
      <c r="AH109" s="173">
        <v>2423</v>
      </c>
      <c r="AI109" s="177">
        <v>2.3E-2</v>
      </c>
      <c r="AJ109" s="173">
        <v>127.46</v>
      </c>
      <c r="AK109" s="127">
        <v>105.68</v>
      </c>
      <c r="AL109" s="127">
        <v>86.97</v>
      </c>
      <c r="AM109" s="177">
        <v>5.4600000000000003E-2</v>
      </c>
      <c r="AN109" s="128">
        <v>4.6199999999999998E-2</v>
      </c>
      <c r="AO109" s="175">
        <v>2017</v>
      </c>
    </row>
    <row r="110" spans="14:41" x14ac:dyDescent="0.3">
      <c r="N110" s="168">
        <v>45076</v>
      </c>
      <c r="O110" s="172">
        <v>73.709999999999994</v>
      </c>
      <c r="P110" s="83">
        <v>2023</v>
      </c>
      <c r="Q110" s="83">
        <v>5</v>
      </c>
      <c r="R110" s="83" t="s">
        <v>137</v>
      </c>
      <c r="T110" s="83">
        <v>2023</v>
      </c>
      <c r="U110" s="83" t="s">
        <v>407</v>
      </c>
      <c r="V110" s="84">
        <v>30</v>
      </c>
      <c r="W110" s="85">
        <v>1.2</v>
      </c>
      <c r="X110" s="86">
        <v>2.0108999999999999</v>
      </c>
      <c r="Y110" s="86">
        <v>0.1532</v>
      </c>
      <c r="Z110" s="85">
        <v>0.48</v>
      </c>
      <c r="AA110" s="86">
        <v>0.30759999999999998</v>
      </c>
      <c r="AB110" s="85">
        <v>0.69</v>
      </c>
      <c r="AC110" s="87">
        <v>0.35449999999999998</v>
      </c>
      <c r="AD110" s="86">
        <v>0.28000000000000003</v>
      </c>
      <c r="AE110" s="86">
        <v>0.37880000000000003</v>
      </c>
      <c r="AG110" s="168">
        <v>42948</v>
      </c>
      <c r="AH110" s="174">
        <v>2470</v>
      </c>
      <c r="AI110" s="178">
        <v>2.3E-2</v>
      </c>
      <c r="AJ110" s="174">
        <v>127.46</v>
      </c>
      <c r="AK110" s="85">
        <v>105.68</v>
      </c>
      <c r="AL110" s="85">
        <v>86.97</v>
      </c>
      <c r="AM110" s="178">
        <v>5.4600000000000003E-2</v>
      </c>
      <c r="AN110" s="86">
        <v>4.5400000000000003E-2</v>
      </c>
      <c r="AO110" s="176">
        <v>2017</v>
      </c>
    </row>
    <row r="111" spans="14:41" x14ac:dyDescent="0.3">
      <c r="N111" s="167">
        <v>45077</v>
      </c>
      <c r="O111" s="171">
        <v>72.599999999999994</v>
      </c>
      <c r="P111" s="125">
        <v>2023</v>
      </c>
      <c r="Q111" s="125">
        <v>5</v>
      </c>
      <c r="R111" s="125" t="s">
        <v>137</v>
      </c>
      <c r="T111" s="125">
        <v>2023</v>
      </c>
      <c r="U111" s="125" t="s">
        <v>408</v>
      </c>
      <c r="V111" s="126">
        <v>45</v>
      </c>
      <c r="W111" s="127">
        <v>1.28</v>
      </c>
      <c r="X111" s="128">
        <v>0.2893</v>
      </c>
      <c r="Y111" s="128">
        <v>0.1671</v>
      </c>
      <c r="Z111" s="127">
        <v>1.05</v>
      </c>
      <c r="AA111" s="128">
        <v>4.4400000000000002E-2</v>
      </c>
      <c r="AB111" s="127">
        <v>1.1000000000000001</v>
      </c>
      <c r="AC111" s="129">
        <v>0.42080000000000001</v>
      </c>
      <c r="AD111" s="128">
        <v>0.29189999999999999</v>
      </c>
      <c r="AE111" s="128">
        <v>0.51370000000000005</v>
      </c>
      <c r="AG111" s="167">
        <v>42979</v>
      </c>
      <c r="AH111" s="173">
        <v>2418</v>
      </c>
      <c r="AI111" s="177">
        <v>2.12E-2</v>
      </c>
      <c r="AJ111" s="173">
        <v>127.46</v>
      </c>
      <c r="AK111" s="127">
        <v>105.68</v>
      </c>
      <c r="AL111" s="127">
        <v>86.97</v>
      </c>
      <c r="AM111" s="177">
        <v>5.3699999999999998E-2</v>
      </c>
      <c r="AN111" s="128">
        <v>4.5999999999999999E-2</v>
      </c>
      <c r="AO111" s="175">
        <v>2017</v>
      </c>
    </row>
    <row r="112" spans="14:41" x14ac:dyDescent="0.3">
      <c r="N112" s="168">
        <v>45078</v>
      </c>
      <c r="O112" s="172">
        <v>74.28</v>
      </c>
      <c r="P112" s="83">
        <v>2023</v>
      </c>
      <c r="Q112" s="83">
        <v>6</v>
      </c>
      <c r="R112" s="83" t="s">
        <v>137</v>
      </c>
      <c r="T112" s="83">
        <v>2023</v>
      </c>
      <c r="U112" s="83" t="s">
        <v>409</v>
      </c>
      <c r="V112" s="84">
        <v>164</v>
      </c>
      <c r="W112" s="85">
        <v>1.17</v>
      </c>
      <c r="X112" s="86">
        <v>0.2747</v>
      </c>
      <c r="Y112" s="86">
        <v>9.4299999999999995E-2</v>
      </c>
      <c r="Z112" s="85">
        <v>0.97</v>
      </c>
      <c r="AA112" s="86">
        <v>4.8000000000000001E-2</v>
      </c>
      <c r="AB112" s="85">
        <v>1.02</v>
      </c>
      <c r="AC112" s="87">
        <v>0.53839999999999999</v>
      </c>
      <c r="AD112" s="86">
        <v>0.45779999999999998</v>
      </c>
      <c r="AE112" s="86">
        <v>0.18890000000000001</v>
      </c>
      <c r="AG112" s="168">
        <v>43009</v>
      </c>
      <c r="AH112" s="174">
        <v>2519</v>
      </c>
      <c r="AI112" s="178">
        <v>2.3300000000000001E-2</v>
      </c>
      <c r="AJ112" s="174">
        <v>132.51</v>
      </c>
      <c r="AK112" s="85">
        <v>105.49</v>
      </c>
      <c r="AL112" s="85">
        <v>86.97</v>
      </c>
      <c r="AM112" s="178">
        <v>5.4800000000000001E-2</v>
      </c>
      <c r="AN112" s="86">
        <v>4.6300000000000001E-2</v>
      </c>
      <c r="AO112" s="176">
        <v>2017</v>
      </c>
    </row>
    <row r="113" spans="14:41" x14ac:dyDescent="0.3">
      <c r="N113" s="167">
        <v>45079</v>
      </c>
      <c r="O113" s="171">
        <v>76.13</v>
      </c>
      <c r="P113" s="125">
        <v>2023</v>
      </c>
      <c r="Q113" s="125">
        <v>6</v>
      </c>
      <c r="R113" s="125" t="s">
        <v>137</v>
      </c>
      <c r="T113" s="125">
        <v>2023</v>
      </c>
      <c r="U113" s="125" t="s">
        <v>410</v>
      </c>
      <c r="V113" s="126">
        <v>10</v>
      </c>
      <c r="W113" s="127">
        <v>1.26</v>
      </c>
      <c r="X113" s="128">
        <v>1.0727</v>
      </c>
      <c r="Y113" s="128">
        <v>0.2195</v>
      </c>
      <c r="Z113" s="127">
        <v>0.7</v>
      </c>
      <c r="AA113" s="128">
        <v>1.47E-2</v>
      </c>
      <c r="AB113" s="127">
        <v>0.71</v>
      </c>
      <c r="AC113" s="129">
        <v>0.40679999999999999</v>
      </c>
      <c r="AD113" s="128">
        <v>0.25409999999999999</v>
      </c>
      <c r="AE113" s="128">
        <v>0.2873</v>
      </c>
      <c r="AG113" s="167">
        <v>43040</v>
      </c>
      <c r="AH113" s="173">
        <v>2575</v>
      </c>
      <c r="AI113" s="177">
        <v>2.3699999999999999E-2</v>
      </c>
      <c r="AJ113" s="173">
        <v>132.51</v>
      </c>
      <c r="AK113" s="127">
        <v>105.49</v>
      </c>
      <c r="AL113" s="127">
        <v>86.97</v>
      </c>
      <c r="AM113" s="177">
        <v>5.5E-2</v>
      </c>
      <c r="AN113" s="128">
        <v>4.5199999999999997E-2</v>
      </c>
      <c r="AO113" s="175">
        <v>2017</v>
      </c>
    </row>
    <row r="114" spans="14:41" x14ac:dyDescent="0.3">
      <c r="N114" s="168">
        <v>45082</v>
      </c>
      <c r="O114" s="172">
        <v>76.709999999999994</v>
      </c>
      <c r="P114" s="83">
        <v>2023</v>
      </c>
      <c r="Q114" s="83">
        <v>6</v>
      </c>
      <c r="R114" s="83" t="s">
        <v>137</v>
      </c>
      <c r="T114" s="83">
        <v>2023</v>
      </c>
      <c r="U114" s="83" t="s">
        <v>411</v>
      </c>
      <c r="V114" s="84">
        <v>38</v>
      </c>
      <c r="W114" s="85">
        <v>1.25</v>
      </c>
      <c r="X114" s="86">
        <v>0.48299999999999998</v>
      </c>
      <c r="Y114" s="86">
        <v>9.8299999999999998E-2</v>
      </c>
      <c r="Z114" s="85">
        <v>0.92</v>
      </c>
      <c r="AA114" s="86">
        <v>4.5400000000000003E-2</v>
      </c>
      <c r="AB114" s="85">
        <v>0.96</v>
      </c>
      <c r="AC114" s="87">
        <v>0.52700000000000002</v>
      </c>
      <c r="AD114" s="86">
        <v>0.46579999999999999</v>
      </c>
      <c r="AE114" s="86">
        <v>0.4345</v>
      </c>
      <c r="AG114" s="168">
        <v>43070</v>
      </c>
      <c r="AH114" s="174">
        <v>2648</v>
      </c>
      <c r="AI114" s="178">
        <v>2.4199999999999999E-2</v>
      </c>
      <c r="AJ114" s="174">
        <v>132.51</v>
      </c>
      <c r="AK114" s="85">
        <v>105.49</v>
      </c>
      <c r="AL114" s="85">
        <v>86.97</v>
      </c>
      <c r="AM114" s="178">
        <v>5.5199999999999999E-2</v>
      </c>
      <c r="AN114" s="86">
        <v>4.3799999999999999E-2</v>
      </c>
      <c r="AO114" s="176">
        <v>2017</v>
      </c>
    </row>
    <row r="115" spans="14:41" x14ac:dyDescent="0.3">
      <c r="N115" s="167">
        <v>45083</v>
      </c>
      <c r="O115" s="171">
        <v>76.290000000000006</v>
      </c>
      <c r="P115" s="125">
        <v>2023</v>
      </c>
      <c r="Q115" s="125">
        <v>6</v>
      </c>
      <c r="R115" s="125" t="s">
        <v>137</v>
      </c>
      <c r="T115" s="125">
        <v>2023</v>
      </c>
      <c r="U115" s="125" t="s">
        <v>412</v>
      </c>
      <c r="V115" s="126">
        <v>4</v>
      </c>
      <c r="W115" s="127">
        <v>1.41</v>
      </c>
      <c r="X115" s="128">
        <v>0.58240000000000003</v>
      </c>
      <c r="Y115" s="128">
        <v>0.1202</v>
      </c>
      <c r="Z115" s="127">
        <v>0.98</v>
      </c>
      <c r="AA115" s="128">
        <v>9.8199999999999996E-2</v>
      </c>
      <c r="AB115" s="127">
        <v>1.0900000000000001</v>
      </c>
      <c r="AC115" s="129">
        <v>0.44890000000000002</v>
      </c>
      <c r="AD115" s="128">
        <v>0.39489999999999997</v>
      </c>
      <c r="AE115" s="128">
        <v>0.41460000000000002</v>
      </c>
      <c r="AG115" s="167">
        <v>43101</v>
      </c>
      <c r="AH115" s="173">
        <v>2674</v>
      </c>
      <c r="AI115" s="177">
        <v>2.41E-2</v>
      </c>
      <c r="AJ115" s="173">
        <v>134.09</v>
      </c>
      <c r="AK115" s="127">
        <v>108.28</v>
      </c>
      <c r="AL115" s="127">
        <v>84.88</v>
      </c>
      <c r="AM115" s="177">
        <v>7.0499999999999993E-2</v>
      </c>
      <c r="AN115" s="128">
        <v>4.7500000000000001E-2</v>
      </c>
      <c r="AO115" s="175">
        <v>2018</v>
      </c>
    </row>
    <row r="116" spans="14:41" x14ac:dyDescent="0.3">
      <c r="N116" s="168">
        <v>45084</v>
      </c>
      <c r="O116" s="172">
        <v>76.95</v>
      </c>
      <c r="P116" s="83">
        <v>2023</v>
      </c>
      <c r="Q116" s="83">
        <v>6</v>
      </c>
      <c r="R116" s="83" t="s">
        <v>137</v>
      </c>
      <c r="T116" s="83">
        <v>2023</v>
      </c>
      <c r="U116" s="83" t="s">
        <v>413</v>
      </c>
      <c r="V116" s="84">
        <v>76</v>
      </c>
      <c r="W116" s="85">
        <v>1.28</v>
      </c>
      <c r="X116" s="86">
        <v>0.27400000000000002</v>
      </c>
      <c r="Y116" s="86">
        <v>0.1075</v>
      </c>
      <c r="Z116" s="85">
        <v>1.06</v>
      </c>
      <c r="AA116" s="86">
        <v>0.05</v>
      </c>
      <c r="AB116" s="85">
        <v>1.1200000000000001</v>
      </c>
      <c r="AC116" s="87">
        <v>0.48820000000000002</v>
      </c>
      <c r="AD116" s="86">
        <v>0.42320000000000002</v>
      </c>
      <c r="AE116" s="86">
        <v>0.1159</v>
      </c>
      <c r="AG116" s="168">
        <v>43132</v>
      </c>
      <c r="AH116" s="174">
        <v>2824</v>
      </c>
      <c r="AI116" s="178">
        <v>2.7400000000000001E-2</v>
      </c>
      <c r="AJ116" s="174">
        <v>134.09</v>
      </c>
      <c r="AK116" s="85">
        <v>108.28</v>
      </c>
      <c r="AL116" s="85">
        <v>84.88</v>
      </c>
      <c r="AM116" s="178">
        <v>7.17E-2</v>
      </c>
      <c r="AN116" s="86">
        <v>4.3700000000000003E-2</v>
      </c>
      <c r="AO116" s="176">
        <v>2018</v>
      </c>
    </row>
    <row r="117" spans="14:41" x14ac:dyDescent="0.3">
      <c r="N117" s="167">
        <v>45085</v>
      </c>
      <c r="O117" s="171">
        <v>75.959999999999994</v>
      </c>
      <c r="P117" s="125">
        <v>2023</v>
      </c>
      <c r="Q117" s="125">
        <v>6</v>
      </c>
      <c r="R117" s="125" t="s">
        <v>137</v>
      </c>
      <c r="T117" s="125">
        <v>2023</v>
      </c>
      <c r="U117" s="125" t="s">
        <v>414</v>
      </c>
      <c r="V117" s="126">
        <v>19</v>
      </c>
      <c r="W117" s="127">
        <v>1.45</v>
      </c>
      <c r="X117" s="128">
        <v>0.21709999999999999</v>
      </c>
      <c r="Y117" s="128">
        <v>2.2800000000000001E-2</v>
      </c>
      <c r="Z117" s="127">
        <v>1.25</v>
      </c>
      <c r="AA117" s="128">
        <v>0.126</v>
      </c>
      <c r="AB117" s="127">
        <v>1.43</v>
      </c>
      <c r="AC117" s="129">
        <v>0.55020000000000002</v>
      </c>
      <c r="AD117" s="128">
        <v>0.61960000000000004</v>
      </c>
      <c r="AE117" s="128" t="s">
        <v>494</v>
      </c>
      <c r="AG117" s="167">
        <v>43160</v>
      </c>
      <c r="AH117" s="173">
        <v>2714</v>
      </c>
      <c r="AI117" s="177">
        <v>2.87E-2</v>
      </c>
      <c r="AJ117" s="173">
        <v>134.09</v>
      </c>
      <c r="AK117" s="127">
        <v>108.28</v>
      </c>
      <c r="AL117" s="127">
        <v>84.88</v>
      </c>
      <c r="AM117" s="177">
        <v>7.22E-2</v>
      </c>
      <c r="AN117" s="128">
        <v>4.4900000000000002E-2</v>
      </c>
      <c r="AO117" s="175">
        <v>2018</v>
      </c>
    </row>
    <row r="118" spans="14:41" x14ac:dyDescent="0.3">
      <c r="N118" s="168">
        <v>45086</v>
      </c>
      <c r="O118" s="172">
        <v>74.790000000000006</v>
      </c>
      <c r="P118" s="83">
        <v>2023</v>
      </c>
      <c r="Q118" s="83">
        <v>6</v>
      </c>
      <c r="R118" s="83" t="s">
        <v>137</v>
      </c>
      <c r="T118" s="83">
        <v>2023</v>
      </c>
      <c r="U118" s="83" t="s">
        <v>415</v>
      </c>
      <c r="V118" s="84">
        <v>80</v>
      </c>
      <c r="W118" s="85">
        <v>1.17</v>
      </c>
      <c r="X118" s="86">
        <v>0.3256</v>
      </c>
      <c r="Y118" s="86">
        <v>6.4699999999999994E-2</v>
      </c>
      <c r="Z118" s="85">
        <v>0.94</v>
      </c>
      <c r="AA118" s="86">
        <v>5.21E-2</v>
      </c>
      <c r="AB118" s="85">
        <v>0.99</v>
      </c>
      <c r="AC118" s="87">
        <v>0.60529999999999995</v>
      </c>
      <c r="AD118" s="86">
        <v>0.4778</v>
      </c>
      <c r="AE118" s="86">
        <v>0.26369999999999999</v>
      </c>
      <c r="AG118" s="168">
        <v>43191</v>
      </c>
      <c r="AH118" s="174">
        <v>2641</v>
      </c>
      <c r="AI118" s="178">
        <v>2.7400000000000001E-2</v>
      </c>
      <c r="AJ118" s="174">
        <v>132.62</v>
      </c>
      <c r="AK118" s="85">
        <v>110.03</v>
      </c>
      <c r="AL118" s="85">
        <v>88.8</v>
      </c>
      <c r="AM118" s="178">
        <v>7.17E-2</v>
      </c>
      <c r="AN118" s="86">
        <v>4.9500000000000002E-2</v>
      </c>
      <c r="AO118" s="176">
        <v>2018</v>
      </c>
    </row>
    <row r="119" spans="14:41" x14ac:dyDescent="0.3">
      <c r="N119" s="167">
        <v>45089</v>
      </c>
      <c r="O119" s="171">
        <v>71.819999999999993</v>
      </c>
      <c r="P119" s="125">
        <v>2023</v>
      </c>
      <c r="Q119" s="125">
        <v>6</v>
      </c>
      <c r="R119" s="125" t="s">
        <v>137</v>
      </c>
      <c r="T119" s="125">
        <v>2023</v>
      </c>
      <c r="U119" s="125" t="s">
        <v>416</v>
      </c>
      <c r="V119" s="126">
        <v>42</v>
      </c>
      <c r="W119" s="127">
        <v>1.29</v>
      </c>
      <c r="X119" s="128">
        <v>9.5200000000000007E-2</v>
      </c>
      <c r="Y119" s="128">
        <v>9.1300000000000006E-2</v>
      </c>
      <c r="Z119" s="127">
        <v>1.21</v>
      </c>
      <c r="AA119" s="128">
        <v>1.7899999999999999E-2</v>
      </c>
      <c r="AB119" s="127">
        <v>1.23</v>
      </c>
      <c r="AC119" s="129">
        <v>0.46</v>
      </c>
      <c r="AD119" s="128">
        <v>0.48730000000000001</v>
      </c>
      <c r="AE119" s="128">
        <v>0.25019999999999998</v>
      </c>
      <c r="AG119" s="167">
        <v>43221</v>
      </c>
      <c r="AH119" s="173">
        <v>2648</v>
      </c>
      <c r="AI119" s="177">
        <v>2.9499999999999998E-2</v>
      </c>
      <c r="AJ119" s="173">
        <v>132.62</v>
      </c>
      <c r="AK119" s="127">
        <v>110.03</v>
      </c>
      <c r="AL119" s="127">
        <v>88.8</v>
      </c>
      <c r="AM119" s="177">
        <v>7.2400000000000006E-2</v>
      </c>
      <c r="AN119" s="128">
        <v>4.8500000000000001E-2</v>
      </c>
      <c r="AO119" s="175">
        <v>2018</v>
      </c>
    </row>
    <row r="120" spans="14:41" x14ac:dyDescent="0.3">
      <c r="N120" s="168">
        <v>45090</v>
      </c>
      <c r="O120" s="172">
        <v>74.209999999999994</v>
      </c>
      <c r="P120" s="83">
        <v>2023</v>
      </c>
      <c r="Q120" s="83">
        <v>6</v>
      </c>
      <c r="R120" s="83" t="s">
        <v>137</v>
      </c>
      <c r="T120" s="83">
        <v>2023</v>
      </c>
      <c r="U120" s="83" t="s">
        <v>474</v>
      </c>
      <c r="V120" s="84">
        <v>49</v>
      </c>
      <c r="W120" s="85">
        <v>1.26</v>
      </c>
      <c r="X120" s="86">
        <v>0.30130000000000001</v>
      </c>
      <c r="Y120" s="86">
        <v>0.1052</v>
      </c>
      <c r="Z120" s="85">
        <v>1.03</v>
      </c>
      <c r="AA120" s="86">
        <v>4.1500000000000002E-2</v>
      </c>
      <c r="AB120" s="85">
        <v>1.08</v>
      </c>
      <c r="AC120" s="87">
        <v>0.45729999999999998</v>
      </c>
      <c r="AD120" s="86">
        <v>0.35110000000000002</v>
      </c>
      <c r="AE120" s="86">
        <v>0.19309999999999999</v>
      </c>
      <c r="AG120" s="168">
        <v>43252</v>
      </c>
      <c r="AH120" s="174">
        <v>2705</v>
      </c>
      <c r="AI120" s="178">
        <v>2.87E-2</v>
      </c>
      <c r="AJ120" s="174">
        <v>132.62</v>
      </c>
      <c r="AK120" s="85">
        <v>110.03</v>
      </c>
      <c r="AL120" s="85">
        <v>88.8</v>
      </c>
      <c r="AM120" s="178">
        <v>7.22E-2</v>
      </c>
      <c r="AN120" s="86">
        <v>4.7800000000000002E-2</v>
      </c>
      <c r="AO120" s="176">
        <v>2018</v>
      </c>
    </row>
    <row r="121" spans="14:41" x14ac:dyDescent="0.3">
      <c r="N121" s="167">
        <v>45091</v>
      </c>
      <c r="O121" s="171">
        <v>73.17</v>
      </c>
      <c r="P121" s="125">
        <v>2023</v>
      </c>
      <c r="Q121" s="125">
        <v>6</v>
      </c>
      <c r="R121" s="125" t="s">
        <v>137</v>
      </c>
      <c r="T121" s="125">
        <v>2023</v>
      </c>
      <c r="U121" s="125" t="s">
        <v>417</v>
      </c>
      <c r="V121" s="126">
        <v>23</v>
      </c>
      <c r="W121" s="127">
        <v>1.04</v>
      </c>
      <c r="X121" s="128">
        <v>0.21240000000000001</v>
      </c>
      <c r="Y121" s="128">
        <v>2.98E-2</v>
      </c>
      <c r="Z121" s="127">
        <v>0.9</v>
      </c>
      <c r="AA121" s="128">
        <v>4.6699999999999998E-2</v>
      </c>
      <c r="AB121" s="127">
        <v>0.94</v>
      </c>
      <c r="AC121" s="129">
        <v>0.56430000000000002</v>
      </c>
      <c r="AD121" s="128">
        <v>0.57840000000000003</v>
      </c>
      <c r="AE121" s="128">
        <v>0.48720000000000002</v>
      </c>
      <c r="AG121" s="167">
        <v>43282</v>
      </c>
      <c r="AH121" s="173">
        <v>2718</v>
      </c>
      <c r="AI121" s="177">
        <v>2.8500000000000001E-2</v>
      </c>
      <c r="AJ121" s="173">
        <v>136.51</v>
      </c>
      <c r="AK121" s="127">
        <v>117.55</v>
      </c>
      <c r="AL121" s="127">
        <v>88.8</v>
      </c>
      <c r="AM121" s="177">
        <v>7.2099999999999997E-2</v>
      </c>
      <c r="AN121" s="128">
        <v>4.99E-2</v>
      </c>
      <c r="AO121" s="175">
        <v>2018</v>
      </c>
    </row>
    <row r="122" spans="14:41" x14ac:dyDescent="0.3">
      <c r="N122" s="168">
        <v>45092</v>
      </c>
      <c r="O122" s="172">
        <v>75.66</v>
      </c>
      <c r="P122" s="83">
        <v>2023</v>
      </c>
      <c r="Q122" s="83">
        <v>6</v>
      </c>
      <c r="R122" s="83" t="s">
        <v>137</v>
      </c>
      <c r="T122" s="83">
        <v>2023</v>
      </c>
      <c r="U122" s="83" t="s">
        <v>475</v>
      </c>
      <c r="V122" s="84">
        <v>598</v>
      </c>
      <c r="W122" s="85">
        <v>1.24</v>
      </c>
      <c r="X122" s="86">
        <v>0.1532</v>
      </c>
      <c r="Y122" s="86">
        <v>9.4000000000000004E-3</v>
      </c>
      <c r="Z122" s="85">
        <v>1.1100000000000001</v>
      </c>
      <c r="AA122" s="86">
        <v>7.1400000000000005E-2</v>
      </c>
      <c r="AB122" s="85">
        <v>1.2</v>
      </c>
      <c r="AC122" s="87">
        <v>0.65400000000000003</v>
      </c>
      <c r="AD122" s="86">
        <v>0.58409999999999995</v>
      </c>
      <c r="AE122" s="86">
        <v>0.29809999999999998</v>
      </c>
      <c r="AG122" s="168">
        <v>43313</v>
      </c>
      <c r="AH122" s="174">
        <v>2816</v>
      </c>
      <c r="AI122" s="178">
        <v>2.9600000000000001E-2</v>
      </c>
      <c r="AJ122" s="174">
        <v>136.51</v>
      </c>
      <c r="AK122" s="85">
        <v>117.55</v>
      </c>
      <c r="AL122" s="85">
        <v>88.8</v>
      </c>
      <c r="AM122" s="178">
        <v>7.2499999999999995E-2</v>
      </c>
      <c r="AN122" s="86">
        <v>4.7800000000000002E-2</v>
      </c>
      <c r="AO122" s="176">
        <v>2018</v>
      </c>
    </row>
    <row r="123" spans="14:41" x14ac:dyDescent="0.3">
      <c r="N123" s="167">
        <v>45093</v>
      </c>
      <c r="O123" s="171">
        <v>76.58</v>
      </c>
      <c r="P123" s="125">
        <v>2023</v>
      </c>
      <c r="Q123" s="125">
        <v>6</v>
      </c>
      <c r="R123" s="125" t="s">
        <v>137</v>
      </c>
      <c r="T123" s="125">
        <v>2023</v>
      </c>
      <c r="U123" s="125" t="s">
        <v>476</v>
      </c>
      <c r="V123" s="126">
        <v>281</v>
      </c>
      <c r="W123" s="127">
        <v>1.27</v>
      </c>
      <c r="X123" s="128">
        <v>0.13619999999999999</v>
      </c>
      <c r="Y123" s="128">
        <v>2.3699999999999999E-2</v>
      </c>
      <c r="Z123" s="127">
        <v>1.1499999999999999</v>
      </c>
      <c r="AA123" s="128">
        <v>2.5600000000000001E-2</v>
      </c>
      <c r="AB123" s="127">
        <v>1.18</v>
      </c>
      <c r="AC123" s="129">
        <v>0.69189999999999996</v>
      </c>
      <c r="AD123" s="128">
        <v>0.64880000000000004</v>
      </c>
      <c r="AE123" s="128">
        <v>0.1855</v>
      </c>
      <c r="AG123" s="167">
        <v>43344</v>
      </c>
      <c r="AH123" s="173">
        <v>2902</v>
      </c>
      <c r="AI123" s="177">
        <v>2.86E-2</v>
      </c>
      <c r="AJ123" s="173">
        <v>136.51</v>
      </c>
      <c r="AK123" s="127">
        <v>117.55</v>
      </c>
      <c r="AL123" s="127">
        <v>88.8</v>
      </c>
      <c r="AM123" s="177">
        <v>7.2099999999999997E-2</v>
      </c>
      <c r="AN123" s="128">
        <v>4.6800000000000001E-2</v>
      </c>
      <c r="AO123" s="175">
        <v>2018</v>
      </c>
    </row>
    <row r="124" spans="14:41" x14ac:dyDescent="0.3">
      <c r="N124" s="168">
        <v>45096</v>
      </c>
      <c r="O124" s="172">
        <v>76.06</v>
      </c>
      <c r="P124" s="83">
        <v>2023</v>
      </c>
      <c r="Q124" s="83">
        <v>6</v>
      </c>
      <c r="R124" s="83" t="s">
        <v>137</v>
      </c>
      <c r="T124" s="83">
        <v>2023</v>
      </c>
      <c r="U124" s="83" t="s">
        <v>477</v>
      </c>
      <c r="V124" s="84">
        <v>33</v>
      </c>
      <c r="W124" s="85">
        <v>1.1000000000000001</v>
      </c>
      <c r="X124" s="86">
        <v>0.30609999999999998</v>
      </c>
      <c r="Y124" s="86">
        <v>7.0999999999999994E-2</v>
      </c>
      <c r="Z124" s="85">
        <v>0.9</v>
      </c>
      <c r="AA124" s="86">
        <v>9.9000000000000005E-2</v>
      </c>
      <c r="AB124" s="85">
        <v>0.99</v>
      </c>
      <c r="AC124" s="87">
        <v>0.54830000000000001</v>
      </c>
      <c r="AD124" s="86">
        <v>0.41810000000000003</v>
      </c>
      <c r="AE124" s="86">
        <v>0.17469999999999999</v>
      </c>
      <c r="AG124" s="168">
        <v>43374</v>
      </c>
      <c r="AH124" s="174">
        <v>2914</v>
      </c>
      <c r="AI124" s="178">
        <v>3.0700000000000002E-2</v>
      </c>
      <c r="AJ124" s="174">
        <v>146.33000000000001</v>
      </c>
      <c r="AK124" s="85">
        <v>126.7</v>
      </c>
      <c r="AL124" s="85">
        <v>88.8</v>
      </c>
      <c r="AM124" s="178">
        <v>7.2800000000000004E-2</v>
      </c>
      <c r="AN124" s="86">
        <v>4.99E-2</v>
      </c>
      <c r="AO124" s="176">
        <v>2018</v>
      </c>
    </row>
    <row r="125" spans="14:41" x14ac:dyDescent="0.3">
      <c r="N125" s="167">
        <v>45097</v>
      </c>
      <c r="O125" s="171">
        <v>75.89</v>
      </c>
      <c r="P125" s="125">
        <v>2023</v>
      </c>
      <c r="Q125" s="125">
        <v>6</v>
      </c>
      <c r="R125" s="125" t="s">
        <v>137</v>
      </c>
      <c r="T125" s="125">
        <v>2023</v>
      </c>
      <c r="U125" s="125" t="s">
        <v>418</v>
      </c>
      <c r="V125" s="126">
        <v>110</v>
      </c>
      <c r="W125" s="127">
        <v>1.59</v>
      </c>
      <c r="X125" s="128">
        <v>0.22520000000000001</v>
      </c>
      <c r="Y125" s="128">
        <v>4.4699999999999997E-2</v>
      </c>
      <c r="Z125" s="127">
        <v>1.36</v>
      </c>
      <c r="AA125" s="128">
        <v>5.0700000000000002E-2</v>
      </c>
      <c r="AB125" s="127">
        <v>1.43</v>
      </c>
      <c r="AC125" s="129">
        <v>0.59440000000000004</v>
      </c>
      <c r="AD125" s="128">
        <v>0.58550000000000002</v>
      </c>
      <c r="AE125" s="128">
        <v>0.13950000000000001</v>
      </c>
      <c r="AG125" s="167">
        <v>43405</v>
      </c>
      <c r="AH125" s="173">
        <v>2712</v>
      </c>
      <c r="AI125" s="177">
        <v>3.1600000000000003E-2</v>
      </c>
      <c r="AJ125" s="173">
        <v>146.33000000000001</v>
      </c>
      <c r="AK125" s="127">
        <v>126.7</v>
      </c>
      <c r="AL125" s="127">
        <v>88.8</v>
      </c>
      <c r="AM125" s="177">
        <v>7.3200000000000001E-2</v>
      </c>
      <c r="AN125" s="128">
        <v>5.3199999999999997E-2</v>
      </c>
      <c r="AO125" s="175">
        <v>2018</v>
      </c>
    </row>
    <row r="126" spans="14:41" x14ac:dyDescent="0.3">
      <c r="N126" s="168">
        <v>45098</v>
      </c>
      <c r="O126" s="172">
        <v>77.14</v>
      </c>
      <c r="P126" s="83">
        <v>2023</v>
      </c>
      <c r="Q126" s="83">
        <v>6</v>
      </c>
      <c r="R126" s="83" t="s">
        <v>137</v>
      </c>
      <c r="T126" s="83">
        <v>2023</v>
      </c>
      <c r="U126" s="83" t="s">
        <v>419</v>
      </c>
      <c r="V126" s="84">
        <v>16</v>
      </c>
      <c r="W126" s="85">
        <v>1.54</v>
      </c>
      <c r="X126" s="86">
        <v>0.16450000000000001</v>
      </c>
      <c r="Y126" s="86">
        <v>3.9800000000000002E-2</v>
      </c>
      <c r="Z126" s="85">
        <v>1.37</v>
      </c>
      <c r="AA126" s="86">
        <v>0.15079999999999999</v>
      </c>
      <c r="AB126" s="85">
        <v>1.61</v>
      </c>
      <c r="AC126" s="87">
        <v>0.59619999999999995</v>
      </c>
      <c r="AD126" s="86">
        <v>0.39560000000000001</v>
      </c>
      <c r="AE126" s="86">
        <v>3.2816999999999998</v>
      </c>
      <c r="AG126" s="168">
        <v>43435</v>
      </c>
      <c r="AH126" s="174">
        <v>2760</v>
      </c>
      <c r="AI126" s="178">
        <v>2.9899999999999999E-2</v>
      </c>
      <c r="AJ126" s="174">
        <v>146.33000000000001</v>
      </c>
      <c r="AK126" s="85">
        <v>126.7</v>
      </c>
      <c r="AL126" s="85">
        <v>88.8</v>
      </c>
      <c r="AM126" s="178">
        <v>7.2599999999999998E-2</v>
      </c>
      <c r="AN126" s="86">
        <v>5.2900000000000003E-2</v>
      </c>
      <c r="AO126" s="176">
        <v>2018</v>
      </c>
    </row>
    <row r="127" spans="14:41" x14ac:dyDescent="0.3">
      <c r="N127" s="167">
        <v>45099</v>
      </c>
      <c r="O127" s="171">
        <v>74.349999999999994</v>
      </c>
      <c r="P127" s="125">
        <v>2023</v>
      </c>
      <c r="Q127" s="125">
        <v>6</v>
      </c>
      <c r="R127" s="125" t="s">
        <v>137</v>
      </c>
      <c r="T127" s="125">
        <v>2023</v>
      </c>
      <c r="U127" s="125" t="s">
        <v>478</v>
      </c>
      <c r="V127" s="126">
        <v>138</v>
      </c>
      <c r="W127" s="127">
        <v>1.2</v>
      </c>
      <c r="X127" s="128">
        <v>0.18820000000000001</v>
      </c>
      <c r="Y127" s="128">
        <v>6.2899999999999998E-2</v>
      </c>
      <c r="Z127" s="127">
        <v>1.05</v>
      </c>
      <c r="AA127" s="128">
        <v>5.6899999999999999E-2</v>
      </c>
      <c r="AB127" s="127">
        <v>1.1200000000000001</v>
      </c>
      <c r="AC127" s="129">
        <v>0.50309999999999999</v>
      </c>
      <c r="AD127" s="128">
        <v>0.44940000000000002</v>
      </c>
      <c r="AE127" s="128">
        <v>0.25369999999999998</v>
      </c>
      <c r="AG127" s="167">
        <v>43466</v>
      </c>
      <c r="AH127" s="173">
        <v>2507</v>
      </c>
      <c r="AI127" s="177">
        <v>2.6800000000000001E-2</v>
      </c>
      <c r="AJ127" s="173">
        <v>120.81</v>
      </c>
      <c r="AK127" s="127">
        <v>136.65</v>
      </c>
      <c r="AL127" s="127">
        <v>93.7</v>
      </c>
      <c r="AM127" s="177">
        <v>4.1200000000000001E-2</v>
      </c>
      <c r="AN127" s="128">
        <v>5.5500000000000001E-2</v>
      </c>
      <c r="AO127" s="175">
        <v>2019</v>
      </c>
    </row>
    <row r="128" spans="14:41" x14ac:dyDescent="0.3">
      <c r="N128" s="168">
        <v>45100</v>
      </c>
      <c r="O128" s="172">
        <v>74.010000000000005</v>
      </c>
      <c r="P128" s="83">
        <v>2023</v>
      </c>
      <c r="Q128" s="83">
        <v>6</v>
      </c>
      <c r="R128" s="83" t="s">
        <v>137</v>
      </c>
      <c r="T128" s="83">
        <v>2023</v>
      </c>
      <c r="U128" s="83" t="s">
        <v>479</v>
      </c>
      <c r="V128" s="84">
        <v>43</v>
      </c>
      <c r="W128" s="85">
        <v>1.2</v>
      </c>
      <c r="X128" s="86">
        <v>0.31590000000000001</v>
      </c>
      <c r="Y128" s="86">
        <v>0.13300000000000001</v>
      </c>
      <c r="Z128" s="85">
        <v>0.97</v>
      </c>
      <c r="AA128" s="86">
        <v>4.9200000000000001E-2</v>
      </c>
      <c r="AB128" s="85">
        <v>1.02</v>
      </c>
      <c r="AC128" s="87">
        <v>0.4219</v>
      </c>
      <c r="AD128" s="86">
        <v>0.35170000000000001</v>
      </c>
      <c r="AE128" s="86">
        <v>0.152</v>
      </c>
      <c r="AG128" s="168">
        <v>43497</v>
      </c>
      <c r="AH128" s="174">
        <v>2704</v>
      </c>
      <c r="AI128" s="178">
        <v>2.63E-2</v>
      </c>
      <c r="AJ128" s="174">
        <v>120.81</v>
      </c>
      <c r="AK128" s="85">
        <v>136.65</v>
      </c>
      <c r="AL128" s="85">
        <v>93.7</v>
      </c>
      <c r="AM128" s="178">
        <v>4.1099999999999998E-2</v>
      </c>
      <c r="AN128" s="86">
        <v>5.16E-2</v>
      </c>
      <c r="AO128" s="176">
        <v>2019</v>
      </c>
    </row>
    <row r="129" spans="14:41" x14ac:dyDescent="0.3">
      <c r="N129" s="167">
        <v>45103</v>
      </c>
      <c r="O129" s="171">
        <v>74.349999999999994</v>
      </c>
      <c r="P129" s="125">
        <v>2023</v>
      </c>
      <c r="Q129" s="125">
        <v>6</v>
      </c>
      <c r="R129" s="125" t="s">
        <v>137</v>
      </c>
      <c r="T129" s="125">
        <v>2023</v>
      </c>
      <c r="U129" s="125" t="s">
        <v>420</v>
      </c>
      <c r="V129" s="126">
        <v>110</v>
      </c>
      <c r="W129" s="127">
        <v>1.45</v>
      </c>
      <c r="X129" s="128">
        <v>0.33279999999999998</v>
      </c>
      <c r="Y129" s="128">
        <v>3.4500000000000003E-2</v>
      </c>
      <c r="Z129" s="127">
        <v>1.1599999999999999</v>
      </c>
      <c r="AA129" s="128">
        <v>6.9000000000000006E-2</v>
      </c>
      <c r="AB129" s="127">
        <v>1.25</v>
      </c>
      <c r="AC129" s="129">
        <v>0.68830000000000002</v>
      </c>
      <c r="AD129" s="128">
        <v>0.57809999999999995</v>
      </c>
      <c r="AE129" s="128">
        <v>0.25729999999999997</v>
      </c>
      <c r="AG129" s="167">
        <v>43525</v>
      </c>
      <c r="AH129" s="173">
        <v>2785</v>
      </c>
      <c r="AI129" s="177">
        <v>2.7199999999999998E-2</v>
      </c>
      <c r="AJ129" s="173">
        <v>120.81</v>
      </c>
      <c r="AK129" s="127">
        <v>136.65</v>
      </c>
      <c r="AL129" s="127">
        <v>93.7</v>
      </c>
      <c r="AM129" s="177">
        <v>4.1399999999999999E-2</v>
      </c>
      <c r="AN129" s="128">
        <v>4.9799999999999997E-2</v>
      </c>
      <c r="AO129" s="175">
        <v>2019</v>
      </c>
    </row>
    <row r="130" spans="14:41" x14ac:dyDescent="0.3">
      <c r="N130" s="168">
        <v>45104</v>
      </c>
      <c r="O130" s="172">
        <v>72.510000000000005</v>
      </c>
      <c r="P130" s="83">
        <v>2023</v>
      </c>
      <c r="Q130" s="83">
        <v>6</v>
      </c>
      <c r="R130" s="83" t="s">
        <v>137</v>
      </c>
      <c r="T130" s="83">
        <v>2023</v>
      </c>
      <c r="U130" s="83" t="s">
        <v>421</v>
      </c>
      <c r="V130" s="84">
        <v>62</v>
      </c>
      <c r="W130" s="85">
        <v>1.02</v>
      </c>
      <c r="X130" s="86">
        <v>0.25540000000000002</v>
      </c>
      <c r="Y130" s="86">
        <v>5.4199999999999998E-2</v>
      </c>
      <c r="Z130" s="85">
        <v>0.85</v>
      </c>
      <c r="AA130" s="86">
        <v>8.0999999999999996E-3</v>
      </c>
      <c r="AB130" s="85">
        <v>0.86</v>
      </c>
      <c r="AC130" s="87">
        <v>0.61570000000000003</v>
      </c>
      <c r="AD130" s="86">
        <v>0.48089999999999999</v>
      </c>
      <c r="AE130" s="86">
        <v>0.1331</v>
      </c>
      <c r="AG130" s="168">
        <v>43556</v>
      </c>
      <c r="AH130" s="174">
        <v>2834</v>
      </c>
      <c r="AI130" s="178">
        <v>2.4E-2</v>
      </c>
      <c r="AJ130" s="174">
        <v>138.09</v>
      </c>
      <c r="AK130" s="85">
        <v>150.5</v>
      </c>
      <c r="AL130" s="85">
        <v>97.45</v>
      </c>
      <c r="AM130" s="178">
        <v>4.07E-2</v>
      </c>
      <c r="AN130" s="86">
        <v>5.0799999999999998E-2</v>
      </c>
      <c r="AO130" s="176">
        <v>2019</v>
      </c>
    </row>
    <row r="131" spans="14:41" x14ac:dyDescent="0.3">
      <c r="N131" s="167">
        <v>45105</v>
      </c>
      <c r="O131" s="171">
        <v>74.239999999999995</v>
      </c>
      <c r="P131" s="125">
        <v>2023</v>
      </c>
      <c r="Q131" s="125">
        <v>6</v>
      </c>
      <c r="R131" s="125" t="s">
        <v>137</v>
      </c>
      <c r="T131" s="125">
        <v>2023</v>
      </c>
      <c r="U131" s="125" t="s">
        <v>422</v>
      </c>
      <c r="V131" s="126">
        <v>39</v>
      </c>
      <c r="W131" s="127">
        <v>1.1399999999999999</v>
      </c>
      <c r="X131" s="128">
        <v>0.3387</v>
      </c>
      <c r="Y131" s="128">
        <v>6.6400000000000001E-2</v>
      </c>
      <c r="Z131" s="127">
        <v>0.91</v>
      </c>
      <c r="AA131" s="128">
        <v>2.3300000000000001E-2</v>
      </c>
      <c r="AB131" s="127">
        <v>0.93</v>
      </c>
      <c r="AC131" s="129">
        <v>0.58899999999999997</v>
      </c>
      <c r="AD131" s="128">
        <v>0.54430000000000001</v>
      </c>
      <c r="AE131" s="128">
        <v>0.26090000000000002</v>
      </c>
      <c r="AG131" s="167">
        <v>43586</v>
      </c>
      <c r="AH131" s="173">
        <v>2945</v>
      </c>
      <c r="AI131" s="177">
        <v>2.5100000000000001E-2</v>
      </c>
      <c r="AJ131" s="173">
        <v>138.09</v>
      </c>
      <c r="AK131" s="127">
        <v>150.5</v>
      </c>
      <c r="AL131" s="127">
        <v>97.45</v>
      </c>
      <c r="AM131" s="177">
        <v>4.1099999999999998E-2</v>
      </c>
      <c r="AN131" s="128">
        <v>4.99E-2</v>
      </c>
      <c r="AO131" s="175">
        <v>2019</v>
      </c>
    </row>
    <row r="132" spans="14:41" x14ac:dyDescent="0.3">
      <c r="N132" s="168">
        <v>45106</v>
      </c>
      <c r="O132" s="172">
        <v>74.510000000000005</v>
      </c>
      <c r="P132" s="83">
        <v>2023</v>
      </c>
      <c r="Q132" s="83">
        <v>6</v>
      </c>
      <c r="R132" s="83" t="s">
        <v>137</v>
      </c>
      <c r="T132" s="83">
        <v>2023</v>
      </c>
      <c r="U132" s="83" t="s">
        <v>495</v>
      </c>
      <c r="V132" s="84">
        <v>223</v>
      </c>
      <c r="W132" s="85">
        <v>0.89</v>
      </c>
      <c r="X132" s="86">
        <v>10.044</v>
      </c>
      <c r="Y132" s="86">
        <v>0.14610000000000001</v>
      </c>
      <c r="Z132" s="85">
        <v>0.1</v>
      </c>
      <c r="AA132" s="86">
        <v>2.24E-2</v>
      </c>
      <c r="AB132" s="85">
        <v>0.11</v>
      </c>
      <c r="AC132" s="87">
        <v>0.33779999999999999</v>
      </c>
      <c r="AD132" s="86">
        <v>0.27150000000000002</v>
      </c>
      <c r="AE132" s="86">
        <v>0.61670000000000003</v>
      </c>
      <c r="AG132" s="168">
        <v>43617</v>
      </c>
      <c r="AH132" s="174">
        <v>2752</v>
      </c>
      <c r="AI132" s="178">
        <v>2.1399999999999999E-2</v>
      </c>
      <c r="AJ132" s="174">
        <v>138.09</v>
      </c>
      <c r="AK132" s="85">
        <v>150.5</v>
      </c>
      <c r="AL132" s="85">
        <v>97.45</v>
      </c>
      <c r="AM132" s="178">
        <v>3.6200000000000003E-2</v>
      </c>
      <c r="AN132" s="86">
        <v>5.3800000000000001E-2</v>
      </c>
      <c r="AO132" s="176">
        <v>2019</v>
      </c>
    </row>
    <row r="133" spans="14:41" x14ac:dyDescent="0.3">
      <c r="N133" s="167">
        <v>45107</v>
      </c>
      <c r="O133" s="171">
        <v>75.41</v>
      </c>
      <c r="P133" s="125">
        <v>2023</v>
      </c>
      <c r="Q133" s="125">
        <v>6</v>
      </c>
      <c r="R133" s="125" t="s">
        <v>137</v>
      </c>
      <c r="T133" s="125">
        <v>2023</v>
      </c>
      <c r="U133" s="125" t="s">
        <v>424</v>
      </c>
      <c r="V133" s="126">
        <v>92</v>
      </c>
      <c r="W133" s="127">
        <v>0.92</v>
      </c>
      <c r="X133" s="128">
        <v>0.28860000000000002</v>
      </c>
      <c r="Y133" s="128">
        <v>7.7399999999999997E-2</v>
      </c>
      <c r="Z133" s="127">
        <v>0.75</v>
      </c>
      <c r="AA133" s="128">
        <v>1.8700000000000001E-2</v>
      </c>
      <c r="AB133" s="127">
        <v>0.77</v>
      </c>
      <c r="AC133" s="129">
        <v>0.48659999999999998</v>
      </c>
      <c r="AD133" s="128">
        <v>0.34229999999999999</v>
      </c>
      <c r="AE133" s="128">
        <v>0.16969999999999999</v>
      </c>
      <c r="AG133" s="167">
        <v>43647</v>
      </c>
      <c r="AH133" s="173">
        <v>2942</v>
      </c>
      <c r="AI133" s="177">
        <v>0.02</v>
      </c>
      <c r="AJ133" s="173">
        <v>143.32</v>
      </c>
      <c r="AK133" s="127">
        <v>153.47</v>
      </c>
      <c r="AL133" s="127">
        <v>98</v>
      </c>
      <c r="AM133" s="177">
        <v>3.44E-2</v>
      </c>
      <c r="AN133" s="128">
        <v>5.11E-2</v>
      </c>
      <c r="AO133" s="175">
        <v>2019</v>
      </c>
    </row>
    <row r="134" spans="14:41" x14ac:dyDescent="0.3">
      <c r="N134" s="168">
        <v>45110</v>
      </c>
      <c r="O134" s="172">
        <v>74.650000000000006</v>
      </c>
      <c r="P134" s="83">
        <v>2023</v>
      </c>
      <c r="Q134" s="83">
        <v>7</v>
      </c>
      <c r="R134" s="83" t="s">
        <v>268</v>
      </c>
      <c r="T134" s="83">
        <v>2023</v>
      </c>
      <c r="U134" s="83" t="s">
        <v>425</v>
      </c>
      <c r="V134" s="84">
        <v>14</v>
      </c>
      <c r="W134" s="85">
        <v>1.1200000000000001</v>
      </c>
      <c r="X134" s="86">
        <v>0.46160000000000001</v>
      </c>
      <c r="Y134" s="86">
        <v>0.11940000000000001</v>
      </c>
      <c r="Z134" s="85">
        <v>0.83</v>
      </c>
      <c r="AA134" s="86">
        <v>1.2999999999999999E-2</v>
      </c>
      <c r="AB134" s="85">
        <v>0.85</v>
      </c>
      <c r="AC134" s="87">
        <v>0.4793</v>
      </c>
      <c r="AD134" s="86">
        <v>0.32419999999999999</v>
      </c>
      <c r="AE134" s="86">
        <v>0.25629999999999997</v>
      </c>
      <c r="AG134" s="168">
        <v>43678</v>
      </c>
      <c r="AH134" s="174">
        <v>2980</v>
      </c>
      <c r="AI134" s="178">
        <v>2.0199999999999999E-2</v>
      </c>
      <c r="AJ134" s="174">
        <v>143.32</v>
      </c>
      <c r="AK134" s="85">
        <v>153.47</v>
      </c>
      <c r="AL134" s="85">
        <v>98</v>
      </c>
      <c r="AM134" s="178">
        <v>3.4500000000000003E-2</v>
      </c>
      <c r="AN134" s="86">
        <v>5.04E-2</v>
      </c>
      <c r="AO134" s="176">
        <v>2019</v>
      </c>
    </row>
    <row r="135" spans="14:41" x14ac:dyDescent="0.3">
      <c r="N135" s="167">
        <v>45111</v>
      </c>
      <c r="O135" s="171">
        <v>76.25</v>
      </c>
      <c r="P135" s="125">
        <v>2023</v>
      </c>
      <c r="Q135" s="125">
        <v>7</v>
      </c>
      <c r="R135" s="125" t="s">
        <v>268</v>
      </c>
      <c r="T135" s="125">
        <v>2023</v>
      </c>
      <c r="U135" s="125" t="s">
        <v>426</v>
      </c>
      <c r="V135" s="126">
        <v>32</v>
      </c>
      <c r="W135" s="127">
        <v>1.27</v>
      </c>
      <c r="X135" s="128">
        <v>0.55940000000000001</v>
      </c>
      <c r="Y135" s="128">
        <v>0.12670000000000001</v>
      </c>
      <c r="Z135" s="127">
        <v>0.9</v>
      </c>
      <c r="AA135" s="128">
        <v>5.9499999999999997E-2</v>
      </c>
      <c r="AB135" s="127">
        <v>0.95</v>
      </c>
      <c r="AC135" s="129">
        <v>0.5484</v>
      </c>
      <c r="AD135" s="128">
        <v>0.41909999999999997</v>
      </c>
      <c r="AE135" s="128">
        <v>0.24909999999999999</v>
      </c>
      <c r="AG135" s="167">
        <v>43709</v>
      </c>
      <c r="AH135" s="173">
        <v>2926</v>
      </c>
      <c r="AI135" s="177">
        <v>1.4999999999999999E-2</v>
      </c>
      <c r="AJ135" s="173">
        <v>143.32</v>
      </c>
      <c r="AK135" s="127">
        <v>153.47</v>
      </c>
      <c r="AL135" s="127">
        <v>98</v>
      </c>
      <c r="AM135" s="177">
        <v>3.2399999999999998E-2</v>
      </c>
      <c r="AN135" s="128">
        <v>5.3199999999999997E-2</v>
      </c>
      <c r="AO135" s="175">
        <v>2019</v>
      </c>
    </row>
    <row r="136" spans="14:41" x14ac:dyDescent="0.3">
      <c r="N136" s="168">
        <v>45112</v>
      </c>
      <c r="O136" s="172">
        <v>76.650000000000006</v>
      </c>
      <c r="P136" s="83">
        <v>2023</v>
      </c>
      <c r="Q136" s="83">
        <v>7</v>
      </c>
      <c r="R136" s="83" t="s">
        <v>268</v>
      </c>
      <c r="T136" s="83">
        <v>2023</v>
      </c>
      <c r="U136" s="83" t="s">
        <v>480</v>
      </c>
      <c r="V136" s="84">
        <v>19</v>
      </c>
      <c r="W136" s="85">
        <v>1.6</v>
      </c>
      <c r="X136" s="86">
        <v>1.2112000000000001</v>
      </c>
      <c r="Y136" s="86">
        <v>6.7299999999999999E-2</v>
      </c>
      <c r="Z136" s="85">
        <v>0.84</v>
      </c>
      <c r="AA136" s="86">
        <v>4.3799999999999999E-2</v>
      </c>
      <c r="AB136" s="85">
        <v>0.88</v>
      </c>
      <c r="AC136" s="87">
        <v>0.67710000000000004</v>
      </c>
      <c r="AD136" s="86">
        <v>0.67600000000000005</v>
      </c>
      <c r="AE136" s="86">
        <v>0.62819999999999998</v>
      </c>
      <c r="AG136" s="168">
        <v>43739</v>
      </c>
      <c r="AH136" s="174">
        <v>2977</v>
      </c>
      <c r="AI136" s="178">
        <v>1.67E-2</v>
      </c>
      <c r="AJ136" s="174">
        <v>145.02000000000001</v>
      </c>
      <c r="AK136" s="85">
        <v>151.19999999999999</v>
      </c>
      <c r="AL136" s="85">
        <v>98.07</v>
      </c>
      <c r="AM136" s="178">
        <v>3.3099999999999997E-2</v>
      </c>
      <c r="AN136" s="86">
        <v>5.1999999999999998E-2</v>
      </c>
      <c r="AO136" s="176">
        <v>2019</v>
      </c>
    </row>
    <row r="137" spans="14:41" x14ac:dyDescent="0.3">
      <c r="N137" s="167">
        <v>45113</v>
      </c>
      <c r="O137" s="171">
        <v>76.52</v>
      </c>
      <c r="P137" s="125">
        <v>2023</v>
      </c>
      <c r="Q137" s="125">
        <v>7</v>
      </c>
      <c r="R137" s="125" t="s">
        <v>268</v>
      </c>
      <c r="T137" s="125">
        <v>2023</v>
      </c>
      <c r="U137" s="125" t="s">
        <v>427</v>
      </c>
      <c r="V137" s="126">
        <v>254</v>
      </c>
      <c r="W137" s="127">
        <v>1.1599999999999999</v>
      </c>
      <c r="X137" s="128">
        <v>0.126</v>
      </c>
      <c r="Y137" s="128">
        <v>3.6999999999999998E-2</v>
      </c>
      <c r="Z137" s="127">
        <v>1.06</v>
      </c>
      <c r="AA137" s="128">
        <v>3.2000000000000001E-2</v>
      </c>
      <c r="AB137" s="127">
        <v>1.1000000000000001</v>
      </c>
      <c r="AC137" s="129">
        <v>0.59389999999999998</v>
      </c>
      <c r="AD137" s="128">
        <v>0.50939999999999996</v>
      </c>
      <c r="AE137" s="128">
        <v>0.30099999999999999</v>
      </c>
      <c r="AG137" s="167">
        <v>43770</v>
      </c>
      <c r="AH137" s="173">
        <v>3038</v>
      </c>
      <c r="AI137" s="177">
        <v>1.6799999999999999E-2</v>
      </c>
      <c r="AJ137" s="173">
        <v>145.02000000000001</v>
      </c>
      <c r="AK137" s="127">
        <v>151.19999999999999</v>
      </c>
      <c r="AL137" s="127">
        <v>98.07</v>
      </c>
      <c r="AM137" s="177">
        <v>3.3099999999999997E-2</v>
      </c>
      <c r="AN137" s="128">
        <v>5.0900000000000001E-2</v>
      </c>
      <c r="AO137" s="175">
        <v>2019</v>
      </c>
    </row>
    <row r="138" spans="14:41" x14ac:dyDescent="0.3">
      <c r="N138" s="168">
        <v>45114</v>
      </c>
      <c r="O138" s="172">
        <v>78.47</v>
      </c>
      <c r="P138" s="83">
        <v>2023</v>
      </c>
      <c r="Q138" s="83">
        <v>7</v>
      </c>
      <c r="R138" s="83" t="s">
        <v>268</v>
      </c>
      <c r="T138" s="83">
        <v>2023</v>
      </c>
      <c r="U138" s="83" t="s">
        <v>481</v>
      </c>
      <c r="V138" s="84">
        <v>131</v>
      </c>
      <c r="W138" s="85">
        <v>1.1599999999999999</v>
      </c>
      <c r="X138" s="86">
        <v>0.2361</v>
      </c>
      <c r="Y138" s="86">
        <v>6.7400000000000002E-2</v>
      </c>
      <c r="Z138" s="85">
        <v>0.99</v>
      </c>
      <c r="AA138" s="86">
        <v>8.0799999999999997E-2</v>
      </c>
      <c r="AB138" s="85">
        <v>1.07</v>
      </c>
      <c r="AC138" s="87">
        <v>0.56359999999999999</v>
      </c>
      <c r="AD138" s="86">
        <v>0.47789999999999999</v>
      </c>
      <c r="AE138" s="86">
        <v>0.27589999999999998</v>
      </c>
      <c r="AG138" s="168">
        <v>43800</v>
      </c>
      <c r="AH138" s="174">
        <v>3141</v>
      </c>
      <c r="AI138" s="178">
        <v>1.78E-2</v>
      </c>
      <c r="AJ138" s="174">
        <v>145.02000000000001</v>
      </c>
      <c r="AK138" s="85">
        <v>151.19999999999999</v>
      </c>
      <c r="AL138" s="85">
        <v>98.07</v>
      </c>
      <c r="AM138" s="178">
        <v>3.3500000000000002E-2</v>
      </c>
      <c r="AN138" s="86">
        <v>4.8899999999999999E-2</v>
      </c>
      <c r="AO138" s="176">
        <v>2019</v>
      </c>
    </row>
    <row r="139" spans="14:41" x14ac:dyDescent="0.3">
      <c r="N139" s="167">
        <v>45117</v>
      </c>
      <c r="O139" s="171">
        <v>77.69</v>
      </c>
      <c r="P139" s="125">
        <v>2023</v>
      </c>
      <c r="Q139" s="125">
        <v>7</v>
      </c>
      <c r="R139" s="125" t="s">
        <v>268</v>
      </c>
      <c r="T139" s="125">
        <v>2023</v>
      </c>
      <c r="U139" s="125" t="s">
        <v>496</v>
      </c>
      <c r="V139" s="126">
        <v>138</v>
      </c>
      <c r="W139" s="127">
        <v>1.47</v>
      </c>
      <c r="X139" s="128">
        <v>0.1421</v>
      </c>
      <c r="Y139" s="128">
        <v>4.2999999999999997E-2</v>
      </c>
      <c r="Z139" s="127">
        <v>1.33</v>
      </c>
      <c r="AA139" s="128">
        <v>2.9899999999999999E-2</v>
      </c>
      <c r="AB139" s="127">
        <v>1.37</v>
      </c>
      <c r="AC139" s="129">
        <v>0.61729999999999996</v>
      </c>
      <c r="AD139" s="128">
        <v>0.53869999999999996</v>
      </c>
      <c r="AE139" s="128">
        <v>0.48970000000000002</v>
      </c>
      <c r="AG139" s="167">
        <v>43831</v>
      </c>
      <c r="AH139" s="173">
        <v>3231</v>
      </c>
      <c r="AI139" s="177">
        <v>1.9199999999999998E-2</v>
      </c>
      <c r="AJ139" s="173">
        <v>157.4</v>
      </c>
      <c r="AK139" s="127">
        <v>150.5</v>
      </c>
      <c r="AL139" s="127">
        <v>98.01</v>
      </c>
      <c r="AM139" s="177">
        <v>3.9600000000000003E-2</v>
      </c>
      <c r="AN139" s="128">
        <v>5.0599999999999999E-2</v>
      </c>
      <c r="AO139" s="175">
        <v>2020</v>
      </c>
    </row>
    <row r="140" spans="14:41" x14ac:dyDescent="0.3">
      <c r="N140" s="168">
        <v>45118</v>
      </c>
      <c r="O140" s="172">
        <v>79.400000000000006</v>
      </c>
      <c r="P140" s="83">
        <v>2023</v>
      </c>
      <c r="Q140" s="83">
        <v>7</v>
      </c>
      <c r="R140" s="83" t="s">
        <v>268</v>
      </c>
      <c r="T140" s="83">
        <v>2023</v>
      </c>
      <c r="U140" s="83" t="s">
        <v>428</v>
      </c>
      <c r="V140" s="84">
        <v>32</v>
      </c>
      <c r="W140" s="85">
        <v>1.5</v>
      </c>
      <c r="X140" s="86">
        <v>0.32340000000000002</v>
      </c>
      <c r="Y140" s="86">
        <v>0.17810000000000001</v>
      </c>
      <c r="Z140" s="85">
        <v>1.21</v>
      </c>
      <c r="AA140" s="86">
        <v>9.3100000000000002E-2</v>
      </c>
      <c r="AB140" s="85">
        <v>1.33</v>
      </c>
      <c r="AC140" s="87">
        <v>0.41270000000000001</v>
      </c>
      <c r="AD140" s="86">
        <v>0.33329999999999999</v>
      </c>
      <c r="AE140" s="86">
        <v>0.70579999999999998</v>
      </c>
      <c r="AG140" s="168">
        <v>43862</v>
      </c>
      <c r="AH140" s="174">
        <v>3226</v>
      </c>
      <c r="AI140" s="178">
        <v>1.5100000000000001E-2</v>
      </c>
      <c r="AJ140" s="174">
        <v>157.4</v>
      </c>
      <c r="AK140" s="85">
        <v>150.5</v>
      </c>
      <c r="AL140" s="85">
        <v>98.01</v>
      </c>
      <c r="AM140" s="178">
        <v>3.7900000000000003E-2</v>
      </c>
      <c r="AN140" s="86">
        <v>5.2200000000000003E-2</v>
      </c>
      <c r="AO140" s="176">
        <v>2020</v>
      </c>
    </row>
    <row r="141" spans="14:41" x14ac:dyDescent="0.3">
      <c r="N141" s="167">
        <v>45119</v>
      </c>
      <c r="O141" s="171">
        <v>80.11</v>
      </c>
      <c r="P141" s="125">
        <v>2023</v>
      </c>
      <c r="Q141" s="125">
        <v>7</v>
      </c>
      <c r="R141" s="125" t="s">
        <v>268</v>
      </c>
      <c r="T141" s="125">
        <v>2023</v>
      </c>
      <c r="U141" s="125" t="s">
        <v>482</v>
      </c>
      <c r="V141" s="126">
        <v>34</v>
      </c>
      <c r="W141" s="127">
        <v>1.17</v>
      </c>
      <c r="X141" s="128">
        <v>0.87239999999999995</v>
      </c>
      <c r="Y141" s="128">
        <v>9.5600000000000004E-2</v>
      </c>
      <c r="Z141" s="127">
        <v>0.71</v>
      </c>
      <c r="AA141" s="128">
        <v>1.8499999999999999E-2</v>
      </c>
      <c r="AB141" s="127">
        <v>0.72</v>
      </c>
      <c r="AC141" s="129">
        <v>0.6028</v>
      </c>
      <c r="AD141" s="128">
        <v>0.51190000000000002</v>
      </c>
      <c r="AE141" s="128">
        <v>0.18609999999999999</v>
      </c>
      <c r="AG141" s="167">
        <v>43891</v>
      </c>
      <c r="AH141" s="173">
        <v>2954</v>
      </c>
      <c r="AI141" s="177">
        <v>1.1299999999999999E-2</v>
      </c>
      <c r="AJ141" s="173">
        <v>157.4</v>
      </c>
      <c r="AK141" s="127">
        <v>150.5</v>
      </c>
      <c r="AL141" s="127">
        <v>98.01</v>
      </c>
      <c r="AM141" s="177">
        <v>3.3599999999999998E-2</v>
      </c>
      <c r="AN141" s="128">
        <v>5.7700000000000001E-2</v>
      </c>
      <c r="AO141" s="175">
        <v>2020</v>
      </c>
    </row>
    <row r="142" spans="14:41" x14ac:dyDescent="0.3">
      <c r="N142" s="168">
        <v>45120</v>
      </c>
      <c r="O142" s="172">
        <v>81.36</v>
      </c>
      <c r="P142" s="83">
        <v>2023</v>
      </c>
      <c r="Q142" s="83">
        <v>7</v>
      </c>
      <c r="R142" s="83" t="s">
        <v>268</v>
      </c>
      <c r="T142" s="83">
        <v>2023</v>
      </c>
      <c r="U142" s="83" t="s">
        <v>429</v>
      </c>
      <c r="V142" s="84">
        <v>69</v>
      </c>
      <c r="W142" s="85">
        <v>1.46</v>
      </c>
      <c r="X142" s="86">
        <v>0.66579999999999995</v>
      </c>
      <c r="Y142" s="86">
        <v>8.14E-2</v>
      </c>
      <c r="Z142" s="85">
        <v>0.97</v>
      </c>
      <c r="AA142" s="86">
        <v>8.2199999999999995E-2</v>
      </c>
      <c r="AB142" s="85">
        <v>1.06</v>
      </c>
      <c r="AC142" s="87">
        <v>0.48499999999999999</v>
      </c>
      <c r="AD142" s="86">
        <v>0.3805</v>
      </c>
      <c r="AE142" s="86">
        <v>1.0024</v>
      </c>
      <c r="AG142" s="168">
        <v>43922</v>
      </c>
      <c r="AH142" s="174">
        <v>2585</v>
      </c>
      <c r="AI142" s="178">
        <v>6.7999999999999996E-3</v>
      </c>
      <c r="AJ142" s="174">
        <v>125.9</v>
      </c>
      <c r="AK142" s="85">
        <v>146.30000000000001</v>
      </c>
      <c r="AL142" s="85">
        <v>98.36</v>
      </c>
      <c r="AM142" s="178">
        <v>3.1800000000000002E-2</v>
      </c>
      <c r="AN142" s="86">
        <v>6.5199999999999994E-2</v>
      </c>
      <c r="AO142" s="176">
        <v>2020</v>
      </c>
    </row>
    <row r="143" spans="14:41" x14ac:dyDescent="0.3">
      <c r="N143" s="167">
        <v>45121</v>
      </c>
      <c r="O143" s="171">
        <v>79.87</v>
      </c>
      <c r="P143" s="125">
        <v>2023</v>
      </c>
      <c r="Q143" s="125">
        <v>7</v>
      </c>
      <c r="R143" s="125" t="s">
        <v>268</v>
      </c>
      <c r="T143" s="125">
        <v>2023</v>
      </c>
      <c r="U143" s="125" t="s">
        <v>430</v>
      </c>
      <c r="V143" s="126">
        <v>127</v>
      </c>
      <c r="W143" s="127">
        <v>1.1599999999999999</v>
      </c>
      <c r="X143" s="128">
        <v>0.1552</v>
      </c>
      <c r="Y143" s="128">
        <v>6.7299999999999999E-2</v>
      </c>
      <c r="Z143" s="127">
        <v>1.03</v>
      </c>
      <c r="AA143" s="128">
        <v>2.2100000000000002E-2</v>
      </c>
      <c r="AB143" s="127">
        <v>1.06</v>
      </c>
      <c r="AC143" s="129">
        <v>0.65769999999999995</v>
      </c>
      <c r="AD143" s="128">
        <v>0.56830000000000003</v>
      </c>
      <c r="AE143" s="128">
        <v>6.9199999999999998E-2</v>
      </c>
      <c r="AG143" s="167">
        <v>43952</v>
      </c>
      <c r="AH143" s="173">
        <v>2912</v>
      </c>
      <c r="AI143" s="177">
        <v>6.4000000000000003E-3</v>
      </c>
      <c r="AJ143" s="173">
        <v>125.9</v>
      </c>
      <c r="AK143" s="127">
        <v>146.30000000000001</v>
      </c>
      <c r="AL143" s="127">
        <v>98.36</v>
      </c>
      <c r="AM143" s="177">
        <v>3.1600000000000003E-2</v>
      </c>
      <c r="AN143" s="128">
        <v>6.0299999999999999E-2</v>
      </c>
      <c r="AO143" s="175">
        <v>2020</v>
      </c>
    </row>
    <row r="144" spans="14:41" x14ac:dyDescent="0.3">
      <c r="N144" s="168">
        <v>45124</v>
      </c>
      <c r="O144" s="172">
        <v>78.38</v>
      </c>
      <c r="P144" s="83">
        <v>2023</v>
      </c>
      <c r="Q144" s="83">
        <v>7</v>
      </c>
      <c r="R144" s="83" t="s">
        <v>268</v>
      </c>
      <c r="T144" s="83">
        <v>2023</v>
      </c>
      <c r="U144" s="83" t="s">
        <v>431</v>
      </c>
      <c r="V144" s="84">
        <v>73</v>
      </c>
      <c r="W144" s="85">
        <v>1.4</v>
      </c>
      <c r="X144" s="86">
        <v>0.13059999999999999</v>
      </c>
      <c r="Y144" s="86">
        <v>0.1245</v>
      </c>
      <c r="Z144" s="85">
        <v>1.28</v>
      </c>
      <c r="AA144" s="86">
        <v>4.0500000000000001E-2</v>
      </c>
      <c r="AB144" s="85">
        <v>1.33</v>
      </c>
      <c r="AC144" s="87">
        <v>0.4768</v>
      </c>
      <c r="AD144" s="86">
        <v>0.4511</v>
      </c>
      <c r="AE144" s="86">
        <v>0.28349999999999997</v>
      </c>
      <c r="AG144" s="168">
        <v>43983</v>
      </c>
      <c r="AH144" s="174">
        <v>3044</v>
      </c>
      <c r="AI144" s="178">
        <v>6.6E-3</v>
      </c>
      <c r="AJ144" s="174">
        <v>125.9</v>
      </c>
      <c r="AK144" s="85">
        <v>146.56</v>
      </c>
      <c r="AL144" s="85">
        <v>101.46</v>
      </c>
      <c r="AM144" s="178">
        <v>3.3300000000000003E-2</v>
      </c>
      <c r="AN144" s="86">
        <v>5.8099999999999999E-2</v>
      </c>
      <c r="AO144" s="176">
        <v>2020</v>
      </c>
    </row>
    <row r="145" spans="14:41" x14ac:dyDescent="0.3">
      <c r="N145" s="167">
        <v>45125</v>
      </c>
      <c r="O145" s="171">
        <v>79.5</v>
      </c>
      <c r="P145" s="125">
        <v>2023</v>
      </c>
      <c r="Q145" s="125">
        <v>7</v>
      </c>
      <c r="R145" s="125" t="s">
        <v>268</v>
      </c>
      <c r="T145" s="125">
        <v>2023</v>
      </c>
      <c r="U145" s="125" t="s">
        <v>432</v>
      </c>
      <c r="V145" s="126">
        <v>21</v>
      </c>
      <c r="W145" s="127">
        <v>1.23</v>
      </c>
      <c r="X145" s="128">
        <v>0.3049</v>
      </c>
      <c r="Y145" s="128">
        <v>0.1026</v>
      </c>
      <c r="Z145" s="127">
        <v>1</v>
      </c>
      <c r="AA145" s="128">
        <v>2.69E-2</v>
      </c>
      <c r="AB145" s="127">
        <v>1.03</v>
      </c>
      <c r="AC145" s="129">
        <v>0.4521</v>
      </c>
      <c r="AD145" s="128">
        <v>0.43759999999999999</v>
      </c>
      <c r="AE145" s="128">
        <v>0.37990000000000002</v>
      </c>
      <c r="AG145" s="167">
        <v>44013</v>
      </c>
      <c r="AH145" s="173">
        <v>3100</v>
      </c>
      <c r="AI145" s="177">
        <v>6.6E-3</v>
      </c>
      <c r="AJ145" s="173">
        <v>154.66999999999999</v>
      </c>
      <c r="AK145" s="127">
        <v>146.87</v>
      </c>
      <c r="AL145" s="127">
        <v>99.97</v>
      </c>
      <c r="AM145" s="177">
        <v>3.3300000000000003E-2</v>
      </c>
      <c r="AN145" s="128">
        <v>5.6800000000000003E-2</v>
      </c>
      <c r="AO145" s="175">
        <v>2020</v>
      </c>
    </row>
    <row r="146" spans="14:41" x14ac:dyDescent="0.3">
      <c r="N146" s="168">
        <v>45126</v>
      </c>
      <c r="O146" s="172">
        <v>79.349999999999994</v>
      </c>
      <c r="P146" s="83">
        <v>2023</v>
      </c>
      <c r="Q146" s="83">
        <v>7</v>
      </c>
      <c r="R146" s="83" t="s">
        <v>268</v>
      </c>
      <c r="T146" s="83">
        <v>2023</v>
      </c>
      <c r="U146" s="83" t="s">
        <v>433</v>
      </c>
      <c r="V146" s="84">
        <v>27</v>
      </c>
      <c r="W146" s="85">
        <v>0.94</v>
      </c>
      <c r="X146" s="86">
        <v>0.92400000000000004</v>
      </c>
      <c r="Y146" s="86">
        <v>0.11409999999999999</v>
      </c>
      <c r="Z146" s="85">
        <v>0.55000000000000004</v>
      </c>
      <c r="AA146" s="86">
        <v>0.16869999999999999</v>
      </c>
      <c r="AB146" s="85">
        <v>0.67</v>
      </c>
      <c r="AC146" s="87">
        <v>0.37740000000000001</v>
      </c>
      <c r="AD146" s="86">
        <v>0.28889999999999999</v>
      </c>
      <c r="AE146" s="86">
        <v>0.1953</v>
      </c>
      <c r="AG146" s="168">
        <v>44044</v>
      </c>
      <c r="AH146" s="174">
        <v>3271</v>
      </c>
      <c r="AI146" s="178">
        <v>5.4999999999999997E-3</v>
      </c>
      <c r="AJ146" s="174">
        <v>154.66999999999999</v>
      </c>
      <c r="AK146" s="85">
        <v>146.87</v>
      </c>
      <c r="AL146" s="85">
        <v>99.97</v>
      </c>
      <c r="AM146" s="178">
        <v>3.2800000000000003E-2</v>
      </c>
      <c r="AN146" s="86">
        <v>5.4300000000000001E-2</v>
      </c>
      <c r="AO146" s="176">
        <v>2020</v>
      </c>
    </row>
    <row r="147" spans="14:41" x14ac:dyDescent="0.3">
      <c r="N147" s="167">
        <v>45127</v>
      </c>
      <c r="O147" s="171">
        <v>79.52</v>
      </c>
      <c r="P147" s="125">
        <v>2023</v>
      </c>
      <c r="Q147" s="125">
        <v>7</v>
      </c>
      <c r="R147" s="125" t="s">
        <v>268</v>
      </c>
      <c r="T147" s="125">
        <v>2023</v>
      </c>
      <c r="U147" s="125" t="s">
        <v>497</v>
      </c>
      <c r="V147" s="126">
        <v>51</v>
      </c>
      <c r="W147" s="127">
        <v>0.8</v>
      </c>
      <c r="X147" s="128">
        <v>0.2147</v>
      </c>
      <c r="Y147" s="128">
        <v>0.10920000000000001</v>
      </c>
      <c r="Z147" s="127">
        <v>0.69</v>
      </c>
      <c r="AA147" s="128">
        <v>5.16E-2</v>
      </c>
      <c r="AB147" s="127">
        <v>0.73</v>
      </c>
      <c r="AC147" s="129">
        <v>0.35270000000000001</v>
      </c>
      <c r="AD147" s="128">
        <v>0.2767</v>
      </c>
      <c r="AE147" s="128">
        <v>0.25430000000000003</v>
      </c>
      <c r="AG147" s="167">
        <v>44075</v>
      </c>
      <c r="AH147" s="173">
        <v>3500</v>
      </c>
      <c r="AI147" s="177">
        <v>7.1999999999999998E-3</v>
      </c>
      <c r="AJ147" s="173">
        <v>154.66999999999999</v>
      </c>
      <c r="AK147" s="127">
        <v>146.87</v>
      </c>
      <c r="AL147" s="127">
        <v>99.97</v>
      </c>
      <c r="AM147" s="177">
        <v>3.3500000000000002E-2</v>
      </c>
      <c r="AN147" s="128">
        <v>0.05</v>
      </c>
      <c r="AO147" s="175">
        <v>2020</v>
      </c>
    </row>
    <row r="148" spans="14:41" x14ac:dyDescent="0.3">
      <c r="N148" s="168">
        <v>45128</v>
      </c>
      <c r="O148" s="172">
        <v>80.88</v>
      </c>
      <c r="P148" s="83">
        <v>2023</v>
      </c>
      <c r="Q148" s="83">
        <v>7</v>
      </c>
      <c r="R148" s="83" t="s">
        <v>268</v>
      </c>
      <c r="T148" s="83">
        <v>2023</v>
      </c>
      <c r="U148" s="83" t="s">
        <v>483</v>
      </c>
      <c r="V148" s="84">
        <v>600</v>
      </c>
      <c r="W148" s="85">
        <v>0.62</v>
      </c>
      <c r="X148" s="86">
        <v>0.38350000000000001</v>
      </c>
      <c r="Y148" s="86">
        <v>4.0099999999999997E-2</v>
      </c>
      <c r="Z148" s="85">
        <v>0.48</v>
      </c>
      <c r="AA148" s="86">
        <v>9.9400000000000002E-2</v>
      </c>
      <c r="AB148" s="85">
        <v>0.54</v>
      </c>
      <c r="AC148" s="87">
        <v>0.14990000000000001</v>
      </c>
      <c r="AD148" s="86">
        <v>9.9099999999999994E-2</v>
      </c>
      <c r="AE148" s="86">
        <v>0.26119999999999999</v>
      </c>
      <c r="AG148" s="168">
        <v>44105</v>
      </c>
      <c r="AH148" s="174">
        <v>3363</v>
      </c>
      <c r="AI148" s="178">
        <v>6.8999999999999999E-3</v>
      </c>
      <c r="AJ148" s="174">
        <v>167.68</v>
      </c>
      <c r="AK148" s="85">
        <v>137.63999999999999</v>
      </c>
      <c r="AL148" s="85">
        <v>98.88</v>
      </c>
      <c r="AM148" s="178">
        <v>3.8100000000000002E-2</v>
      </c>
      <c r="AN148" s="86">
        <v>5.2900000000000003E-2</v>
      </c>
      <c r="AO148" s="176">
        <v>2020</v>
      </c>
    </row>
    <row r="149" spans="14:41" x14ac:dyDescent="0.3">
      <c r="N149" s="167">
        <v>45131</v>
      </c>
      <c r="O149" s="171">
        <v>82.48</v>
      </c>
      <c r="P149" s="125">
        <v>2023</v>
      </c>
      <c r="Q149" s="125">
        <v>7</v>
      </c>
      <c r="R149" s="125" t="s">
        <v>268</v>
      </c>
      <c r="T149" s="125">
        <v>2023</v>
      </c>
      <c r="U149" s="125" t="s">
        <v>435</v>
      </c>
      <c r="V149" s="126">
        <v>116</v>
      </c>
      <c r="W149" s="127">
        <v>1.22</v>
      </c>
      <c r="X149" s="128">
        <v>0.2084</v>
      </c>
      <c r="Y149" s="128">
        <v>0.1037</v>
      </c>
      <c r="Z149" s="127">
        <v>1.06</v>
      </c>
      <c r="AA149" s="128">
        <v>3.1600000000000003E-2</v>
      </c>
      <c r="AB149" s="127">
        <v>1.0900000000000001</v>
      </c>
      <c r="AC149" s="129">
        <v>0.4224</v>
      </c>
      <c r="AD149" s="128">
        <v>0.3236</v>
      </c>
      <c r="AE149" s="128">
        <v>0.1691</v>
      </c>
      <c r="AG149" s="167">
        <v>44136</v>
      </c>
      <c r="AH149" s="173">
        <v>3270</v>
      </c>
      <c r="AI149" s="177">
        <v>8.8000000000000005E-3</v>
      </c>
      <c r="AJ149" s="173">
        <v>167.68</v>
      </c>
      <c r="AK149" s="127">
        <v>137.63999999999999</v>
      </c>
      <c r="AL149" s="127">
        <v>98.88</v>
      </c>
      <c r="AM149" s="177">
        <v>3.8600000000000002E-2</v>
      </c>
      <c r="AN149" s="128">
        <v>5.3499999999999999E-2</v>
      </c>
      <c r="AO149" s="175">
        <v>2020</v>
      </c>
    </row>
    <row r="150" spans="14:41" x14ac:dyDescent="0.3">
      <c r="N150" s="168">
        <v>45132</v>
      </c>
      <c r="O150" s="172">
        <v>83.25</v>
      </c>
      <c r="P150" s="83">
        <v>2023</v>
      </c>
      <c r="Q150" s="83">
        <v>7</v>
      </c>
      <c r="R150" s="83" t="s">
        <v>268</v>
      </c>
      <c r="T150" s="83">
        <v>2023</v>
      </c>
      <c r="U150" s="83" t="s">
        <v>436</v>
      </c>
      <c r="V150" s="84">
        <v>68</v>
      </c>
      <c r="W150" s="85">
        <v>1.29</v>
      </c>
      <c r="X150" s="86">
        <v>0.21540000000000001</v>
      </c>
      <c r="Y150" s="86">
        <v>4.1500000000000002E-2</v>
      </c>
      <c r="Z150" s="85">
        <v>1.1100000000000001</v>
      </c>
      <c r="AA150" s="86">
        <v>8.9099999999999999E-2</v>
      </c>
      <c r="AB150" s="85">
        <v>1.22</v>
      </c>
      <c r="AC150" s="87">
        <v>0.66579999999999995</v>
      </c>
      <c r="AD150" s="86">
        <v>0.7006</v>
      </c>
      <c r="AE150" s="86">
        <v>0.52710000000000001</v>
      </c>
      <c r="AG150" s="168">
        <v>44166</v>
      </c>
      <c r="AH150" s="174">
        <v>3622</v>
      </c>
      <c r="AI150" s="178">
        <v>8.3999999999999995E-3</v>
      </c>
      <c r="AJ150" s="174">
        <v>167.68</v>
      </c>
      <c r="AK150" s="85">
        <v>137.63999999999999</v>
      </c>
      <c r="AL150" s="85">
        <v>98.88</v>
      </c>
      <c r="AM150" s="178">
        <v>4.3700000000000003E-2</v>
      </c>
      <c r="AN150" s="86">
        <v>4.9700000000000001E-2</v>
      </c>
      <c r="AO150" s="176">
        <v>2020</v>
      </c>
    </row>
    <row r="151" spans="14:41" x14ac:dyDescent="0.3">
      <c r="N151" s="167">
        <v>45133</v>
      </c>
      <c r="O151" s="171">
        <v>82.56</v>
      </c>
      <c r="P151" s="125">
        <v>2023</v>
      </c>
      <c r="Q151" s="125">
        <v>7</v>
      </c>
      <c r="R151" s="125" t="s">
        <v>268</v>
      </c>
      <c r="T151" s="125">
        <v>2023</v>
      </c>
      <c r="U151" s="125" t="s">
        <v>437</v>
      </c>
      <c r="V151" s="126">
        <v>16</v>
      </c>
      <c r="W151" s="127">
        <v>1.18</v>
      </c>
      <c r="X151" s="128">
        <v>0.66800000000000004</v>
      </c>
      <c r="Y151" s="128">
        <v>0.1953</v>
      </c>
      <c r="Z151" s="127">
        <v>0.78</v>
      </c>
      <c r="AA151" s="128">
        <v>7.1800000000000003E-2</v>
      </c>
      <c r="AB151" s="127">
        <v>0.84</v>
      </c>
      <c r="AC151" s="129">
        <v>0.44419999999999998</v>
      </c>
      <c r="AD151" s="128">
        <v>0.35220000000000001</v>
      </c>
      <c r="AE151" s="128">
        <v>0.18329999999999999</v>
      </c>
      <c r="AG151" s="167">
        <v>44197</v>
      </c>
      <c r="AH151" s="173">
        <v>3756</v>
      </c>
      <c r="AI151" s="177">
        <v>9.2999999999999992E-3</v>
      </c>
      <c r="AJ151" s="173">
        <v>187.39</v>
      </c>
      <c r="AK151" s="127">
        <v>127.78</v>
      </c>
      <c r="AL151" s="127">
        <v>98.73</v>
      </c>
      <c r="AM151" s="177">
        <v>5.4199999999999998E-2</v>
      </c>
      <c r="AN151" s="128">
        <v>4.9399999999999999E-2</v>
      </c>
      <c r="AO151" s="175">
        <v>2021</v>
      </c>
    </row>
    <row r="152" spans="14:41" x14ac:dyDescent="0.3">
      <c r="N152" s="168">
        <v>45134</v>
      </c>
      <c r="O152" s="172">
        <v>83.79</v>
      </c>
      <c r="P152" s="83">
        <v>2023</v>
      </c>
      <c r="Q152" s="83">
        <v>7</v>
      </c>
      <c r="R152" s="83" t="s">
        <v>268</v>
      </c>
      <c r="T152" s="83">
        <v>2023</v>
      </c>
      <c r="U152" s="83" t="s">
        <v>438</v>
      </c>
      <c r="V152" s="84">
        <v>4</v>
      </c>
      <c r="W152" s="85">
        <v>0.98</v>
      </c>
      <c r="X152" s="86">
        <v>0.115</v>
      </c>
      <c r="Y152" s="86">
        <v>0.14219999999999999</v>
      </c>
      <c r="Z152" s="85">
        <v>0.9</v>
      </c>
      <c r="AA152" s="86">
        <v>4.9099999999999998E-2</v>
      </c>
      <c r="AB152" s="85">
        <v>0.95</v>
      </c>
      <c r="AC152" s="87">
        <v>0.34410000000000002</v>
      </c>
      <c r="AD152" s="86">
        <v>0.30549999999999999</v>
      </c>
      <c r="AE152" s="86">
        <v>0.97629999999999995</v>
      </c>
      <c r="AG152" s="168">
        <v>44228</v>
      </c>
      <c r="AH152" s="174">
        <v>3714</v>
      </c>
      <c r="AI152" s="178">
        <v>1.11E-2</v>
      </c>
      <c r="AJ152" s="174">
        <v>187.39</v>
      </c>
      <c r="AK152" s="85">
        <v>127.78</v>
      </c>
      <c r="AL152" s="85">
        <v>98.73</v>
      </c>
      <c r="AM152" s="178">
        <v>8.09E-2</v>
      </c>
      <c r="AN152" s="86">
        <v>4.7500000000000001E-2</v>
      </c>
      <c r="AO152" s="176">
        <v>2021</v>
      </c>
    </row>
    <row r="153" spans="14:41" x14ac:dyDescent="0.3">
      <c r="N153" s="167">
        <v>45135</v>
      </c>
      <c r="O153" s="171">
        <v>84.41</v>
      </c>
      <c r="P153" s="125">
        <v>2023</v>
      </c>
      <c r="Q153" s="125">
        <v>7</v>
      </c>
      <c r="R153" s="125" t="s">
        <v>268</v>
      </c>
      <c r="T153" s="125">
        <v>2023</v>
      </c>
      <c r="U153" s="125" t="s">
        <v>498</v>
      </c>
      <c r="V153" s="126">
        <v>174</v>
      </c>
      <c r="W153" s="127">
        <v>1.26</v>
      </c>
      <c r="X153" s="128">
        <v>0.20080000000000001</v>
      </c>
      <c r="Y153" s="128">
        <v>4.5999999999999999E-2</v>
      </c>
      <c r="Z153" s="127">
        <v>1.0900000000000001</v>
      </c>
      <c r="AA153" s="128">
        <v>3.8100000000000002E-2</v>
      </c>
      <c r="AB153" s="127">
        <v>1.1399999999999999</v>
      </c>
      <c r="AC153" s="129">
        <v>0.57899999999999996</v>
      </c>
      <c r="AD153" s="128">
        <v>0.56979999999999997</v>
      </c>
      <c r="AE153" s="128">
        <v>2.3178000000000001</v>
      </c>
      <c r="AG153" s="167">
        <v>44256</v>
      </c>
      <c r="AH153" s="173">
        <v>3811</v>
      </c>
      <c r="AI153" s="177">
        <v>1.43E-2</v>
      </c>
      <c r="AJ153" s="173">
        <v>187.39</v>
      </c>
      <c r="AK153" s="127">
        <v>127.78</v>
      </c>
      <c r="AL153" s="127">
        <v>98.73</v>
      </c>
      <c r="AM153" s="177">
        <v>8.4400000000000003E-2</v>
      </c>
      <c r="AN153" s="128">
        <v>4.5199999999999997E-2</v>
      </c>
      <c r="AO153" s="175">
        <v>2021</v>
      </c>
    </row>
    <row r="154" spans="14:41" x14ac:dyDescent="0.3">
      <c r="N154" s="168">
        <v>45138</v>
      </c>
      <c r="O154" s="172">
        <v>85.43</v>
      </c>
      <c r="P154" s="83">
        <v>2023</v>
      </c>
      <c r="Q154" s="83">
        <v>7</v>
      </c>
      <c r="R154" s="83" t="s">
        <v>268</v>
      </c>
      <c r="T154" s="83">
        <v>2023</v>
      </c>
      <c r="U154" s="83" t="s">
        <v>440</v>
      </c>
      <c r="V154" s="84">
        <v>23</v>
      </c>
      <c r="W154" s="85">
        <v>0.99</v>
      </c>
      <c r="X154" s="86">
        <v>0.71409999999999996</v>
      </c>
      <c r="Y154" s="86">
        <v>6.9000000000000006E-2</v>
      </c>
      <c r="Z154" s="85">
        <v>0.65</v>
      </c>
      <c r="AA154" s="86">
        <v>1.67E-2</v>
      </c>
      <c r="AB154" s="85">
        <v>0.66</v>
      </c>
      <c r="AC154" s="87">
        <v>0.42359999999999998</v>
      </c>
      <c r="AD154" s="86">
        <v>0.33550000000000002</v>
      </c>
      <c r="AE154" s="86">
        <v>0.33560000000000001</v>
      </c>
      <c r="AG154" s="168">
        <v>44287</v>
      </c>
      <c r="AH154" s="174">
        <v>3973</v>
      </c>
      <c r="AI154" s="178">
        <v>1.7500000000000002E-2</v>
      </c>
      <c r="AJ154" s="174">
        <v>193.22</v>
      </c>
      <c r="AK154" s="85">
        <v>118.65</v>
      </c>
      <c r="AL154" s="85">
        <v>108.83</v>
      </c>
      <c r="AM154" s="178">
        <v>8.7599999999999997E-2</v>
      </c>
      <c r="AN154" s="86">
        <v>4.2200000000000001E-2</v>
      </c>
      <c r="AO154" s="176">
        <v>2021</v>
      </c>
    </row>
    <row r="155" spans="14:41" x14ac:dyDescent="0.3">
      <c r="N155" s="167">
        <v>45139</v>
      </c>
      <c r="O155" s="171">
        <v>84.91</v>
      </c>
      <c r="P155" s="125">
        <v>2023</v>
      </c>
      <c r="Q155" s="125">
        <v>8</v>
      </c>
      <c r="R155" s="125" t="s">
        <v>268</v>
      </c>
      <c r="T155" s="125">
        <v>2023</v>
      </c>
      <c r="U155" s="125" t="s">
        <v>499</v>
      </c>
      <c r="V155" s="126">
        <v>101</v>
      </c>
      <c r="W155" s="127">
        <v>1.38</v>
      </c>
      <c r="X155" s="128">
        <v>0.32600000000000001</v>
      </c>
      <c r="Y155" s="128">
        <v>7.0699999999999999E-2</v>
      </c>
      <c r="Z155" s="127">
        <v>1.1000000000000001</v>
      </c>
      <c r="AA155" s="128">
        <v>6.9099999999999995E-2</v>
      </c>
      <c r="AB155" s="127">
        <v>1.19</v>
      </c>
      <c r="AC155" s="129">
        <v>0.5323</v>
      </c>
      <c r="AD155" s="128">
        <v>0.46899999999999997</v>
      </c>
      <c r="AE155" s="128">
        <v>0.67569999999999997</v>
      </c>
      <c r="AG155" s="167">
        <v>44317</v>
      </c>
      <c r="AH155" s="173">
        <v>4182</v>
      </c>
      <c r="AI155" s="177">
        <v>1.6299999999999999E-2</v>
      </c>
      <c r="AJ155" s="173">
        <v>193.22</v>
      </c>
      <c r="AK155" s="127">
        <v>118.65</v>
      </c>
      <c r="AL155" s="127">
        <v>108.83</v>
      </c>
      <c r="AM155" s="177">
        <v>8.9700000000000002E-2</v>
      </c>
      <c r="AN155" s="128">
        <v>4.07E-2</v>
      </c>
      <c r="AO155" s="175">
        <v>2021</v>
      </c>
    </row>
    <row r="156" spans="14:41" x14ac:dyDescent="0.3">
      <c r="N156" s="168">
        <v>45140</v>
      </c>
      <c r="O156" s="172">
        <v>83.2</v>
      </c>
      <c r="P156" s="83">
        <v>2023</v>
      </c>
      <c r="Q156" s="83">
        <v>8</v>
      </c>
      <c r="R156" s="83" t="s">
        <v>268</v>
      </c>
      <c r="T156" s="83">
        <v>2023</v>
      </c>
      <c r="U156" s="83" t="s">
        <v>442</v>
      </c>
      <c r="V156" s="84">
        <v>25</v>
      </c>
      <c r="W156" s="85">
        <v>0.95</v>
      </c>
      <c r="X156" s="86">
        <v>0.61970000000000003</v>
      </c>
      <c r="Y156" s="86">
        <v>0.14660000000000001</v>
      </c>
      <c r="Z156" s="85">
        <v>0.65</v>
      </c>
      <c r="AA156" s="86">
        <v>3.0200000000000001E-2</v>
      </c>
      <c r="AB156" s="85">
        <v>0.67</v>
      </c>
      <c r="AC156" s="87">
        <v>0.36890000000000001</v>
      </c>
      <c r="AD156" s="86">
        <v>0.24429999999999999</v>
      </c>
      <c r="AE156" s="86">
        <v>8.1699999999999995E-2</v>
      </c>
      <c r="AG156" s="168">
        <v>44348</v>
      </c>
      <c r="AH156" s="174">
        <v>4204</v>
      </c>
      <c r="AI156" s="178">
        <v>1.5800000000000002E-2</v>
      </c>
      <c r="AJ156" s="174">
        <v>193.22</v>
      </c>
      <c r="AK156" s="85">
        <v>118.65</v>
      </c>
      <c r="AL156" s="85">
        <v>108.83</v>
      </c>
      <c r="AM156" s="178">
        <v>9.69E-2</v>
      </c>
      <c r="AN156" s="86">
        <v>4.2000000000000003E-2</v>
      </c>
      <c r="AO156" s="176">
        <v>2021</v>
      </c>
    </row>
    <row r="157" spans="14:41" x14ac:dyDescent="0.3">
      <c r="N157" s="167">
        <v>45141</v>
      </c>
      <c r="O157" s="171">
        <v>85.14</v>
      </c>
      <c r="P157" s="125">
        <v>2023</v>
      </c>
      <c r="Q157" s="125">
        <v>8</v>
      </c>
      <c r="R157" s="125" t="s">
        <v>268</v>
      </c>
      <c r="T157" s="125">
        <v>2023</v>
      </c>
      <c r="U157" s="125" t="s">
        <v>443</v>
      </c>
      <c r="V157" s="126">
        <v>7</v>
      </c>
      <c r="W157" s="127">
        <v>1.38</v>
      </c>
      <c r="X157" s="128">
        <v>0.43869999999999998</v>
      </c>
      <c r="Y157" s="128">
        <v>0.12759999999999999</v>
      </c>
      <c r="Z157" s="127">
        <v>1.04</v>
      </c>
      <c r="AA157" s="128">
        <v>7.5700000000000003E-2</v>
      </c>
      <c r="AB157" s="127">
        <v>1.1299999999999999</v>
      </c>
      <c r="AC157" s="129">
        <v>0.60119999999999996</v>
      </c>
      <c r="AD157" s="128">
        <v>0.4284</v>
      </c>
      <c r="AE157" s="128">
        <v>0.92830000000000001</v>
      </c>
      <c r="AG157" s="167">
        <v>44378</v>
      </c>
      <c r="AH157" s="173">
        <v>4298</v>
      </c>
      <c r="AI157" s="177">
        <v>1.47E-2</v>
      </c>
      <c r="AJ157" s="173">
        <v>209</v>
      </c>
      <c r="AK157" s="127">
        <v>116.17</v>
      </c>
      <c r="AL157" s="127">
        <v>110.79</v>
      </c>
      <c r="AM157" s="177">
        <v>9.7900000000000001E-2</v>
      </c>
      <c r="AN157" s="128">
        <v>4.3099999999999999E-2</v>
      </c>
      <c r="AO157" s="175">
        <v>2021</v>
      </c>
    </row>
    <row r="158" spans="14:41" x14ac:dyDescent="0.3">
      <c r="N158" s="168">
        <v>45142</v>
      </c>
      <c r="O158" s="172">
        <v>86.24</v>
      </c>
      <c r="P158" s="83">
        <v>2023</v>
      </c>
      <c r="Q158" s="83">
        <v>8</v>
      </c>
      <c r="R158" s="83" t="s">
        <v>268</v>
      </c>
      <c r="T158" s="83">
        <v>2023</v>
      </c>
      <c r="U158" s="83" t="s">
        <v>444</v>
      </c>
      <c r="V158" s="84">
        <v>48</v>
      </c>
      <c r="W158" s="85">
        <v>0.73</v>
      </c>
      <c r="X158" s="86">
        <v>0.77159999999999995</v>
      </c>
      <c r="Y158" s="86">
        <v>0.123</v>
      </c>
      <c r="Z158" s="85">
        <v>0.46</v>
      </c>
      <c r="AA158" s="86">
        <v>1.03E-2</v>
      </c>
      <c r="AB158" s="85">
        <v>0.46</v>
      </c>
      <c r="AC158" s="87">
        <v>0.25559999999999999</v>
      </c>
      <c r="AD158" s="86">
        <v>0.17180000000000001</v>
      </c>
      <c r="AE158" s="86">
        <v>8.0600000000000005E-2</v>
      </c>
      <c r="AG158" s="168">
        <v>44409</v>
      </c>
      <c r="AH158" s="174">
        <v>4395</v>
      </c>
      <c r="AI158" s="178">
        <v>1.23E-2</v>
      </c>
      <c r="AJ158" s="174">
        <v>209</v>
      </c>
      <c r="AK158" s="85">
        <v>116.17</v>
      </c>
      <c r="AL158" s="85">
        <v>110.79</v>
      </c>
      <c r="AM158" s="178">
        <v>9.7699999999999995E-2</v>
      </c>
      <c r="AN158" s="86">
        <v>4.3099999999999999E-2</v>
      </c>
      <c r="AO158" s="176">
        <v>2021</v>
      </c>
    </row>
    <row r="159" spans="14:41" x14ac:dyDescent="0.3">
      <c r="N159" s="167">
        <v>45145</v>
      </c>
      <c r="O159" s="171">
        <v>85.34</v>
      </c>
      <c r="P159" s="125">
        <v>2023</v>
      </c>
      <c r="Q159" s="125">
        <v>8</v>
      </c>
      <c r="R159" s="125" t="s">
        <v>268</v>
      </c>
      <c r="T159" s="125">
        <v>2023</v>
      </c>
      <c r="U159" s="125" t="s">
        <v>445</v>
      </c>
      <c r="V159" s="126">
        <v>74</v>
      </c>
      <c r="W159" s="127">
        <v>1.23</v>
      </c>
      <c r="X159" s="128">
        <v>0.1633</v>
      </c>
      <c r="Y159" s="128">
        <v>2.87E-2</v>
      </c>
      <c r="Z159" s="127">
        <v>1.1000000000000001</v>
      </c>
      <c r="AA159" s="128">
        <v>7.4300000000000005E-2</v>
      </c>
      <c r="AB159" s="127">
        <v>1.19</v>
      </c>
      <c r="AC159" s="129">
        <v>0.69469999999999998</v>
      </c>
      <c r="AD159" s="128">
        <v>0.72540000000000004</v>
      </c>
      <c r="AE159" s="128">
        <v>0.70820000000000005</v>
      </c>
      <c r="AG159" s="167">
        <v>44440</v>
      </c>
      <c r="AH159" s="173">
        <v>4523</v>
      </c>
      <c r="AI159" s="177">
        <v>1.3100000000000001E-2</v>
      </c>
      <c r="AJ159" s="173">
        <v>209</v>
      </c>
      <c r="AK159" s="127">
        <v>116.17</v>
      </c>
      <c r="AL159" s="127">
        <v>110.79</v>
      </c>
      <c r="AM159" s="177">
        <v>0.1231</v>
      </c>
      <c r="AN159" s="128">
        <v>4.6100000000000002E-2</v>
      </c>
      <c r="AO159" s="175">
        <v>2021</v>
      </c>
    </row>
    <row r="160" spans="14:41" x14ac:dyDescent="0.3">
      <c r="N160" s="168">
        <v>45146</v>
      </c>
      <c r="O160" s="172">
        <v>86.17</v>
      </c>
      <c r="P160" s="83">
        <v>2023</v>
      </c>
      <c r="Q160" s="83">
        <v>8</v>
      </c>
      <c r="R160" s="83" t="s">
        <v>268</v>
      </c>
      <c r="T160" s="83">
        <v>2023</v>
      </c>
      <c r="U160" s="83" t="s">
        <v>492</v>
      </c>
      <c r="V160" s="84">
        <v>20</v>
      </c>
      <c r="W160" s="85">
        <v>1.1100000000000001</v>
      </c>
      <c r="X160" s="86">
        <v>0.42180000000000001</v>
      </c>
      <c r="Y160" s="86">
        <v>9.6699999999999994E-2</v>
      </c>
      <c r="Z160" s="85">
        <v>0.85</v>
      </c>
      <c r="AA160" s="86">
        <v>7.3499999999999996E-2</v>
      </c>
      <c r="AB160" s="85">
        <v>0.91</v>
      </c>
      <c r="AC160" s="87">
        <v>0.4607</v>
      </c>
      <c r="AD160" s="86">
        <v>0.30919999999999997</v>
      </c>
      <c r="AE160" s="86">
        <v>0.1203</v>
      </c>
      <c r="AG160" s="168">
        <v>44470</v>
      </c>
      <c r="AH160" s="174">
        <v>4308</v>
      </c>
      <c r="AI160" s="178">
        <v>1.52E-2</v>
      </c>
      <c r="AJ160" s="174">
        <v>209.49</v>
      </c>
      <c r="AK160" s="85">
        <v>129.76</v>
      </c>
      <c r="AL160" s="85">
        <v>112.58</v>
      </c>
      <c r="AM160" s="178">
        <v>0.123</v>
      </c>
      <c r="AN160" s="86">
        <v>4.8399999999999999E-2</v>
      </c>
      <c r="AO160" s="176">
        <v>2021</v>
      </c>
    </row>
    <row r="161" spans="14:41" x14ac:dyDescent="0.3">
      <c r="N161" s="167">
        <v>45147</v>
      </c>
      <c r="O161" s="171">
        <v>87.55</v>
      </c>
      <c r="P161" s="125">
        <v>2023</v>
      </c>
      <c r="Q161" s="125">
        <v>8</v>
      </c>
      <c r="R161" s="125" t="s">
        <v>268</v>
      </c>
      <c r="T161" s="125">
        <v>2023</v>
      </c>
      <c r="U161" s="125" t="s">
        <v>500</v>
      </c>
      <c r="V161" s="126">
        <v>223</v>
      </c>
      <c r="W161" s="127">
        <v>1.06</v>
      </c>
      <c r="X161" s="128">
        <v>0.77329999999999999</v>
      </c>
      <c r="Y161" s="128">
        <v>3.3799999999999997E-2</v>
      </c>
      <c r="Z161" s="127">
        <v>0.67</v>
      </c>
      <c r="AA161" s="128">
        <v>1.83E-2</v>
      </c>
      <c r="AB161" s="127">
        <v>0.69</v>
      </c>
      <c r="AC161" s="129">
        <v>0.30830000000000002</v>
      </c>
      <c r="AD161" s="128">
        <v>0.21540000000000001</v>
      </c>
      <c r="AE161" s="128">
        <v>0.2059</v>
      </c>
      <c r="AG161" s="167">
        <v>44501</v>
      </c>
      <c r="AH161" s="173">
        <v>4605</v>
      </c>
      <c r="AI161" s="177">
        <v>1.5599999999999999E-2</v>
      </c>
      <c r="AJ161" s="173">
        <v>209.49</v>
      </c>
      <c r="AK161" s="127">
        <v>129.76</v>
      </c>
      <c r="AL161" s="127">
        <v>112.58</v>
      </c>
      <c r="AM161" s="177">
        <v>0.1239</v>
      </c>
      <c r="AN161" s="128">
        <v>4.53E-2</v>
      </c>
      <c r="AO161" s="175">
        <v>2021</v>
      </c>
    </row>
    <row r="162" spans="14:41" x14ac:dyDescent="0.3">
      <c r="N162" s="168">
        <v>45148</v>
      </c>
      <c r="O162" s="172">
        <v>86.4</v>
      </c>
      <c r="P162" s="83">
        <v>2023</v>
      </c>
      <c r="Q162" s="83">
        <v>8</v>
      </c>
      <c r="R162" s="83" t="s">
        <v>268</v>
      </c>
      <c r="T162" s="83">
        <v>2023</v>
      </c>
      <c r="U162" s="83" t="s">
        <v>447</v>
      </c>
      <c r="V162" s="84">
        <v>18</v>
      </c>
      <c r="W162" s="85">
        <v>1.52</v>
      </c>
      <c r="X162" s="86">
        <v>1.1255999999999999</v>
      </c>
      <c r="Y162" s="86">
        <v>6.6600000000000006E-2</v>
      </c>
      <c r="Z162" s="85">
        <v>0.82</v>
      </c>
      <c r="AA162" s="86">
        <v>6.9500000000000006E-2</v>
      </c>
      <c r="AB162" s="85">
        <v>0.88</v>
      </c>
      <c r="AC162" s="87">
        <v>0.59360000000000002</v>
      </c>
      <c r="AD162" s="86">
        <v>0.51249999999999996</v>
      </c>
      <c r="AE162" s="86">
        <v>0.69869999999999999</v>
      </c>
      <c r="AG162" s="168">
        <v>44531</v>
      </c>
      <c r="AH162" s="174">
        <v>4567</v>
      </c>
      <c r="AI162" s="178">
        <v>1.4500000000000001E-2</v>
      </c>
      <c r="AJ162" s="174">
        <v>209.49</v>
      </c>
      <c r="AK162" s="85">
        <v>129.76</v>
      </c>
      <c r="AL162" s="85">
        <v>112.58</v>
      </c>
      <c r="AM162" s="178">
        <v>0.13200000000000001</v>
      </c>
      <c r="AN162" s="86">
        <v>4.7699999999999999E-2</v>
      </c>
      <c r="AO162" s="176">
        <v>2021</v>
      </c>
    </row>
    <row r="163" spans="14:41" x14ac:dyDescent="0.3">
      <c r="N163" s="167">
        <v>45149</v>
      </c>
      <c r="O163" s="171">
        <v>86.81</v>
      </c>
      <c r="P163" s="125">
        <v>2023</v>
      </c>
      <c r="Q163" s="125">
        <v>8</v>
      </c>
      <c r="R163" s="125" t="s">
        <v>268</v>
      </c>
      <c r="T163" s="125">
        <v>2023</v>
      </c>
      <c r="U163" s="125" t="s">
        <v>484</v>
      </c>
      <c r="V163" s="126">
        <v>12</v>
      </c>
      <c r="W163" s="127">
        <v>0.79</v>
      </c>
      <c r="X163" s="128">
        <v>0.3982</v>
      </c>
      <c r="Y163" s="128">
        <v>9.3700000000000006E-2</v>
      </c>
      <c r="Z163" s="127">
        <v>0.61</v>
      </c>
      <c r="AA163" s="128">
        <v>8.5400000000000004E-2</v>
      </c>
      <c r="AB163" s="127">
        <v>0.66</v>
      </c>
      <c r="AC163" s="129">
        <v>0.52649999999999997</v>
      </c>
      <c r="AD163" s="128">
        <v>0.28660000000000002</v>
      </c>
      <c r="AE163" s="128">
        <v>1.1189</v>
      </c>
      <c r="AG163" s="167">
        <v>44562</v>
      </c>
      <c r="AH163" s="173">
        <v>4766</v>
      </c>
      <c r="AI163" s="177">
        <v>1.5100000000000001E-2</v>
      </c>
      <c r="AJ163" s="173">
        <v>231.8</v>
      </c>
      <c r="AK163" s="127">
        <v>147.24</v>
      </c>
      <c r="AL163" s="127">
        <v>113.62</v>
      </c>
      <c r="AM163" s="177">
        <v>6.4699999999999994E-2</v>
      </c>
      <c r="AN163" s="128">
        <v>4.9000000000000002E-2</v>
      </c>
      <c r="AO163" s="175">
        <v>2022</v>
      </c>
    </row>
    <row r="164" spans="14:41" x14ac:dyDescent="0.3">
      <c r="N164" s="168">
        <v>45152</v>
      </c>
      <c r="O164" s="172">
        <v>85.51</v>
      </c>
      <c r="P164" s="83">
        <v>2023</v>
      </c>
      <c r="Q164" s="83">
        <v>8</v>
      </c>
      <c r="R164" s="83" t="s">
        <v>268</v>
      </c>
      <c r="T164" s="83">
        <v>2023</v>
      </c>
      <c r="U164" s="83" t="s">
        <v>448</v>
      </c>
      <c r="V164" s="84">
        <v>60</v>
      </c>
      <c r="W164" s="85">
        <v>1.35</v>
      </c>
      <c r="X164" s="86">
        <v>1.0926</v>
      </c>
      <c r="Y164" s="86">
        <v>5.4699999999999999E-2</v>
      </c>
      <c r="Z164" s="85">
        <v>0.74</v>
      </c>
      <c r="AA164" s="86">
        <v>8.14E-2</v>
      </c>
      <c r="AB164" s="85">
        <v>0.81</v>
      </c>
      <c r="AC164" s="87">
        <v>0.53690000000000004</v>
      </c>
      <c r="AD164" s="86">
        <v>0.44429999999999997</v>
      </c>
      <c r="AE164" s="86">
        <v>1.2181999999999999</v>
      </c>
      <c r="AG164" s="168">
        <v>44593</v>
      </c>
      <c r="AH164" s="174">
        <v>4515</v>
      </c>
      <c r="AI164" s="178">
        <v>1.7899999999999999E-2</v>
      </c>
      <c r="AJ164" s="174">
        <v>23.18</v>
      </c>
      <c r="AK164" s="85">
        <v>147.24</v>
      </c>
      <c r="AL164" s="85">
        <v>113.62</v>
      </c>
      <c r="AM164" s="178">
        <v>7.1499999999999994E-2</v>
      </c>
      <c r="AN164" s="86">
        <v>5.1700000000000003E-2</v>
      </c>
      <c r="AO164" s="176">
        <v>2022</v>
      </c>
    </row>
    <row r="165" spans="14:41" x14ac:dyDescent="0.3">
      <c r="N165" s="167">
        <v>45153</v>
      </c>
      <c r="O165" s="171">
        <v>84.28</v>
      </c>
      <c r="P165" s="125">
        <v>2023</v>
      </c>
      <c r="Q165" s="125">
        <v>8</v>
      </c>
      <c r="R165" s="125" t="s">
        <v>268</v>
      </c>
      <c r="T165" s="125">
        <v>2023</v>
      </c>
      <c r="U165" s="125" t="s">
        <v>449</v>
      </c>
      <c r="V165" s="126">
        <v>57</v>
      </c>
      <c r="W165" s="127">
        <v>1.42</v>
      </c>
      <c r="X165" s="128">
        <v>0.52059999999999995</v>
      </c>
      <c r="Y165" s="128">
        <v>9.4899999999999998E-2</v>
      </c>
      <c r="Z165" s="127">
        <v>1.02</v>
      </c>
      <c r="AA165" s="128">
        <v>5.1799999999999999E-2</v>
      </c>
      <c r="AB165" s="127">
        <v>1.08</v>
      </c>
      <c r="AC165" s="129">
        <v>0.59389999999999998</v>
      </c>
      <c r="AD165" s="128">
        <v>0.42130000000000001</v>
      </c>
      <c r="AE165" s="128">
        <v>0.183</v>
      </c>
      <c r="AG165" s="167">
        <v>44621</v>
      </c>
      <c r="AH165" s="173">
        <v>4374</v>
      </c>
      <c r="AI165" s="177">
        <v>1.83E-2</v>
      </c>
      <c r="AJ165" s="173">
        <v>231.8</v>
      </c>
      <c r="AK165" s="127">
        <v>147.24</v>
      </c>
      <c r="AL165" s="127">
        <v>113.62</v>
      </c>
      <c r="AM165" s="177">
        <v>7.17E-2</v>
      </c>
      <c r="AN165" s="128">
        <v>5.3699999999999998E-2</v>
      </c>
      <c r="AO165" s="175">
        <v>2022</v>
      </c>
    </row>
    <row r="166" spans="14:41" x14ac:dyDescent="0.3">
      <c r="N166" s="168">
        <v>45154</v>
      </c>
      <c r="O166" s="172">
        <v>83.02</v>
      </c>
      <c r="P166" s="83">
        <v>2023</v>
      </c>
      <c r="Q166" s="83">
        <v>8</v>
      </c>
      <c r="R166" s="83" t="s">
        <v>268</v>
      </c>
      <c r="T166" s="83">
        <v>2023</v>
      </c>
      <c r="U166" s="83" t="s">
        <v>450</v>
      </c>
      <c r="V166" s="84">
        <v>1</v>
      </c>
      <c r="W166" s="85">
        <v>0.83</v>
      </c>
      <c r="X166" s="86">
        <v>0.45100000000000001</v>
      </c>
      <c r="Y166" s="86">
        <v>6.4799999999999996E-2</v>
      </c>
      <c r="Z166" s="85">
        <v>0.62</v>
      </c>
      <c r="AA166" s="86">
        <v>0.25490000000000002</v>
      </c>
      <c r="AB166" s="85">
        <v>0.83</v>
      </c>
      <c r="AC166" s="87">
        <v>0.20760000000000001</v>
      </c>
      <c r="AD166" s="86">
        <v>0.19370000000000001</v>
      </c>
      <c r="AE166" s="86">
        <v>0.2177</v>
      </c>
      <c r="AG166" s="168">
        <v>44652</v>
      </c>
      <c r="AH166" s="174">
        <v>4530</v>
      </c>
      <c r="AI166" s="178">
        <v>2.3300000000000001E-2</v>
      </c>
      <c r="AJ166" s="174">
        <v>210.4</v>
      </c>
      <c r="AK166" s="85">
        <v>165.26</v>
      </c>
      <c r="AL166" s="85">
        <v>126.32</v>
      </c>
      <c r="AM166" s="178">
        <v>7.3700000000000002E-2</v>
      </c>
      <c r="AN166" s="86">
        <v>0.05</v>
      </c>
      <c r="AO166" s="176">
        <v>2022</v>
      </c>
    </row>
    <row r="167" spans="14:41" x14ac:dyDescent="0.3">
      <c r="N167" s="167">
        <v>45155</v>
      </c>
      <c r="O167" s="171">
        <v>83.67</v>
      </c>
      <c r="P167" s="125">
        <v>2023</v>
      </c>
      <c r="Q167" s="125">
        <v>8</v>
      </c>
      <c r="R167" s="125" t="s">
        <v>268</v>
      </c>
      <c r="T167" s="125">
        <v>2023</v>
      </c>
      <c r="U167" s="125" t="s">
        <v>485</v>
      </c>
      <c r="V167" s="126">
        <v>70</v>
      </c>
      <c r="W167" s="127">
        <v>1.41</v>
      </c>
      <c r="X167" s="128">
        <v>0.30780000000000002</v>
      </c>
      <c r="Y167" s="128">
        <v>8.5400000000000004E-2</v>
      </c>
      <c r="Z167" s="127">
        <v>1.1499999999999999</v>
      </c>
      <c r="AA167" s="128">
        <v>1.72E-2</v>
      </c>
      <c r="AB167" s="127">
        <v>1.17</v>
      </c>
      <c r="AC167" s="129">
        <v>0.47489999999999999</v>
      </c>
      <c r="AD167" s="128">
        <v>0.41149999999999998</v>
      </c>
      <c r="AE167" s="128">
        <v>0.16309999999999999</v>
      </c>
      <c r="AG167" s="167">
        <v>44682</v>
      </c>
      <c r="AH167" s="173">
        <v>4132</v>
      </c>
      <c r="AI167" s="177">
        <v>2.8899999999999999E-2</v>
      </c>
      <c r="AJ167" s="173">
        <v>210.4</v>
      </c>
      <c r="AK167" s="127">
        <v>165.26</v>
      </c>
      <c r="AL167" s="127">
        <v>126.32</v>
      </c>
      <c r="AM167" s="177">
        <v>7.6700000000000004E-2</v>
      </c>
      <c r="AN167" s="128">
        <v>5.2299999999999999E-2</v>
      </c>
      <c r="AO167" s="175">
        <v>2022</v>
      </c>
    </row>
    <row r="168" spans="14:41" x14ac:dyDescent="0.3">
      <c r="N168" s="168">
        <v>45156</v>
      </c>
      <c r="O168" s="172">
        <v>84.36</v>
      </c>
      <c r="P168" s="83">
        <v>2023</v>
      </c>
      <c r="Q168" s="83">
        <v>8</v>
      </c>
      <c r="R168" s="83" t="s">
        <v>268</v>
      </c>
      <c r="T168" s="83">
        <v>2023</v>
      </c>
      <c r="U168" s="83" t="s">
        <v>451</v>
      </c>
      <c r="V168" s="84">
        <v>30</v>
      </c>
      <c r="W168" s="85">
        <v>1.52</v>
      </c>
      <c r="X168" s="86">
        <v>0.57489999999999997</v>
      </c>
      <c r="Y168" s="86">
        <v>0.15840000000000001</v>
      </c>
      <c r="Z168" s="85">
        <v>1.06</v>
      </c>
      <c r="AA168" s="86">
        <v>1.89E-2</v>
      </c>
      <c r="AB168" s="85">
        <v>1.08</v>
      </c>
      <c r="AC168" s="87">
        <v>0.49580000000000002</v>
      </c>
      <c r="AD168" s="86">
        <v>0.35709999999999997</v>
      </c>
      <c r="AE168" s="86">
        <v>0.31380000000000002</v>
      </c>
      <c r="AG168" s="168">
        <v>44713</v>
      </c>
      <c r="AH168" s="174">
        <v>4132</v>
      </c>
      <c r="AI168" s="178">
        <v>2.86E-2</v>
      </c>
      <c r="AJ168" s="174">
        <v>210.4</v>
      </c>
      <c r="AK168" s="85">
        <v>165.26</v>
      </c>
      <c r="AL168" s="85">
        <v>126.32</v>
      </c>
      <c r="AM168" s="178">
        <v>7.2999999999999995E-2</v>
      </c>
      <c r="AN168" s="86">
        <v>5.1700000000000003E-2</v>
      </c>
      <c r="AO168" s="176">
        <v>2022</v>
      </c>
    </row>
    <row r="169" spans="14:41" x14ac:dyDescent="0.3">
      <c r="N169" s="167">
        <v>45159</v>
      </c>
      <c r="O169" s="171">
        <v>84.09</v>
      </c>
      <c r="P169" s="125">
        <v>2023</v>
      </c>
      <c r="Q169" s="125">
        <v>8</v>
      </c>
      <c r="R169" s="125" t="s">
        <v>268</v>
      </c>
      <c r="T169" s="125">
        <v>2023</v>
      </c>
      <c r="U169" s="125" t="s">
        <v>452</v>
      </c>
      <c r="V169" s="126">
        <v>15</v>
      </c>
      <c r="W169" s="127">
        <v>1.79</v>
      </c>
      <c r="X169" s="128">
        <v>0.21210000000000001</v>
      </c>
      <c r="Y169" s="128">
        <v>0.13389999999999999</v>
      </c>
      <c r="Z169" s="127">
        <v>1.54</v>
      </c>
      <c r="AA169" s="128">
        <v>1.4999999999999999E-2</v>
      </c>
      <c r="AB169" s="127">
        <v>1.57</v>
      </c>
      <c r="AC169" s="129">
        <v>0.4708</v>
      </c>
      <c r="AD169" s="128">
        <v>0.3755</v>
      </c>
      <c r="AE169" s="128">
        <v>0.3382</v>
      </c>
      <c r="AG169" s="167">
        <v>44743</v>
      </c>
      <c r="AH169" s="173">
        <v>3785</v>
      </c>
      <c r="AI169" s="177">
        <v>3.0200000000000001E-2</v>
      </c>
      <c r="AJ169" s="173">
        <v>175.8</v>
      </c>
      <c r="AK169" s="127">
        <v>191.83</v>
      </c>
      <c r="AL169" s="127">
        <v>126.44</v>
      </c>
      <c r="AM169" s="177">
        <v>7.7899999999999997E-2</v>
      </c>
      <c r="AN169" s="128">
        <v>5.6899999999999999E-2</v>
      </c>
      <c r="AO169" s="175">
        <v>2022</v>
      </c>
    </row>
    <row r="170" spans="14:41" x14ac:dyDescent="0.3">
      <c r="N170" s="168">
        <v>45160</v>
      </c>
      <c r="O170" s="172">
        <v>83.69</v>
      </c>
      <c r="P170" s="83">
        <v>2023</v>
      </c>
      <c r="Q170" s="83">
        <v>8</v>
      </c>
      <c r="R170" s="83" t="s">
        <v>268</v>
      </c>
      <c r="T170" s="83">
        <v>2023</v>
      </c>
      <c r="U170" s="83" t="s">
        <v>453</v>
      </c>
      <c r="V170" s="84">
        <v>69</v>
      </c>
      <c r="W170" s="85">
        <v>1.28</v>
      </c>
      <c r="X170" s="86">
        <v>0.3957</v>
      </c>
      <c r="Y170" s="86">
        <v>0.13589999999999999</v>
      </c>
      <c r="Z170" s="85">
        <v>0.98</v>
      </c>
      <c r="AA170" s="86">
        <v>2.2499999999999999E-2</v>
      </c>
      <c r="AB170" s="85">
        <v>1.01</v>
      </c>
      <c r="AC170" s="87">
        <v>0.46189999999999998</v>
      </c>
      <c r="AD170" s="86">
        <v>0.37080000000000002</v>
      </c>
      <c r="AE170" s="86">
        <v>0.2535</v>
      </c>
      <c r="AG170" s="168">
        <v>44774</v>
      </c>
      <c r="AH170" s="174">
        <v>4130</v>
      </c>
      <c r="AI170" s="178">
        <v>2.6499999999999999E-2</v>
      </c>
      <c r="AJ170" s="174">
        <v>175.8</v>
      </c>
      <c r="AK170" s="85">
        <v>191.83</v>
      </c>
      <c r="AL170" s="85">
        <v>126.44</v>
      </c>
      <c r="AM170" s="178">
        <v>7.0699999999999999E-2</v>
      </c>
      <c r="AN170" s="86">
        <v>5.2600000000000001E-2</v>
      </c>
      <c r="AO170" s="176">
        <v>2022</v>
      </c>
    </row>
    <row r="171" spans="14:41" x14ac:dyDescent="0.3">
      <c r="N171" s="167">
        <v>45161</v>
      </c>
      <c r="O171" s="171">
        <v>82.84</v>
      </c>
      <c r="P171" s="125">
        <v>2023</v>
      </c>
      <c r="Q171" s="125">
        <v>8</v>
      </c>
      <c r="R171" s="125" t="s">
        <v>268</v>
      </c>
      <c r="T171" s="125">
        <v>2023</v>
      </c>
      <c r="U171" s="125" t="s">
        <v>454</v>
      </c>
      <c r="V171" s="126">
        <v>15</v>
      </c>
      <c r="W171" s="127">
        <v>1.36</v>
      </c>
      <c r="X171" s="128">
        <v>0.19969999999999999</v>
      </c>
      <c r="Y171" s="128">
        <v>0.21260000000000001</v>
      </c>
      <c r="Z171" s="127">
        <v>1.19</v>
      </c>
      <c r="AA171" s="128">
        <v>2.8199999999999999E-2</v>
      </c>
      <c r="AB171" s="127">
        <v>1.22</v>
      </c>
      <c r="AC171" s="129">
        <v>0.34599999999999997</v>
      </c>
      <c r="AD171" s="128">
        <v>0.31530000000000002</v>
      </c>
      <c r="AE171" s="128">
        <v>0.1108</v>
      </c>
      <c r="AG171" s="167">
        <v>44805</v>
      </c>
      <c r="AH171" s="173">
        <v>3955</v>
      </c>
      <c r="AI171" s="177">
        <v>3.1899999999999998E-2</v>
      </c>
      <c r="AJ171" s="173">
        <v>175.8</v>
      </c>
      <c r="AK171" s="127">
        <v>191.83</v>
      </c>
      <c r="AL171" s="127">
        <v>126.44</v>
      </c>
      <c r="AM171" s="177">
        <v>6.6199999999999995E-2</v>
      </c>
      <c r="AN171" s="128">
        <v>5.0999999999999997E-2</v>
      </c>
      <c r="AO171" s="175">
        <v>2022</v>
      </c>
    </row>
    <row r="172" spans="14:41" x14ac:dyDescent="0.3">
      <c r="N172" s="168">
        <v>45162</v>
      </c>
      <c r="O172" s="172">
        <v>82.92</v>
      </c>
      <c r="P172" s="83">
        <v>2023</v>
      </c>
      <c r="Q172" s="83">
        <v>8</v>
      </c>
      <c r="R172" s="83" t="s">
        <v>268</v>
      </c>
      <c r="T172" s="83">
        <v>2023</v>
      </c>
      <c r="U172" s="83" t="s">
        <v>455</v>
      </c>
      <c r="V172" s="84">
        <v>13</v>
      </c>
      <c r="W172" s="85">
        <v>0.67</v>
      </c>
      <c r="X172" s="86">
        <v>0.65820000000000001</v>
      </c>
      <c r="Y172" s="86">
        <v>0.16450000000000001</v>
      </c>
      <c r="Z172" s="85">
        <v>0.45</v>
      </c>
      <c r="AA172" s="86">
        <v>5.5399999999999998E-2</v>
      </c>
      <c r="AB172" s="85">
        <v>0.47</v>
      </c>
      <c r="AC172" s="87">
        <v>0.44429999999999997</v>
      </c>
      <c r="AD172" s="86">
        <v>0.28260000000000002</v>
      </c>
      <c r="AE172" s="86">
        <v>0.28499999999999998</v>
      </c>
      <c r="AG172" s="168">
        <v>44835</v>
      </c>
      <c r="AH172" s="174">
        <v>3596</v>
      </c>
      <c r="AI172" s="178">
        <v>3.8199999999999998E-2</v>
      </c>
      <c r="AJ172" s="174">
        <v>166.5</v>
      </c>
      <c r="AK172" s="85">
        <v>183.6</v>
      </c>
      <c r="AL172" s="85">
        <v>126.1</v>
      </c>
      <c r="AM172" s="178">
        <v>6.7199999999999996E-2</v>
      </c>
      <c r="AN172" s="86">
        <v>5.2999999999999999E-2</v>
      </c>
      <c r="AO172" s="176">
        <v>2022</v>
      </c>
    </row>
    <row r="173" spans="14:41" x14ac:dyDescent="0.3">
      <c r="N173" s="167">
        <v>45163</v>
      </c>
      <c r="O173" s="171">
        <v>83.95</v>
      </c>
      <c r="P173" s="125">
        <v>2023</v>
      </c>
      <c r="Q173" s="125">
        <v>8</v>
      </c>
      <c r="R173" s="125" t="s">
        <v>268</v>
      </c>
      <c r="T173" s="125">
        <v>2023</v>
      </c>
      <c r="U173" s="125" t="s">
        <v>486</v>
      </c>
      <c r="V173" s="126">
        <v>63</v>
      </c>
      <c r="W173" s="127">
        <v>1.49</v>
      </c>
      <c r="X173" s="128">
        <v>0.19170000000000001</v>
      </c>
      <c r="Y173" s="128">
        <v>4.0899999999999999E-2</v>
      </c>
      <c r="Z173" s="127">
        <v>1.3</v>
      </c>
      <c r="AA173" s="128">
        <v>4.1200000000000001E-2</v>
      </c>
      <c r="AB173" s="127">
        <v>1.36</v>
      </c>
      <c r="AC173" s="129">
        <v>0.70250000000000001</v>
      </c>
      <c r="AD173" s="128">
        <v>0.59409999999999996</v>
      </c>
      <c r="AE173" s="128">
        <v>0.77429999999999999</v>
      </c>
      <c r="AG173" s="167">
        <v>44866</v>
      </c>
      <c r="AH173" s="173">
        <v>3872</v>
      </c>
      <c r="AI173" s="177">
        <v>4.0500000000000001E-2</v>
      </c>
      <c r="AJ173" s="173">
        <v>166.5</v>
      </c>
      <c r="AK173" s="127">
        <v>183.6</v>
      </c>
      <c r="AL173" s="127">
        <v>126.1</v>
      </c>
      <c r="AM173" s="177">
        <v>5.7500000000000002E-2</v>
      </c>
      <c r="AN173" s="128">
        <v>4.5900000000000003E-2</v>
      </c>
      <c r="AO173" s="175">
        <v>2022</v>
      </c>
    </row>
    <row r="174" spans="14:41" x14ac:dyDescent="0.3">
      <c r="N174" s="168">
        <v>45166</v>
      </c>
      <c r="O174" s="172">
        <v>83.87</v>
      </c>
      <c r="P174" s="83">
        <v>2023</v>
      </c>
      <c r="Q174" s="83">
        <v>8</v>
      </c>
      <c r="R174" s="83" t="s">
        <v>268</v>
      </c>
      <c r="T174" s="83">
        <v>2023</v>
      </c>
      <c r="U174" s="83" t="s">
        <v>456</v>
      </c>
      <c r="V174" s="84">
        <v>78</v>
      </c>
      <c r="W174" s="85">
        <v>1.48</v>
      </c>
      <c r="X174" s="86">
        <v>0.3916</v>
      </c>
      <c r="Y174" s="86">
        <v>0.1502</v>
      </c>
      <c r="Z174" s="85">
        <v>1.1399999999999999</v>
      </c>
      <c r="AA174" s="86">
        <v>0.04</v>
      </c>
      <c r="AB174" s="85">
        <v>1.19</v>
      </c>
      <c r="AC174" s="87">
        <v>0.50880000000000003</v>
      </c>
      <c r="AD174" s="86">
        <v>0.38590000000000002</v>
      </c>
      <c r="AE174" s="86">
        <v>0.22320000000000001</v>
      </c>
      <c r="AG174" s="168">
        <v>44896</v>
      </c>
      <c r="AH174" s="174">
        <v>4080</v>
      </c>
      <c r="AI174" s="178">
        <v>3.61E-2</v>
      </c>
      <c r="AJ174" s="174">
        <v>166.5</v>
      </c>
      <c r="AK174" s="85">
        <v>183.6</v>
      </c>
      <c r="AL174" s="85">
        <v>126.1</v>
      </c>
      <c r="AM174" s="178">
        <v>5.6599999999999998E-2</v>
      </c>
      <c r="AN174" s="86">
        <v>4.5499999999999999E-2</v>
      </c>
      <c r="AO174" s="176">
        <v>2022</v>
      </c>
    </row>
    <row r="175" spans="14:41" x14ac:dyDescent="0.3">
      <c r="N175" s="167">
        <v>45167</v>
      </c>
      <c r="O175" s="171">
        <v>84.91</v>
      </c>
      <c r="P175" s="125">
        <v>2023</v>
      </c>
      <c r="Q175" s="125">
        <v>8</v>
      </c>
      <c r="R175" s="125" t="s">
        <v>268</v>
      </c>
      <c r="T175" s="125">
        <v>2023</v>
      </c>
      <c r="U175" s="125" t="s">
        <v>457</v>
      </c>
      <c r="V175" s="126">
        <v>3</v>
      </c>
      <c r="W175" s="127">
        <v>0.84</v>
      </c>
      <c r="X175" s="128">
        <v>3.3033000000000001</v>
      </c>
      <c r="Y175" s="128">
        <v>0</v>
      </c>
      <c r="Z175" s="127">
        <v>0.24</v>
      </c>
      <c r="AA175" s="128">
        <v>9.9699999999999997E-2</v>
      </c>
      <c r="AB175" s="127">
        <v>0.27</v>
      </c>
      <c r="AC175" s="129">
        <v>0.45029999999999998</v>
      </c>
      <c r="AD175" s="128">
        <v>0.39789999999999998</v>
      </c>
      <c r="AE175" s="128">
        <v>0.50670000000000004</v>
      </c>
      <c r="AG175" s="167">
        <v>44927</v>
      </c>
      <c r="AH175" s="173">
        <v>3840</v>
      </c>
      <c r="AI175" s="177">
        <v>3.8800000000000001E-2</v>
      </c>
      <c r="AJ175" s="173">
        <v>179.21</v>
      </c>
      <c r="AK175" s="127">
        <v>181.66</v>
      </c>
      <c r="AL175" s="127">
        <v>147.57</v>
      </c>
      <c r="AM175" s="177">
        <v>6.4100000000000004E-2</v>
      </c>
      <c r="AN175" s="128">
        <v>5.11E-2</v>
      </c>
      <c r="AO175" s="175">
        <v>2023</v>
      </c>
    </row>
    <row r="176" spans="14:41" x14ac:dyDescent="0.3">
      <c r="N176" s="168">
        <v>45168</v>
      </c>
      <c r="O176" s="172">
        <v>85.24</v>
      </c>
      <c r="P176" s="83">
        <v>2023</v>
      </c>
      <c r="Q176" s="83">
        <v>8</v>
      </c>
      <c r="R176" s="83" t="s">
        <v>268</v>
      </c>
      <c r="T176" s="83">
        <v>2023</v>
      </c>
      <c r="U176" s="83" t="s">
        <v>458</v>
      </c>
      <c r="V176" s="84">
        <v>68</v>
      </c>
      <c r="W176" s="85">
        <v>1.61</v>
      </c>
      <c r="X176" s="86">
        <v>0.11269999999999999</v>
      </c>
      <c r="Y176" s="86">
        <v>8.1799999999999998E-2</v>
      </c>
      <c r="Z176" s="85">
        <v>1.48</v>
      </c>
      <c r="AA176" s="86">
        <v>3.3700000000000001E-2</v>
      </c>
      <c r="AB176" s="85">
        <v>1.53</v>
      </c>
      <c r="AC176" s="87">
        <v>0.48930000000000001</v>
      </c>
      <c r="AD176" s="86">
        <v>0.38400000000000001</v>
      </c>
      <c r="AE176" s="86">
        <v>0.38440000000000002</v>
      </c>
      <c r="AG176" s="168">
        <v>44958</v>
      </c>
      <c r="AH176" s="174">
        <v>4077</v>
      </c>
      <c r="AI176" s="178">
        <v>3.5200000000000002E-2</v>
      </c>
      <c r="AJ176" s="174">
        <v>179.21</v>
      </c>
      <c r="AK176" s="85">
        <v>181.66</v>
      </c>
      <c r="AL176" s="85">
        <v>147.57</v>
      </c>
      <c r="AM176" s="178">
        <v>5.9200000000000003E-2</v>
      </c>
      <c r="AN176" s="86">
        <v>4.8899999999999999E-2</v>
      </c>
      <c r="AO176" s="176">
        <v>2023</v>
      </c>
    </row>
    <row r="177" spans="14:44" x14ac:dyDescent="0.3">
      <c r="N177" s="167">
        <v>45169</v>
      </c>
      <c r="O177" s="171">
        <v>86.83</v>
      </c>
      <c r="P177" s="125">
        <v>2023</v>
      </c>
      <c r="Q177" s="125">
        <v>8</v>
      </c>
      <c r="R177" s="125" t="s">
        <v>268</v>
      </c>
      <c r="T177" s="125">
        <v>2023</v>
      </c>
      <c r="U177" s="125" t="s">
        <v>459</v>
      </c>
      <c r="V177" s="126">
        <v>30</v>
      </c>
      <c r="W177" s="127">
        <v>1.76</v>
      </c>
      <c r="X177" s="128">
        <v>0.1179</v>
      </c>
      <c r="Y177" s="128">
        <v>0.1094</v>
      </c>
      <c r="Z177" s="127">
        <v>1.61</v>
      </c>
      <c r="AA177" s="128">
        <v>4.4299999999999999E-2</v>
      </c>
      <c r="AB177" s="127">
        <v>1.69</v>
      </c>
      <c r="AC177" s="129">
        <v>0.43509999999999999</v>
      </c>
      <c r="AD177" s="128">
        <v>0.41570000000000001</v>
      </c>
      <c r="AE177" s="128">
        <v>0.68489999999999995</v>
      </c>
      <c r="AG177" s="167">
        <v>44986</v>
      </c>
      <c r="AH177" s="173">
        <v>3970</v>
      </c>
      <c r="AI177" s="177">
        <v>3.9199999999999999E-2</v>
      </c>
      <c r="AJ177" s="173">
        <v>179.21</v>
      </c>
      <c r="AK177" s="127">
        <v>181.66</v>
      </c>
      <c r="AL177" s="127">
        <v>147.57</v>
      </c>
      <c r="AM177" s="177">
        <v>5.74E-2</v>
      </c>
      <c r="AN177" s="128">
        <v>4.7800000000000002E-2</v>
      </c>
      <c r="AO177" s="175">
        <v>2023</v>
      </c>
    </row>
    <row r="178" spans="14:44" x14ac:dyDescent="0.3">
      <c r="N178" s="168">
        <v>45170</v>
      </c>
      <c r="O178" s="172">
        <v>88.55</v>
      </c>
      <c r="P178" s="83">
        <v>2023</v>
      </c>
      <c r="Q178" s="83">
        <v>9</v>
      </c>
      <c r="R178" s="83" t="s">
        <v>268</v>
      </c>
      <c r="T178" s="83">
        <v>2023</v>
      </c>
      <c r="U178" s="83" t="s">
        <v>460</v>
      </c>
      <c r="V178" s="84">
        <v>8</v>
      </c>
      <c r="W178" s="85">
        <v>0.94</v>
      </c>
      <c r="X178" s="86">
        <v>0.39019999999999999</v>
      </c>
      <c r="Y178" s="86">
        <v>6.2300000000000001E-2</v>
      </c>
      <c r="Z178" s="85">
        <v>0.73</v>
      </c>
      <c r="AA178" s="86">
        <v>6.4399999999999999E-2</v>
      </c>
      <c r="AB178" s="85">
        <v>0.78</v>
      </c>
      <c r="AC178" s="87">
        <v>0.48930000000000001</v>
      </c>
      <c r="AD178" s="86">
        <v>0.41160000000000002</v>
      </c>
      <c r="AE178" s="86">
        <v>0.83</v>
      </c>
      <c r="AG178" s="168">
        <v>44930</v>
      </c>
      <c r="AH178" s="174">
        <v>4109</v>
      </c>
      <c r="AI178" s="178">
        <v>3.4700000000000002E-2</v>
      </c>
      <c r="AJ178" s="174">
        <v>187.83</v>
      </c>
      <c r="AK178" s="85">
        <v>176.45</v>
      </c>
      <c r="AL178" s="85">
        <v>152.69999999999999</v>
      </c>
      <c r="AM178" s="178">
        <v>5.7299999999999997E-2</v>
      </c>
      <c r="AN178" s="86">
        <v>4.8800000000000003E-2</v>
      </c>
      <c r="AO178" s="176">
        <v>2023</v>
      </c>
    </row>
    <row r="179" spans="14:44" x14ac:dyDescent="0.3">
      <c r="N179" s="167">
        <v>45173</v>
      </c>
      <c r="O179" s="171">
        <v>89</v>
      </c>
      <c r="P179" s="125">
        <v>2023</v>
      </c>
      <c r="Q179" s="125">
        <v>9</v>
      </c>
      <c r="R179" s="125" t="s">
        <v>268</v>
      </c>
      <c r="T179" s="125">
        <v>2023</v>
      </c>
      <c r="U179" s="125" t="s">
        <v>461</v>
      </c>
      <c r="V179" s="126">
        <v>13</v>
      </c>
      <c r="W179" s="127">
        <v>1.33</v>
      </c>
      <c r="X179" s="128">
        <v>9.01E-2</v>
      </c>
      <c r="Y179" s="128">
        <v>0.107</v>
      </c>
      <c r="Z179" s="127">
        <v>1.24</v>
      </c>
      <c r="AA179" s="128">
        <v>3.5000000000000003E-2</v>
      </c>
      <c r="AB179" s="127">
        <v>1.29</v>
      </c>
      <c r="AC179" s="129">
        <v>0.50849999999999995</v>
      </c>
      <c r="AD179" s="128">
        <v>0.39369999999999999</v>
      </c>
      <c r="AE179" s="128">
        <v>0.28270000000000001</v>
      </c>
      <c r="AG179" s="167">
        <v>44931</v>
      </c>
      <c r="AH179" s="173">
        <v>4169</v>
      </c>
      <c r="AI179" s="177">
        <v>3.4200000000000001E-2</v>
      </c>
      <c r="AJ179" s="173">
        <v>187.83</v>
      </c>
      <c r="AK179" s="127">
        <v>176.45</v>
      </c>
      <c r="AL179" s="127">
        <v>152.69999999999999</v>
      </c>
      <c r="AM179" s="177">
        <v>5.4199999999999998E-2</v>
      </c>
      <c r="AN179" s="128">
        <v>4.7699999999999999E-2</v>
      </c>
      <c r="AO179" s="175">
        <v>2023</v>
      </c>
    </row>
    <row r="180" spans="14:44" x14ac:dyDescent="0.3">
      <c r="N180" s="168">
        <v>45174</v>
      </c>
      <c r="O180" s="172">
        <v>90.04</v>
      </c>
      <c r="P180" s="83">
        <v>2023</v>
      </c>
      <c r="Q180" s="83">
        <v>9</v>
      </c>
      <c r="R180" s="83" t="s">
        <v>268</v>
      </c>
      <c r="T180" s="83">
        <v>2023</v>
      </c>
      <c r="U180" s="83" t="s">
        <v>487</v>
      </c>
      <c r="V180" s="84">
        <v>91</v>
      </c>
      <c r="W180" s="85">
        <v>1.36</v>
      </c>
      <c r="X180" s="86">
        <v>4.8000000000000001E-2</v>
      </c>
      <c r="Y180" s="86">
        <v>3.8199999999999998E-2</v>
      </c>
      <c r="Z180" s="85">
        <v>1.32</v>
      </c>
      <c r="AA180" s="86">
        <v>3.0700000000000002E-2</v>
      </c>
      <c r="AB180" s="85">
        <v>1.36</v>
      </c>
      <c r="AC180" s="87">
        <v>0.68720000000000003</v>
      </c>
      <c r="AD180" s="86">
        <v>0.58709999999999996</v>
      </c>
      <c r="AE180" s="86">
        <v>0.69140000000000001</v>
      </c>
      <c r="AG180" s="168">
        <v>44932</v>
      </c>
      <c r="AH180" s="174">
        <v>4180</v>
      </c>
      <c r="AI180" s="178">
        <v>3.6400000000000002E-2</v>
      </c>
      <c r="AJ180" s="174">
        <v>187.83</v>
      </c>
      <c r="AK180" s="85">
        <v>176.45</v>
      </c>
      <c r="AL180" s="85">
        <v>152.69999999999999</v>
      </c>
      <c r="AM180" s="178">
        <v>5.4300000000000001E-2</v>
      </c>
      <c r="AN180" s="86">
        <v>4.65E-2</v>
      </c>
      <c r="AO180" s="176">
        <v>2023</v>
      </c>
    </row>
    <row r="181" spans="14:44" x14ac:dyDescent="0.3">
      <c r="N181" s="167">
        <v>45175</v>
      </c>
      <c r="O181" s="171">
        <v>90.6</v>
      </c>
      <c r="P181" s="125">
        <v>2023</v>
      </c>
      <c r="Q181" s="125">
        <v>9</v>
      </c>
      <c r="R181" s="125" t="s">
        <v>268</v>
      </c>
      <c r="T181" s="125">
        <v>2023</v>
      </c>
      <c r="U181" s="125" t="s">
        <v>488</v>
      </c>
      <c r="V181" s="126">
        <v>33</v>
      </c>
      <c r="W181" s="127">
        <v>1.55</v>
      </c>
      <c r="X181" s="128">
        <v>0.17660000000000001</v>
      </c>
      <c r="Y181" s="128">
        <v>2.3699999999999999E-2</v>
      </c>
      <c r="Z181" s="127">
        <v>1.37</v>
      </c>
      <c r="AA181" s="128">
        <v>3.2899999999999999E-2</v>
      </c>
      <c r="AB181" s="127">
        <v>1.42</v>
      </c>
      <c r="AC181" s="129">
        <v>0.66049999999999998</v>
      </c>
      <c r="AD181" s="128">
        <v>0.5524</v>
      </c>
      <c r="AE181" s="128">
        <v>0.91090000000000004</v>
      </c>
      <c r="AG181" s="167">
        <v>44933</v>
      </c>
      <c r="AH181" s="173">
        <v>4450</v>
      </c>
      <c r="AI181" s="177">
        <v>3.8100000000000002E-2</v>
      </c>
      <c r="AJ181" s="173">
        <v>203.42</v>
      </c>
      <c r="AK181" s="127">
        <v>171.87</v>
      </c>
      <c r="AL181" s="127">
        <v>152.36000000000001</v>
      </c>
      <c r="AM181" s="177">
        <v>7.0800000000000002E-2</v>
      </c>
      <c r="AN181" s="128">
        <v>4.5900000000000003E-2</v>
      </c>
      <c r="AO181" s="175">
        <v>2023</v>
      </c>
    </row>
    <row r="182" spans="14:44" x14ac:dyDescent="0.3">
      <c r="N182" s="168">
        <v>45176</v>
      </c>
      <c r="O182" s="172">
        <v>89.92</v>
      </c>
      <c r="P182" s="83">
        <v>2023</v>
      </c>
      <c r="Q182" s="83">
        <v>9</v>
      </c>
      <c r="R182" s="83" t="s">
        <v>268</v>
      </c>
      <c r="T182" s="83">
        <v>2023</v>
      </c>
      <c r="U182" s="83" t="s">
        <v>489</v>
      </c>
      <c r="V182" s="84">
        <v>390</v>
      </c>
      <c r="W182" s="85">
        <v>1.47</v>
      </c>
      <c r="X182" s="86">
        <v>9.3600000000000003E-2</v>
      </c>
      <c r="Y182" s="86">
        <v>3.4000000000000002E-2</v>
      </c>
      <c r="Z182" s="85">
        <v>1.37</v>
      </c>
      <c r="AA182" s="86">
        <v>2.81E-2</v>
      </c>
      <c r="AB182" s="85">
        <v>1.41</v>
      </c>
      <c r="AC182" s="87">
        <v>0.61639999999999995</v>
      </c>
      <c r="AD182" s="86">
        <v>0.52110000000000001</v>
      </c>
      <c r="AE182" s="86">
        <v>0.32240000000000002</v>
      </c>
      <c r="AG182" s="168">
        <v>44934</v>
      </c>
      <c r="AH182" s="174">
        <v>4589</v>
      </c>
      <c r="AI182" s="178">
        <v>3.9699999999999999E-2</v>
      </c>
      <c r="AJ182" s="174">
        <v>203.42</v>
      </c>
      <c r="AK182" s="85">
        <v>171.87</v>
      </c>
      <c r="AL182" s="85">
        <v>152.36000000000001</v>
      </c>
      <c r="AM182" s="178">
        <v>7.1099999999999997E-2</v>
      </c>
      <c r="AN182" s="86">
        <v>4.3799999999999999E-2</v>
      </c>
      <c r="AO182" s="176">
        <v>2023</v>
      </c>
    </row>
    <row r="183" spans="14:44" x14ac:dyDescent="0.3">
      <c r="N183" s="167">
        <v>45177</v>
      </c>
      <c r="O183" s="171">
        <v>90.65</v>
      </c>
      <c r="P183" s="125">
        <v>2023</v>
      </c>
      <c r="Q183" s="125">
        <v>9</v>
      </c>
      <c r="R183" s="125" t="s">
        <v>268</v>
      </c>
      <c r="T183" s="125">
        <v>2023</v>
      </c>
      <c r="U183" s="125" t="s">
        <v>462</v>
      </c>
      <c r="V183" s="126">
        <v>28</v>
      </c>
      <c r="W183" s="127">
        <v>1.34</v>
      </c>
      <c r="X183" s="128">
        <v>0.28599999999999998</v>
      </c>
      <c r="Y183" s="128">
        <v>0.14949999999999999</v>
      </c>
      <c r="Z183" s="127">
        <v>1.1100000000000001</v>
      </c>
      <c r="AA183" s="128">
        <v>8.8400000000000006E-2</v>
      </c>
      <c r="AB183" s="127">
        <v>1.21</v>
      </c>
      <c r="AC183" s="129">
        <v>0.39410000000000001</v>
      </c>
      <c r="AD183" s="128">
        <v>0.38300000000000001</v>
      </c>
      <c r="AE183" s="128">
        <v>1.0459000000000001</v>
      </c>
      <c r="AG183" s="167">
        <v>44935</v>
      </c>
      <c r="AH183" s="173">
        <v>4508</v>
      </c>
      <c r="AI183" s="177">
        <v>4.1099999999999998E-2</v>
      </c>
      <c r="AJ183" s="173">
        <v>203.42</v>
      </c>
      <c r="AK183" s="127">
        <v>171.87</v>
      </c>
      <c r="AL183" s="127">
        <v>152.36000000000001</v>
      </c>
      <c r="AM183" s="177">
        <v>7.1400000000000005E-2</v>
      </c>
      <c r="AN183" s="128">
        <v>4.3999999999999997E-2</v>
      </c>
      <c r="AO183" s="175">
        <v>2023</v>
      </c>
    </row>
    <row r="184" spans="14:44" x14ac:dyDescent="0.3">
      <c r="N184" s="168">
        <v>45180</v>
      </c>
      <c r="O184" s="172">
        <v>90.64</v>
      </c>
      <c r="P184" s="83">
        <v>2023</v>
      </c>
      <c r="Q184" s="83">
        <v>9</v>
      </c>
      <c r="R184" s="83" t="s">
        <v>268</v>
      </c>
      <c r="T184" s="83">
        <v>2023</v>
      </c>
      <c r="U184" s="83" t="s">
        <v>463</v>
      </c>
      <c r="V184" s="84">
        <v>16</v>
      </c>
      <c r="W184" s="85">
        <v>1.03</v>
      </c>
      <c r="X184" s="86">
        <v>0.65149999999999997</v>
      </c>
      <c r="Y184" s="86">
        <v>3.8300000000000001E-2</v>
      </c>
      <c r="Z184" s="85">
        <v>0.69</v>
      </c>
      <c r="AA184" s="86">
        <v>2.64E-2</v>
      </c>
      <c r="AB184" s="85">
        <v>0.71</v>
      </c>
      <c r="AC184" s="87">
        <v>0.57250000000000001</v>
      </c>
      <c r="AD184" s="86">
        <v>0.51919999999999999</v>
      </c>
      <c r="AE184" s="86">
        <v>0.6946</v>
      </c>
      <c r="AG184" s="168">
        <v>44936</v>
      </c>
      <c r="AH184" s="174">
        <v>4288</v>
      </c>
      <c r="AI184" s="178">
        <v>4.58E-2</v>
      </c>
      <c r="AJ184" s="174">
        <v>196</v>
      </c>
      <c r="AK184" s="85">
        <v>166.82</v>
      </c>
      <c r="AL184" s="85">
        <v>152.97999999999999</v>
      </c>
      <c r="AM184" s="178">
        <v>7.6300000000000007E-2</v>
      </c>
      <c r="AN184" s="86">
        <v>4.4699999999999997E-2</v>
      </c>
      <c r="AO184" s="176">
        <v>2023</v>
      </c>
    </row>
    <row r="185" spans="14:44" x14ac:dyDescent="0.3">
      <c r="N185" s="167">
        <v>45181</v>
      </c>
      <c r="O185" s="171">
        <v>91.33</v>
      </c>
      <c r="P185" s="125">
        <v>2023</v>
      </c>
      <c r="Q185" s="125">
        <v>9</v>
      </c>
      <c r="R185" s="125" t="s">
        <v>268</v>
      </c>
      <c r="T185" s="125">
        <v>2023</v>
      </c>
      <c r="U185" s="125" t="s">
        <v>501</v>
      </c>
      <c r="V185" s="126">
        <v>79</v>
      </c>
      <c r="W185" s="127">
        <v>1.23</v>
      </c>
      <c r="X185" s="128">
        <v>0.1168</v>
      </c>
      <c r="Y185" s="128">
        <v>4.0599999999999997E-2</v>
      </c>
      <c r="Z185" s="127">
        <v>1.1299999999999999</v>
      </c>
      <c r="AA185" s="128">
        <v>3.7900000000000003E-2</v>
      </c>
      <c r="AB185" s="127">
        <v>1.18</v>
      </c>
      <c r="AC185" s="129">
        <v>0.52729999999999999</v>
      </c>
      <c r="AD185" s="128">
        <v>0.41349999999999998</v>
      </c>
      <c r="AE185" s="128">
        <v>0.1361</v>
      </c>
      <c r="AG185" s="167">
        <v>44937</v>
      </c>
      <c r="AH185" s="173">
        <v>4194</v>
      </c>
      <c r="AI185" s="177">
        <v>4.9299999999999997E-2</v>
      </c>
      <c r="AJ185" s="173">
        <v>196</v>
      </c>
      <c r="AK185" s="127">
        <v>166.82</v>
      </c>
      <c r="AL185" s="127">
        <v>152.97999999999999</v>
      </c>
      <c r="AM185" s="177">
        <v>7.5800000000000006E-2</v>
      </c>
      <c r="AN185" s="128">
        <v>4.3900000000000002E-2</v>
      </c>
      <c r="AO185" s="175">
        <v>2023</v>
      </c>
    </row>
    <row r="186" spans="14:44" x14ac:dyDescent="0.3">
      <c r="N186" s="168">
        <v>45182</v>
      </c>
      <c r="O186" s="172">
        <v>91.2</v>
      </c>
      <c r="P186" s="83">
        <v>2023</v>
      </c>
      <c r="Q186" s="83">
        <v>9</v>
      </c>
      <c r="R186" s="83" t="s">
        <v>268</v>
      </c>
      <c r="T186" s="83">
        <v>2023</v>
      </c>
      <c r="U186" s="83" t="s">
        <v>502</v>
      </c>
      <c r="V186" s="84">
        <v>49</v>
      </c>
      <c r="W186" s="85">
        <v>0.88</v>
      </c>
      <c r="X186" s="86">
        <v>1.1772</v>
      </c>
      <c r="Y186" s="86">
        <v>6.54E-2</v>
      </c>
      <c r="Z186" s="85">
        <v>0.47</v>
      </c>
      <c r="AA186" s="86">
        <v>1.1299999999999999E-2</v>
      </c>
      <c r="AB186" s="85">
        <v>0.47</v>
      </c>
      <c r="AC186" s="87">
        <v>0.5554</v>
      </c>
      <c r="AD186" s="86">
        <v>0.55369999999999997</v>
      </c>
      <c r="AE186" s="86">
        <v>0.22220000000000001</v>
      </c>
      <c r="AG186" s="168">
        <v>44938</v>
      </c>
      <c r="AH186" s="174">
        <v>4568</v>
      </c>
      <c r="AI186" s="178">
        <v>4.3299999999999998E-2</v>
      </c>
      <c r="AJ186" s="174">
        <v>196</v>
      </c>
      <c r="AK186" s="85">
        <v>166.82</v>
      </c>
      <c r="AL186" s="85">
        <v>152.97999999999999</v>
      </c>
      <c r="AM186" s="178">
        <v>7.3200000000000001E-2</v>
      </c>
      <c r="AN186" s="86">
        <v>4.2500000000000003E-2</v>
      </c>
      <c r="AO186" s="176">
        <v>2023</v>
      </c>
    </row>
    <row r="187" spans="14:44" x14ac:dyDescent="0.3">
      <c r="N187" s="167">
        <v>45183</v>
      </c>
      <c r="O187" s="171">
        <v>92.94</v>
      </c>
      <c r="P187" s="125">
        <v>2023</v>
      </c>
      <c r="Q187" s="125">
        <v>9</v>
      </c>
      <c r="R187" s="125" t="s">
        <v>268</v>
      </c>
      <c r="T187" s="125">
        <v>2023</v>
      </c>
      <c r="U187" s="125" t="s">
        <v>466</v>
      </c>
      <c r="V187" s="126">
        <v>15</v>
      </c>
      <c r="W187" s="127">
        <v>2</v>
      </c>
      <c r="X187" s="128">
        <v>0.24060000000000001</v>
      </c>
      <c r="Y187" s="128">
        <v>9.8299999999999998E-2</v>
      </c>
      <c r="Z187" s="127">
        <v>1.69</v>
      </c>
      <c r="AA187" s="128">
        <v>2.8400000000000002E-2</v>
      </c>
      <c r="AB187" s="127">
        <v>1.74</v>
      </c>
      <c r="AC187" s="129">
        <v>0.60629999999999995</v>
      </c>
      <c r="AD187" s="128">
        <v>0.44059999999999999</v>
      </c>
      <c r="AE187" s="128">
        <v>7.6999999999999999E-2</v>
      </c>
      <c r="AG187" s="167">
        <v>45292</v>
      </c>
      <c r="AH187" s="173">
        <v>4770</v>
      </c>
      <c r="AI187" s="177">
        <v>3.8800000000000001E-2</v>
      </c>
      <c r="AJ187" s="173">
        <v>218.02</v>
      </c>
      <c r="AK187" s="127">
        <v>164.25</v>
      </c>
      <c r="AL187" s="127">
        <v>153.13999999999999</v>
      </c>
      <c r="AM187" s="177">
        <v>8.7400000000000005E-2</v>
      </c>
      <c r="AN187" s="128">
        <v>4.5699999999999998E-2</v>
      </c>
      <c r="AO187" s="175">
        <v>2024</v>
      </c>
    </row>
    <row r="188" spans="14:44" x14ac:dyDescent="0.3">
      <c r="N188" s="168">
        <v>45184</v>
      </c>
      <c r="O188" s="172">
        <v>93.04</v>
      </c>
      <c r="P188" s="83">
        <v>2023</v>
      </c>
      <c r="Q188" s="83">
        <v>9</v>
      </c>
      <c r="R188" s="83" t="s">
        <v>268</v>
      </c>
      <c r="T188" s="83">
        <v>2023</v>
      </c>
      <c r="U188" s="83" t="s">
        <v>490</v>
      </c>
      <c r="V188" s="84">
        <v>18</v>
      </c>
      <c r="W188" s="85">
        <v>1.06</v>
      </c>
      <c r="X188" s="86">
        <v>0.29509999999999997</v>
      </c>
      <c r="Y188" s="86">
        <v>0.16389999999999999</v>
      </c>
      <c r="Z188" s="85">
        <v>0.87</v>
      </c>
      <c r="AA188" s="86">
        <v>6.2799999999999995E-2</v>
      </c>
      <c r="AB188" s="85">
        <v>0.92</v>
      </c>
      <c r="AC188" s="87">
        <v>0.47889999999999999</v>
      </c>
      <c r="AD188" s="86">
        <v>0.28050000000000003</v>
      </c>
      <c r="AE188" s="86">
        <v>0.26960000000000001</v>
      </c>
      <c r="AG188" s="168">
        <v>45323</v>
      </c>
      <c r="AH188" s="174">
        <v>4846</v>
      </c>
      <c r="AI188" s="178">
        <v>3.9399999999999998E-2</v>
      </c>
      <c r="AJ188" s="174">
        <v>218.02</v>
      </c>
      <c r="AK188" s="85">
        <v>164.25</v>
      </c>
      <c r="AL188" s="85">
        <v>153.13999999999999</v>
      </c>
      <c r="AM188" s="178">
        <v>8.5300000000000001E-2</v>
      </c>
      <c r="AN188" s="86">
        <v>4.4499999999999998E-2</v>
      </c>
      <c r="AO188" s="176">
        <v>2024</v>
      </c>
      <c r="AP188" s="240"/>
      <c r="AQ188" s="240"/>
      <c r="AR188" s="240"/>
    </row>
    <row r="189" spans="14:44" x14ac:dyDescent="0.3">
      <c r="N189" s="167">
        <v>45187</v>
      </c>
      <c r="O189" s="171">
        <v>93.29</v>
      </c>
      <c r="P189" s="125">
        <v>2023</v>
      </c>
      <c r="Q189" s="125">
        <v>9</v>
      </c>
      <c r="R189" s="125" t="s">
        <v>268</v>
      </c>
      <c r="T189" s="125">
        <v>2023</v>
      </c>
      <c r="U189" s="125" t="s">
        <v>491</v>
      </c>
      <c r="V189" s="126">
        <v>4</v>
      </c>
      <c r="W189" s="127">
        <v>1.1100000000000001</v>
      </c>
      <c r="X189" s="128">
        <v>0.27450000000000002</v>
      </c>
      <c r="Y189" s="128">
        <v>0.16569999999999999</v>
      </c>
      <c r="Z189" s="127">
        <v>0.92</v>
      </c>
      <c r="AA189" s="128">
        <v>1.47E-2</v>
      </c>
      <c r="AB189" s="127">
        <v>0.93</v>
      </c>
      <c r="AC189" s="129">
        <v>0.22720000000000001</v>
      </c>
      <c r="AD189" s="128">
        <v>0.16339999999999999</v>
      </c>
      <c r="AE189" s="128">
        <v>0.1181</v>
      </c>
      <c r="AG189" s="167">
        <v>45352</v>
      </c>
      <c r="AH189" s="173">
        <v>5096</v>
      </c>
      <c r="AI189" s="177">
        <v>4.2700000000000002E-2</v>
      </c>
      <c r="AJ189" s="173">
        <v>218.02</v>
      </c>
      <c r="AK189" s="127">
        <v>164.25</v>
      </c>
      <c r="AL189" s="127">
        <v>153.13999999999999</v>
      </c>
      <c r="AM189" s="177">
        <v>8.8999999999999996E-2</v>
      </c>
      <c r="AN189" s="128">
        <v>4.1799999999999997E-2</v>
      </c>
      <c r="AO189" s="175">
        <v>2024</v>
      </c>
      <c r="AP189" s="240"/>
      <c r="AQ189" s="240"/>
      <c r="AR189" s="240"/>
    </row>
    <row r="190" spans="14:44" x14ac:dyDescent="0.3">
      <c r="N190" s="168">
        <v>45188</v>
      </c>
      <c r="O190" s="172">
        <v>93.14</v>
      </c>
      <c r="P190" s="83">
        <v>2023</v>
      </c>
      <c r="Q190" s="83">
        <v>9</v>
      </c>
      <c r="R190" s="83" t="s">
        <v>268</v>
      </c>
      <c r="T190" s="83">
        <v>2023</v>
      </c>
      <c r="U190" s="83" t="s">
        <v>467</v>
      </c>
      <c r="V190" s="84">
        <v>35</v>
      </c>
      <c r="W190" s="85">
        <v>1.55</v>
      </c>
      <c r="X190" s="86">
        <v>0.43909999999999999</v>
      </c>
      <c r="Y190" s="86">
        <v>0.1479</v>
      </c>
      <c r="Z190" s="85">
        <v>1.1599999999999999</v>
      </c>
      <c r="AA190" s="86">
        <v>5.7200000000000001E-2</v>
      </c>
      <c r="AB190" s="85">
        <v>1.23</v>
      </c>
      <c r="AC190" s="87">
        <v>0.44579999999999997</v>
      </c>
      <c r="AD190" s="86">
        <v>0.41170000000000001</v>
      </c>
      <c r="AE190" s="86">
        <v>1.5004</v>
      </c>
      <c r="AG190" s="76"/>
    </row>
    <row r="191" spans="14:44" x14ac:dyDescent="0.3">
      <c r="N191" s="167">
        <v>45189</v>
      </c>
      <c r="O191" s="171">
        <v>92.35</v>
      </c>
      <c r="P191" s="125">
        <v>2023</v>
      </c>
      <c r="Q191" s="125">
        <v>9</v>
      </c>
      <c r="R191" s="125" t="s">
        <v>268</v>
      </c>
      <c r="T191" s="125">
        <v>2023</v>
      </c>
      <c r="U191" s="125" t="s">
        <v>468</v>
      </c>
      <c r="V191" s="126">
        <v>15</v>
      </c>
      <c r="W191" s="127">
        <v>0.64</v>
      </c>
      <c r="X191" s="128">
        <v>0.74180000000000001</v>
      </c>
      <c r="Y191" s="128">
        <v>0.13200000000000001</v>
      </c>
      <c r="Z191" s="127">
        <v>0.41</v>
      </c>
      <c r="AA191" s="128">
        <v>3.3E-3</v>
      </c>
      <c r="AB191" s="127">
        <v>0.41</v>
      </c>
      <c r="AC191" s="129">
        <v>0.15609999999999999</v>
      </c>
      <c r="AD191" s="128">
        <v>0.1497</v>
      </c>
      <c r="AE191" s="128">
        <v>9.3600000000000003E-2</v>
      </c>
      <c r="AG191" s="241"/>
      <c r="AH191" s="242"/>
      <c r="AI191" s="243"/>
      <c r="AJ191" s="242"/>
      <c r="AK191" s="242"/>
      <c r="AL191" s="242"/>
      <c r="AM191" s="243"/>
      <c r="AN191" s="243"/>
      <c r="AO191" s="243"/>
      <c r="AP191" s="243"/>
      <c r="AQ191" s="243"/>
      <c r="AR191" s="243"/>
    </row>
    <row r="192" spans="14:44" x14ac:dyDescent="0.3">
      <c r="N192" s="168">
        <v>45190</v>
      </c>
      <c r="O192" s="172">
        <v>92.26</v>
      </c>
      <c r="P192" s="83">
        <v>2023</v>
      </c>
      <c r="Q192" s="83">
        <v>9</v>
      </c>
      <c r="R192" s="83" t="s">
        <v>268</v>
      </c>
      <c r="T192" s="83">
        <v>2023</v>
      </c>
      <c r="U192" s="83" t="s">
        <v>469</v>
      </c>
      <c r="V192" s="84">
        <v>16</v>
      </c>
      <c r="W192" s="85">
        <v>1.1499999999999999</v>
      </c>
      <c r="X192" s="86">
        <v>0.434</v>
      </c>
      <c r="Y192" s="86">
        <v>8.4500000000000006E-2</v>
      </c>
      <c r="Z192" s="85">
        <v>0.87</v>
      </c>
      <c r="AA192" s="86">
        <v>3.5000000000000001E-3</v>
      </c>
      <c r="AB192" s="85">
        <v>0.87</v>
      </c>
      <c r="AC192" s="87">
        <v>0.36549999999999999</v>
      </c>
      <c r="AD192" s="86">
        <v>0.41370000000000001</v>
      </c>
      <c r="AE192" s="86">
        <v>0.13750000000000001</v>
      </c>
      <c r="AG192" s="76"/>
    </row>
    <row r="193" spans="14:33" x14ac:dyDescent="0.3">
      <c r="N193" s="167">
        <v>45191</v>
      </c>
      <c r="O193" s="171">
        <v>91.96</v>
      </c>
      <c r="P193" s="125">
        <v>2023</v>
      </c>
      <c r="Q193" s="125">
        <v>9</v>
      </c>
      <c r="R193" s="125" t="s">
        <v>268</v>
      </c>
      <c r="T193" s="125">
        <v>2023</v>
      </c>
      <c r="U193" s="125" t="s">
        <v>470</v>
      </c>
      <c r="V193" s="126">
        <v>7165</v>
      </c>
      <c r="W193" s="127">
        <v>1.1599999999999999</v>
      </c>
      <c r="X193" s="128">
        <v>0.53520000000000001</v>
      </c>
      <c r="Y193" s="128">
        <v>7.5200000000000003E-2</v>
      </c>
      <c r="Z193" s="127">
        <v>0.83</v>
      </c>
      <c r="AA193" s="128">
        <v>6.6600000000000006E-2</v>
      </c>
      <c r="AB193" s="127">
        <v>0.88</v>
      </c>
      <c r="AC193" s="129">
        <v>0.48320000000000002</v>
      </c>
      <c r="AD193" s="128">
        <v>0.41370000000000001</v>
      </c>
      <c r="AE193" s="128">
        <v>0.19009999999999999</v>
      </c>
      <c r="AG193" s="76"/>
    </row>
    <row r="194" spans="14:33" x14ac:dyDescent="0.3">
      <c r="N194" s="168">
        <v>45194</v>
      </c>
      <c r="O194" s="172">
        <v>91.88</v>
      </c>
      <c r="P194" s="83">
        <v>2023</v>
      </c>
      <c r="Q194" s="83">
        <v>9</v>
      </c>
      <c r="R194" s="83" t="s">
        <v>268</v>
      </c>
      <c r="T194" s="83">
        <v>2023</v>
      </c>
      <c r="U194" s="83" t="s">
        <v>493</v>
      </c>
      <c r="V194" s="84">
        <v>5649</v>
      </c>
      <c r="W194" s="85">
        <v>1.29</v>
      </c>
      <c r="X194" s="86">
        <v>0.26400000000000001</v>
      </c>
      <c r="Y194" s="86">
        <v>6.3799999999999996E-2</v>
      </c>
      <c r="Z194" s="85">
        <v>1.08</v>
      </c>
      <c r="AA194" s="86">
        <v>3.7499999999999999E-2</v>
      </c>
      <c r="AB194" s="85"/>
      <c r="AC194" s="87"/>
      <c r="AD194" s="86"/>
      <c r="AE194" s="86"/>
      <c r="AG194" s="76"/>
    </row>
    <row r="195" spans="14:33" x14ac:dyDescent="0.3">
      <c r="N195" s="167">
        <v>45195</v>
      </c>
      <c r="O195" s="171">
        <v>92.43</v>
      </c>
      <c r="P195" s="125">
        <v>2023</v>
      </c>
      <c r="Q195" s="125">
        <v>9</v>
      </c>
      <c r="R195" s="125" t="s">
        <v>268</v>
      </c>
      <c r="T195" s="125">
        <v>2024</v>
      </c>
      <c r="U195" s="125" t="s">
        <v>398</v>
      </c>
      <c r="V195" s="126">
        <v>58</v>
      </c>
      <c r="W195" s="127">
        <v>1.6317380595347237</v>
      </c>
      <c r="X195" s="128">
        <v>0.44988944828853072</v>
      </c>
      <c r="Y195" s="128">
        <v>6.3905088196058474E-2</v>
      </c>
      <c r="Z195" s="127">
        <v>-1.7948418859016913E-3</v>
      </c>
      <c r="AA195" s="128">
        <v>9.3488853578428122E-2</v>
      </c>
      <c r="AB195" s="127">
        <v>-1.9799446404898395E-3</v>
      </c>
      <c r="AC195" s="129">
        <v>0.68674540200942169</v>
      </c>
      <c r="AD195" s="128">
        <v>0.52722114455333013</v>
      </c>
      <c r="AE195" s="128">
        <v>0.14396894009718411</v>
      </c>
      <c r="AG195" s="76"/>
    </row>
    <row r="196" spans="14:33" x14ac:dyDescent="0.3">
      <c r="N196" s="168">
        <v>45196</v>
      </c>
      <c r="O196" s="172">
        <v>94.36</v>
      </c>
      <c r="P196" s="83">
        <v>2023</v>
      </c>
      <c r="Q196" s="83">
        <v>9</v>
      </c>
      <c r="R196" s="83" t="s">
        <v>268</v>
      </c>
      <c r="T196" s="83">
        <v>2024</v>
      </c>
      <c r="U196" s="83" t="s">
        <v>399</v>
      </c>
      <c r="V196" s="84">
        <v>77</v>
      </c>
      <c r="W196" s="85">
        <v>1.4141822802591859</v>
      </c>
      <c r="X196" s="86">
        <v>0.26057120698012032</v>
      </c>
      <c r="Y196" s="86">
        <v>8.602766440767734E-2</v>
      </c>
      <c r="Z196" s="85">
        <v>-2.6878667971285144E-3</v>
      </c>
      <c r="AA196" s="86">
        <v>3.7667223768941376E-2</v>
      </c>
      <c r="AB196" s="85">
        <v>-2.7930741459887163E-3</v>
      </c>
      <c r="AC196" s="87">
        <v>0.47207385668758833</v>
      </c>
      <c r="AD196" s="86">
        <v>0.3755554495377183</v>
      </c>
      <c r="AE196" s="86">
        <v>0.19186738783955246</v>
      </c>
      <c r="AG196" s="76"/>
    </row>
    <row r="197" spans="14:33" x14ac:dyDescent="0.3">
      <c r="N197" s="167">
        <v>45197</v>
      </c>
      <c r="O197" s="171">
        <v>93.1</v>
      </c>
      <c r="P197" s="125">
        <v>2023</v>
      </c>
      <c r="Q197" s="125">
        <v>9</v>
      </c>
      <c r="R197" s="125" t="s">
        <v>268</v>
      </c>
      <c r="T197" s="125">
        <v>2024</v>
      </c>
      <c r="U197" s="125" t="s">
        <v>400</v>
      </c>
      <c r="V197" s="126">
        <v>21</v>
      </c>
      <c r="W197" s="127">
        <v>1.4159650876966507</v>
      </c>
      <c r="X197" s="128">
        <v>1.8633437109872604</v>
      </c>
      <c r="Y197" s="128">
        <v>0.10471812677937932</v>
      </c>
      <c r="Z197" s="127">
        <v>-3.7573263433016287E-4</v>
      </c>
      <c r="AA197" s="128">
        <v>0.14899071469326405</v>
      </c>
      <c r="AB197" s="127">
        <v>-4.4151414187535527E-4</v>
      </c>
      <c r="AC197" s="129">
        <v>0.44026952881288556</v>
      </c>
      <c r="AD197" s="128">
        <v>0.37727498727802966</v>
      </c>
      <c r="AE197" s="128">
        <v>2.2120098410672444</v>
      </c>
      <c r="AG197" s="76"/>
    </row>
    <row r="198" spans="14:33" x14ac:dyDescent="0.3">
      <c r="N198" s="168">
        <v>45198</v>
      </c>
      <c r="O198" s="172">
        <v>92.2</v>
      </c>
      <c r="P198" s="83">
        <v>2023</v>
      </c>
      <c r="Q198" s="83">
        <v>9</v>
      </c>
      <c r="R198" s="83" t="s">
        <v>268</v>
      </c>
      <c r="T198" s="83">
        <v>2024</v>
      </c>
      <c r="U198" s="83" t="s">
        <v>401</v>
      </c>
      <c r="V198" s="84">
        <v>39</v>
      </c>
      <c r="W198" s="85">
        <v>1.3246974025641622</v>
      </c>
      <c r="X198" s="86">
        <v>0.5157235161320588</v>
      </c>
      <c r="Y198" s="86">
        <v>0.12038118261958633</v>
      </c>
      <c r="Z198" s="85">
        <v>-1.2709262013330578E-3</v>
      </c>
      <c r="AA198" s="86">
        <v>6.0170317847693479E-2</v>
      </c>
      <c r="AB198" s="85">
        <v>-1.352294171452966E-3</v>
      </c>
      <c r="AC198" s="87">
        <v>0.52198327117155274</v>
      </c>
      <c r="AD198" s="86">
        <v>0.38508746928890447</v>
      </c>
      <c r="AE198" s="86">
        <v>0.23018170002537106</v>
      </c>
      <c r="AG198" s="76"/>
    </row>
    <row r="199" spans="14:33" x14ac:dyDescent="0.3">
      <c r="N199" s="167">
        <v>45201</v>
      </c>
      <c r="O199" s="171">
        <v>90.71</v>
      </c>
      <c r="P199" s="125">
        <v>2023</v>
      </c>
      <c r="Q199" s="125">
        <v>10</v>
      </c>
      <c r="R199" s="125" t="s">
        <v>269</v>
      </c>
      <c r="T199" s="125">
        <v>2024</v>
      </c>
      <c r="U199" s="125" t="s">
        <v>402</v>
      </c>
      <c r="V199" s="126">
        <v>31</v>
      </c>
      <c r="W199" s="127">
        <v>1.5405976750533805</v>
      </c>
      <c r="X199" s="128">
        <v>0.50190983747582518</v>
      </c>
      <c r="Y199" s="128">
        <v>2.9973504818388647E-2</v>
      </c>
      <c r="Z199" s="127">
        <v>-1.5187824890504694E-3</v>
      </c>
      <c r="AA199" s="128">
        <v>8.6707773582228378E-2</v>
      </c>
      <c r="AB199" s="127">
        <v>-1.6629753819405941E-3</v>
      </c>
      <c r="AC199" s="129">
        <v>0.69063526244432694</v>
      </c>
      <c r="AD199" s="128">
        <v>0.52614124875248369</v>
      </c>
      <c r="AE199" s="128">
        <v>0.46096910367745508</v>
      </c>
      <c r="AG199" s="76"/>
    </row>
    <row r="200" spans="14:33" x14ac:dyDescent="0.3">
      <c r="N200" s="168">
        <v>45202</v>
      </c>
      <c r="O200" s="172">
        <v>90.92</v>
      </c>
      <c r="P200" s="83">
        <v>2023</v>
      </c>
      <c r="Q200" s="83">
        <v>10</v>
      </c>
      <c r="R200" s="83" t="s">
        <v>269</v>
      </c>
      <c r="T200" s="83">
        <v>2024</v>
      </c>
      <c r="U200" s="83" t="s">
        <v>403</v>
      </c>
      <c r="V200" s="84">
        <v>37</v>
      </c>
      <c r="W200" s="85">
        <v>1.4739918130238336</v>
      </c>
      <c r="X200" s="86">
        <v>0.4265540414760251</v>
      </c>
      <c r="Y200" s="86">
        <v>9.2966768218859283E-2</v>
      </c>
      <c r="Z200" s="85">
        <v>-1.710128342392869E-3</v>
      </c>
      <c r="AA200" s="86">
        <v>7.1275726876243464E-2</v>
      </c>
      <c r="AB200" s="85">
        <v>-1.8413735829697509E-3</v>
      </c>
      <c r="AC200" s="87">
        <v>0.50992876403924647</v>
      </c>
      <c r="AD200" s="86">
        <v>0.39519394771296495</v>
      </c>
      <c r="AE200" s="86">
        <v>0.25416812415110307</v>
      </c>
      <c r="AG200" s="76"/>
    </row>
    <row r="201" spans="14:33" x14ac:dyDescent="0.3">
      <c r="N201" s="167">
        <v>45203</v>
      </c>
      <c r="O201" s="171">
        <v>85.81</v>
      </c>
      <c r="P201" s="125">
        <v>2023</v>
      </c>
      <c r="Q201" s="125">
        <v>10</v>
      </c>
      <c r="R201" s="125" t="s">
        <v>269</v>
      </c>
      <c r="T201" s="125">
        <v>2024</v>
      </c>
      <c r="U201" s="125" t="s">
        <v>472</v>
      </c>
      <c r="V201" s="126">
        <v>7</v>
      </c>
      <c r="W201" s="127">
        <v>1.0801015876287672</v>
      </c>
      <c r="X201" s="128">
        <v>2.1638477432836223</v>
      </c>
      <c r="Y201" s="128">
        <v>0.16253159242370313</v>
      </c>
      <c r="Z201" s="127">
        <v>-2.4679777816382406E-4</v>
      </c>
      <c r="AA201" s="128">
        <v>0.44301926004171199</v>
      </c>
      <c r="AB201" s="127">
        <v>-4.4309930390466751E-4</v>
      </c>
      <c r="AC201" s="129">
        <v>0.22354726306204947</v>
      </c>
      <c r="AD201" s="128">
        <v>0.19594323414619666</v>
      </c>
      <c r="AE201" s="128" t="s">
        <v>494</v>
      </c>
      <c r="AG201" s="76"/>
    </row>
    <row r="202" spans="14:33" x14ac:dyDescent="0.3">
      <c r="N202" s="168">
        <v>45204</v>
      </c>
      <c r="O202" s="172">
        <v>84.07</v>
      </c>
      <c r="P202" s="83">
        <v>2023</v>
      </c>
      <c r="Q202" s="83">
        <v>10</v>
      </c>
      <c r="R202" s="83" t="s">
        <v>269</v>
      </c>
      <c r="T202" s="83">
        <v>2024</v>
      </c>
      <c r="U202" s="83" t="s">
        <v>404</v>
      </c>
      <c r="V202" s="84">
        <v>557</v>
      </c>
      <c r="W202" s="85">
        <v>0.50487423475647786</v>
      </c>
      <c r="X202" s="86">
        <v>0.64619811083770839</v>
      </c>
      <c r="Y202" s="86">
        <v>0.18838462629709835</v>
      </c>
      <c r="Z202" s="85">
        <v>-3.8650399382781145E-4</v>
      </c>
      <c r="AA202" s="86">
        <v>0.1765640030797172</v>
      </c>
      <c r="AB202" s="85">
        <v>-4.6937952102333105E-4</v>
      </c>
      <c r="AC202" s="87">
        <v>0.17565142557211211</v>
      </c>
      <c r="AD202" s="86">
        <v>0.16758082918349013</v>
      </c>
      <c r="AE202" s="86">
        <v>0.95491634941234516</v>
      </c>
      <c r="AG202" s="76"/>
    </row>
    <row r="203" spans="14:33" x14ac:dyDescent="0.3">
      <c r="N203" s="167">
        <v>45205</v>
      </c>
      <c r="O203" s="171">
        <v>84.58</v>
      </c>
      <c r="P203" s="125">
        <v>2023</v>
      </c>
      <c r="Q203" s="125">
        <v>10</v>
      </c>
      <c r="R203" s="125" t="s">
        <v>269</v>
      </c>
      <c r="T203" s="125">
        <v>2024</v>
      </c>
      <c r="U203" s="125" t="s">
        <v>405</v>
      </c>
      <c r="V203" s="126">
        <v>23</v>
      </c>
      <c r="W203" s="127">
        <v>1.0129742331996445</v>
      </c>
      <c r="X203" s="128">
        <v>0.22909687972770462</v>
      </c>
      <c r="Y203" s="128">
        <v>9.3937841767617533E-2</v>
      </c>
      <c r="Z203" s="127">
        <v>-2.1903898477612545E-3</v>
      </c>
      <c r="AA203" s="128">
        <v>1.8550558673249666E-2</v>
      </c>
      <c r="AB203" s="127">
        <v>-2.231790814206614E-3</v>
      </c>
      <c r="AC203" s="129">
        <v>0.58705825859902261</v>
      </c>
      <c r="AD203" s="128">
        <v>0.49874676442989341</v>
      </c>
      <c r="AE203" s="128">
        <v>0.33799560403248413</v>
      </c>
      <c r="AG203" s="76"/>
    </row>
    <row r="204" spans="14:33" x14ac:dyDescent="0.3">
      <c r="N204" s="168">
        <v>45208</v>
      </c>
      <c r="O204" s="172">
        <v>88.15</v>
      </c>
      <c r="P204" s="83">
        <v>2023</v>
      </c>
      <c r="Q204" s="83">
        <v>10</v>
      </c>
      <c r="R204" s="83" t="s">
        <v>269</v>
      </c>
      <c r="T204" s="83">
        <v>2024</v>
      </c>
      <c r="U204" s="83" t="s">
        <v>473</v>
      </c>
      <c r="V204" s="84">
        <v>31</v>
      </c>
      <c r="W204" s="85">
        <v>1.3034433070435496</v>
      </c>
      <c r="X204" s="86">
        <v>0.1526904463074982</v>
      </c>
      <c r="Y204" s="86">
        <v>6.4164664471146424E-2</v>
      </c>
      <c r="Z204" s="85">
        <v>-4.2334326163325376E-3</v>
      </c>
      <c r="AA204" s="86">
        <v>2.655230937298967E-2</v>
      </c>
      <c r="AB204" s="85">
        <v>-4.3489061169848051E-3</v>
      </c>
      <c r="AC204" s="87">
        <v>0.61052132144061366</v>
      </c>
      <c r="AD204" s="86">
        <v>0.41717146856964005</v>
      </c>
      <c r="AE204" s="86">
        <v>9.3564845497937574E-2</v>
      </c>
      <c r="AG204" s="76"/>
    </row>
    <row r="205" spans="14:33" x14ac:dyDescent="0.3">
      <c r="N205" s="167">
        <v>45209</v>
      </c>
      <c r="O205" s="171">
        <v>87.65</v>
      </c>
      <c r="P205" s="125">
        <v>2023</v>
      </c>
      <c r="Q205" s="125">
        <v>10</v>
      </c>
      <c r="R205" s="125" t="s">
        <v>269</v>
      </c>
      <c r="T205" s="125">
        <v>2024</v>
      </c>
      <c r="U205" s="125" t="s">
        <v>406</v>
      </c>
      <c r="V205" s="126">
        <v>26</v>
      </c>
      <c r="W205" s="127">
        <v>1.3220586425472229</v>
      </c>
      <c r="X205" s="128">
        <v>1.4683207619722523</v>
      </c>
      <c r="Y205" s="128">
        <v>0.15763232212904729</v>
      </c>
      <c r="Z205" s="127">
        <v>-4.452256006205135E-4</v>
      </c>
      <c r="AA205" s="128">
        <v>0.10393630501139743</v>
      </c>
      <c r="AB205" s="127">
        <v>-4.9686825067293513E-4</v>
      </c>
      <c r="AC205" s="129">
        <v>0.55839204502628303</v>
      </c>
      <c r="AD205" s="128">
        <v>0.468984145587513</v>
      </c>
      <c r="AE205" s="128">
        <v>0.3165910010704478</v>
      </c>
      <c r="AG205" s="76"/>
    </row>
    <row r="206" spans="14:33" x14ac:dyDescent="0.3">
      <c r="N206" s="168">
        <v>45210</v>
      </c>
      <c r="O206" s="172">
        <v>85.82</v>
      </c>
      <c r="P206" s="83">
        <v>2023</v>
      </c>
      <c r="Q206" s="83">
        <v>10</v>
      </c>
      <c r="R206" s="83" t="s">
        <v>269</v>
      </c>
      <c r="T206" s="83">
        <v>2024</v>
      </c>
      <c r="U206" s="83" t="s">
        <v>407</v>
      </c>
      <c r="V206" s="84">
        <v>30</v>
      </c>
      <c r="W206" s="85">
        <v>1.2048082896180194</v>
      </c>
      <c r="X206" s="86">
        <v>2.0108831543010175</v>
      </c>
      <c r="Y206" s="86">
        <v>0.15316532055412033</v>
      </c>
      <c r="Z206" s="85">
        <v>-2.9623884086243561E-4</v>
      </c>
      <c r="AA206" s="86">
        <v>0.30759698309671335</v>
      </c>
      <c r="AB206" s="85">
        <v>-4.2784163793413047E-4</v>
      </c>
      <c r="AC206" s="87">
        <v>0.35452868010802446</v>
      </c>
      <c r="AD206" s="86">
        <v>0.27996249256243011</v>
      </c>
      <c r="AE206" s="86">
        <v>0.37879796819936629</v>
      </c>
      <c r="AG206" s="76"/>
    </row>
    <row r="207" spans="14:33" x14ac:dyDescent="0.3">
      <c r="N207" s="167">
        <v>45211</v>
      </c>
      <c r="O207" s="171">
        <v>86</v>
      </c>
      <c r="P207" s="125">
        <v>2023</v>
      </c>
      <c r="Q207" s="125">
        <v>10</v>
      </c>
      <c r="R207" s="125" t="s">
        <v>269</v>
      </c>
      <c r="T207" s="125">
        <v>2024</v>
      </c>
      <c r="U207" s="125" t="s">
        <v>408</v>
      </c>
      <c r="V207" s="126">
        <v>45</v>
      </c>
      <c r="W207" s="127">
        <v>1.277280094823728</v>
      </c>
      <c r="X207" s="128">
        <v>0.28926208389857394</v>
      </c>
      <c r="Y207" s="128">
        <v>0.16705684920922526</v>
      </c>
      <c r="Z207" s="127">
        <v>-2.1864600401502766E-3</v>
      </c>
      <c r="AA207" s="128">
        <v>4.4413028827024706E-2</v>
      </c>
      <c r="AB207" s="127">
        <v>-2.2880806311814973E-3</v>
      </c>
      <c r="AC207" s="129">
        <v>0.42078237507538668</v>
      </c>
      <c r="AD207" s="128">
        <v>0.29189913847162119</v>
      </c>
      <c r="AE207" s="128">
        <v>0.51369471130317734</v>
      </c>
      <c r="AG207" s="76"/>
    </row>
    <row r="208" spans="14:33" x14ac:dyDescent="0.3">
      <c r="N208" s="168">
        <v>45212</v>
      </c>
      <c r="O208" s="172">
        <v>90.89</v>
      </c>
      <c r="P208" s="83">
        <v>2023</v>
      </c>
      <c r="Q208" s="83">
        <v>10</v>
      </c>
      <c r="R208" s="83" t="s">
        <v>269</v>
      </c>
      <c r="T208" s="83">
        <v>2024</v>
      </c>
      <c r="U208" s="83" t="s">
        <v>409</v>
      </c>
      <c r="V208" s="84">
        <v>164</v>
      </c>
      <c r="W208" s="85">
        <v>1.1709200204529924</v>
      </c>
      <c r="X208" s="86">
        <v>0.27473813403561204</v>
      </c>
      <c r="Y208" s="86">
        <v>9.426309087876697E-2</v>
      </c>
      <c r="Z208" s="85">
        <v>-2.1105444408195629E-3</v>
      </c>
      <c r="AA208" s="86">
        <v>4.8045201312521844E-2</v>
      </c>
      <c r="AB208" s="85">
        <v>-2.2170637132451114E-3</v>
      </c>
      <c r="AC208" s="87">
        <v>0.53842313775055062</v>
      </c>
      <c r="AD208" s="86">
        <v>0.45782493709706812</v>
      </c>
      <c r="AE208" s="86">
        <v>0.188855823489921</v>
      </c>
      <c r="AG208" s="76"/>
    </row>
    <row r="209" spans="14:33" x14ac:dyDescent="0.3">
      <c r="N209" s="167">
        <v>45215</v>
      </c>
      <c r="O209" s="171">
        <v>89.65</v>
      </c>
      <c r="P209" s="125">
        <v>2023</v>
      </c>
      <c r="Q209" s="125">
        <v>10</v>
      </c>
      <c r="R209" s="125" t="s">
        <v>269</v>
      </c>
      <c r="T209" s="125">
        <v>2024</v>
      </c>
      <c r="U209" s="125" t="s">
        <v>410</v>
      </c>
      <c r="V209" s="126">
        <v>10</v>
      </c>
      <c r="W209" s="127">
        <v>1.2551641961018303</v>
      </c>
      <c r="X209" s="128">
        <v>1.0726584461257194</v>
      </c>
      <c r="Y209" s="128">
        <v>0.21948943063387358</v>
      </c>
      <c r="Z209" s="127">
        <v>-5.7868654643208537E-4</v>
      </c>
      <c r="AA209" s="128">
        <v>1.4652309221875827E-2</v>
      </c>
      <c r="AB209" s="127">
        <v>-5.8729172641090732E-4</v>
      </c>
      <c r="AC209" s="129">
        <v>0.40675102626099358</v>
      </c>
      <c r="AD209" s="128">
        <v>0.25406917505650006</v>
      </c>
      <c r="AE209" s="128">
        <v>0.28732110193947924</v>
      </c>
      <c r="AG209" s="76"/>
    </row>
    <row r="210" spans="14:33" x14ac:dyDescent="0.3">
      <c r="N210" s="168">
        <v>45216</v>
      </c>
      <c r="O210" s="172">
        <v>89.9</v>
      </c>
      <c r="P210" s="83">
        <v>2023</v>
      </c>
      <c r="Q210" s="83">
        <v>10</v>
      </c>
      <c r="R210" s="83" t="s">
        <v>269</v>
      </c>
      <c r="T210" s="83">
        <v>2024</v>
      </c>
      <c r="U210" s="83" t="s">
        <v>411</v>
      </c>
      <c r="V210" s="84">
        <v>38</v>
      </c>
      <c r="W210" s="85">
        <v>1.2471014770997904</v>
      </c>
      <c r="X210" s="86">
        <v>0.48300567282668855</v>
      </c>
      <c r="Y210" s="86">
        <v>9.8288916826142728E-2</v>
      </c>
      <c r="Z210" s="85">
        <v>-1.2776102003783361E-3</v>
      </c>
      <c r="AA210" s="86">
        <v>4.5382199797510112E-2</v>
      </c>
      <c r="AB210" s="85">
        <v>-1.3383473470820828E-3</v>
      </c>
      <c r="AC210" s="87">
        <v>0.52696235580816431</v>
      </c>
      <c r="AD210" s="86">
        <v>0.46579004421759862</v>
      </c>
      <c r="AE210" s="86">
        <v>0.43451061610715019</v>
      </c>
      <c r="AG210" s="76"/>
    </row>
    <row r="211" spans="14:33" x14ac:dyDescent="0.3">
      <c r="N211" s="167">
        <v>45217</v>
      </c>
      <c r="O211" s="171">
        <v>90.22</v>
      </c>
      <c r="P211" s="125">
        <v>2023</v>
      </c>
      <c r="Q211" s="125">
        <v>10</v>
      </c>
      <c r="R211" s="125" t="s">
        <v>269</v>
      </c>
      <c r="T211" s="125">
        <v>2024</v>
      </c>
      <c r="U211" s="125" t="s">
        <v>412</v>
      </c>
      <c r="V211" s="126">
        <v>4</v>
      </c>
      <c r="W211" s="127">
        <v>1.4125912305600932</v>
      </c>
      <c r="X211" s="128">
        <v>0.58242118157245371</v>
      </c>
      <c r="Y211" s="128">
        <v>0.12024424146819795</v>
      </c>
      <c r="Z211" s="127">
        <v>-1.1999197869749711E-3</v>
      </c>
      <c r="AA211" s="128">
        <v>9.8248914040228272E-2</v>
      </c>
      <c r="AB211" s="127">
        <v>-1.3306552170079683E-3</v>
      </c>
      <c r="AC211" s="129">
        <v>0.44892380334886139</v>
      </c>
      <c r="AD211" s="128">
        <v>0.39493176140036279</v>
      </c>
      <c r="AE211" s="128">
        <v>0.41460083246837737</v>
      </c>
      <c r="AG211" s="76"/>
    </row>
    <row r="212" spans="14:33" x14ac:dyDescent="0.3">
      <c r="N212" s="168">
        <v>45218</v>
      </c>
      <c r="O212" s="172">
        <v>91.01</v>
      </c>
      <c r="P212" s="83">
        <v>2023</v>
      </c>
      <c r="Q212" s="83">
        <v>10</v>
      </c>
      <c r="R212" s="83" t="s">
        <v>269</v>
      </c>
      <c r="T212" s="83">
        <v>2024</v>
      </c>
      <c r="U212" s="83" t="s">
        <v>413</v>
      </c>
      <c r="V212" s="84">
        <v>76</v>
      </c>
      <c r="W212" s="85">
        <v>1.2772947079305697</v>
      </c>
      <c r="X212" s="86">
        <v>0.27404332014115201</v>
      </c>
      <c r="Y212" s="86">
        <v>0.10749764638974661</v>
      </c>
      <c r="Z212" s="85">
        <v>-2.3081290709979175E-3</v>
      </c>
      <c r="AA212" s="86">
        <v>4.9966819284392533E-2</v>
      </c>
      <c r="AB212" s="85">
        <v>-2.4295246922421505E-3</v>
      </c>
      <c r="AC212" s="87">
        <v>0.48818195945349135</v>
      </c>
      <c r="AD212" s="86">
        <v>0.42320469092143559</v>
      </c>
      <c r="AE212" s="86">
        <v>0.11590456255368969</v>
      </c>
      <c r="AG212" s="76"/>
    </row>
    <row r="213" spans="14:33" x14ac:dyDescent="0.3">
      <c r="N213" s="167">
        <v>45219</v>
      </c>
      <c r="O213" s="171">
        <v>90.89</v>
      </c>
      <c r="P213" s="125">
        <v>2023</v>
      </c>
      <c r="Q213" s="125">
        <v>10</v>
      </c>
      <c r="R213" s="125" t="s">
        <v>269</v>
      </c>
      <c r="T213" s="125">
        <v>2024</v>
      </c>
      <c r="U213" s="125" t="s">
        <v>414</v>
      </c>
      <c r="V213" s="126">
        <v>19</v>
      </c>
      <c r="W213" s="127">
        <v>1.4521788818808701</v>
      </c>
      <c r="X213" s="128">
        <v>0.21708836405146484</v>
      </c>
      <c r="Y213" s="128">
        <v>2.2762442840657152E-2</v>
      </c>
      <c r="Z213" s="127">
        <v>-3.3141923812883361E-3</v>
      </c>
      <c r="AA213" s="128">
        <v>0.12601748160559528</v>
      </c>
      <c r="AB213" s="127">
        <v>-3.7920579777463354E-3</v>
      </c>
      <c r="AC213" s="129">
        <v>0.55022556697275737</v>
      </c>
      <c r="AD213" s="128">
        <v>0.61956739404999339</v>
      </c>
      <c r="AE213" s="128" t="s">
        <v>494</v>
      </c>
      <c r="AG213" s="76"/>
    </row>
    <row r="214" spans="14:33" x14ac:dyDescent="0.3">
      <c r="N214" s="168">
        <v>45222</v>
      </c>
      <c r="O214" s="172">
        <v>88.69</v>
      </c>
      <c r="P214" s="83">
        <v>2023</v>
      </c>
      <c r="Q214" s="83">
        <v>10</v>
      </c>
      <c r="R214" s="83" t="s">
        <v>269</v>
      </c>
      <c r="T214" s="83">
        <v>2024</v>
      </c>
      <c r="U214" s="83" t="s">
        <v>415</v>
      </c>
      <c r="V214" s="84">
        <v>80</v>
      </c>
      <c r="W214" s="85">
        <v>1.1713869322889647</v>
      </c>
      <c r="X214" s="86">
        <v>0.32563052145455873</v>
      </c>
      <c r="Y214" s="86">
        <v>6.4707619952578926E-2</v>
      </c>
      <c r="Z214" s="85">
        <v>-1.7808984597078115E-3</v>
      </c>
      <c r="AA214" s="86">
        <v>5.2114354259030375E-2</v>
      </c>
      <c r="AB214" s="85">
        <v>-1.8788115082338536E-3</v>
      </c>
      <c r="AC214" s="87">
        <v>0.60526859741162964</v>
      </c>
      <c r="AD214" s="86">
        <v>0.47775300169020696</v>
      </c>
      <c r="AE214" s="86">
        <v>0.26370038953388647</v>
      </c>
      <c r="AG214" s="76"/>
    </row>
    <row r="215" spans="14:33" x14ac:dyDescent="0.3">
      <c r="N215" s="167">
        <v>45223</v>
      </c>
      <c r="O215" s="171">
        <v>87.16</v>
      </c>
      <c r="P215" s="125">
        <v>2023</v>
      </c>
      <c r="Q215" s="125">
        <v>10</v>
      </c>
      <c r="R215" s="125" t="s">
        <v>269</v>
      </c>
      <c r="T215" s="125">
        <v>2024</v>
      </c>
      <c r="U215" s="125" t="s">
        <v>416</v>
      </c>
      <c r="V215" s="126">
        <v>42</v>
      </c>
      <c r="W215" s="127">
        <v>1.2910863648381774</v>
      </c>
      <c r="X215" s="128">
        <v>9.5226989386829622E-2</v>
      </c>
      <c r="Y215" s="128">
        <v>9.1326261969354353E-2</v>
      </c>
      <c r="Z215" s="127">
        <v>-6.7368924705652764E-3</v>
      </c>
      <c r="AA215" s="128">
        <v>1.7944827521250071E-2</v>
      </c>
      <c r="AB215" s="127">
        <v>-6.8599938774937331E-3</v>
      </c>
      <c r="AC215" s="129">
        <v>0.46002129530107139</v>
      </c>
      <c r="AD215" s="128">
        <v>0.48725444355956743</v>
      </c>
      <c r="AE215" s="128">
        <v>0.2502042492888249</v>
      </c>
      <c r="AG215" s="76"/>
    </row>
    <row r="216" spans="14:33" x14ac:dyDescent="0.3">
      <c r="N216" s="168">
        <v>45224</v>
      </c>
      <c r="O216" s="172">
        <v>89.12</v>
      </c>
      <c r="P216" s="83">
        <v>2023</v>
      </c>
      <c r="Q216" s="83">
        <v>10</v>
      </c>
      <c r="R216" s="83" t="s">
        <v>269</v>
      </c>
      <c r="T216" s="83">
        <v>2024</v>
      </c>
      <c r="U216" s="83" t="s">
        <v>474</v>
      </c>
      <c r="V216" s="84">
        <v>49</v>
      </c>
      <c r="W216" s="85">
        <v>1.2643960028602219</v>
      </c>
      <c r="X216" s="86">
        <v>0.30126277175061744</v>
      </c>
      <c r="Y216" s="86">
        <v>0.10517907237686368</v>
      </c>
      <c r="Z216" s="85">
        <v>-2.0780449837213494E-3</v>
      </c>
      <c r="AA216" s="86">
        <v>4.153892916080696E-2</v>
      </c>
      <c r="AB216" s="85">
        <v>-2.1681057759621787E-3</v>
      </c>
      <c r="AC216" s="87">
        <v>0.4573409539780639</v>
      </c>
      <c r="AD216" s="86">
        <v>0.35111645283882109</v>
      </c>
      <c r="AE216" s="86">
        <v>0.19305242155651664</v>
      </c>
      <c r="AG216" s="76"/>
    </row>
    <row r="217" spans="14:33" x14ac:dyDescent="0.3">
      <c r="N217" s="167">
        <v>45225</v>
      </c>
      <c r="O217" s="171">
        <v>87.05</v>
      </c>
      <c r="P217" s="125">
        <v>2023</v>
      </c>
      <c r="Q217" s="125">
        <v>10</v>
      </c>
      <c r="R217" s="125" t="s">
        <v>269</v>
      </c>
      <c r="T217" s="125">
        <v>2024</v>
      </c>
      <c r="U217" s="125" t="s">
        <v>417</v>
      </c>
      <c r="V217" s="126">
        <v>23</v>
      </c>
      <c r="W217" s="127">
        <v>1.0382284747790869</v>
      </c>
      <c r="X217" s="128">
        <v>0.21236570626489795</v>
      </c>
      <c r="Y217" s="128">
        <v>2.9800285457986134E-2</v>
      </c>
      <c r="Z217" s="127">
        <v>-2.4222821864990046E-3</v>
      </c>
      <c r="AA217" s="128">
        <v>4.6739475865868324E-2</v>
      </c>
      <c r="AB217" s="127">
        <v>-2.5410495086841227E-3</v>
      </c>
      <c r="AC217" s="129">
        <v>0.56432347793914572</v>
      </c>
      <c r="AD217" s="128">
        <v>0.57844438730746484</v>
      </c>
      <c r="AE217" s="128">
        <v>0.48718074359979791</v>
      </c>
      <c r="AG217" s="76"/>
    </row>
    <row r="218" spans="14:33" x14ac:dyDescent="0.3">
      <c r="N218" s="168">
        <v>45226</v>
      </c>
      <c r="O218" s="172">
        <v>89.2</v>
      </c>
      <c r="P218" s="83">
        <v>2023</v>
      </c>
      <c r="Q218" s="83">
        <v>10</v>
      </c>
      <c r="R218" s="83" t="s">
        <v>269</v>
      </c>
      <c r="T218" s="83">
        <v>2024</v>
      </c>
      <c r="U218" s="83" t="s">
        <v>475</v>
      </c>
      <c r="V218" s="84">
        <v>598</v>
      </c>
      <c r="W218" s="85">
        <v>1.2417422800706084</v>
      </c>
      <c r="X218" s="86">
        <v>0.1532086421175077</v>
      </c>
      <c r="Y218" s="86">
        <v>9.3669880911142409E-3</v>
      </c>
      <c r="Z218" s="85">
        <v>-4.0193497996369237E-3</v>
      </c>
      <c r="AA218" s="86">
        <v>7.1437251488811804E-2</v>
      </c>
      <c r="AB218" s="85">
        <v>-4.3285710158859495E-3</v>
      </c>
      <c r="AC218" s="87">
        <v>0.65399906075149938</v>
      </c>
      <c r="AD218" s="86">
        <v>0.58414093308210857</v>
      </c>
      <c r="AE218" s="86">
        <v>0.29812569880822276</v>
      </c>
      <c r="AG218" s="76"/>
    </row>
    <row r="219" spans="14:33" x14ac:dyDescent="0.3">
      <c r="N219" s="167">
        <v>45229</v>
      </c>
      <c r="O219" s="171">
        <v>86.35</v>
      </c>
      <c r="P219" s="125">
        <v>2023</v>
      </c>
      <c r="Q219" s="125">
        <v>10</v>
      </c>
      <c r="R219" s="125" t="s">
        <v>269</v>
      </c>
      <c r="T219" s="125">
        <v>2024</v>
      </c>
      <c r="U219" s="125" t="s">
        <v>476</v>
      </c>
      <c r="V219" s="126">
        <v>281</v>
      </c>
      <c r="W219" s="127">
        <v>1.2680061555196915</v>
      </c>
      <c r="X219" s="128">
        <v>0.13615574045546022</v>
      </c>
      <c r="Y219" s="128">
        <v>2.373947361492524E-2</v>
      </c>
      <c r="Z219" s="127">
        <v>-4.6202886016851472E-3</v>
      </c>
      <c r="AA219" s="128">
        <v>2.5649637421181277E-2</v>
      </c>
      <c r="AB219" s="127">
        <v>-4.7419170548226646E-3</v>
      </c>
      <c r="AC219" s="129">
        <v>0.69191225362599162</v>
      </c>
      <c r="AD219" s="128">
        <v>0.64883553950451733</v>
      </c>
      <c r="AE219" s="128">
        <v>0.18546971819096153</v>
      </c>
      <c r="AG219" s="76"/>
    </row>
    <row r="220" spans="14:33" x14ac:dyDescent="0.3">
      <c r="N220" s="168">
        <v>45230</v>
      </c>
      <c r="O220" s="172">
        <v>85.02</v>
      </c>
      <c r="P220" s="83">
        <v>2023</v>
      </c>
      <c r="Q220" s="83">
        <v>10</v>
      </c>
      <c r="R220" s="83" t="s">
        <v>269</v>
      </c>
      <c r="T220" s="83">
        <v>2024</v>
      </c>
      <c r="U220" s="83" t="s">
        <v>477</v>
      </c>
      <c r="V220" s="84">
        <v>33</v>
      </c>
      <c r="W220" s="85">
        <v>1.1008288893194806</v>
      </c>
      <c r="X220" s="86">
        <v>0.30610420787144932</v>
      </c>
      <c r="Y220" s="86">
        <v>7.0982357458296813E-2</v>
      </c>
      <c r="Z220" s="85">
        <v>-1.7805596501276749E-3</v>
      </c>
      <c r="AA220" s="86">
        <v>9.9048605897792408E-2</v>
      </c>
      <c r="AB220" s="85">
        <v>-1.9763104444740789E-3</v>
      </c>
      <c r="AC220" s="87">
        <v>0.54831668621017793</v>
      </c>
      <c r="AD220" s="86">
        <v>0.41812601855058806</v>
      </c>
      <c r="AE220" s="86">
        <v>0.17467699345638765</v>
      </c>
      <c r="AG220" s="76"/>
    </row>
    <row r="221" spans="14:33" x14ac:dyDescent="0.3">
      <c r="N221" s="167">
        <v>45231</v>
      </c>
      <c r="O221" s="171">
        <v>84.63</v>
      </c>
      <c r="P221" s="125">
        <v>2023</v>
      </c>
      <c r="Q221" s="125">
        <v>11</v>
      </c>
      <c r="R221" s="125" t="s">
        <v>269</v>
      </c>
      <c r="T221" s="125">
        <v>2024</v>
      </c>
      <c r="U221" s="125" t="s">
        <v>418</v>
      </c>
      <c r="V221" s="126">
        <v>110</v>
      </c>
      <c r="W221" s="127">
        <v>1.5896686619511227</v>
      </c>
      <c r="X221" s="128">
        <v>0.22517897119319411</v>
      </c>
      <c r="Y221" s="128">
        <v>4.468854824762538E-2</v>
      </c>
      <c r="Z221" s="127">
        <v>-3.4973356549063608E-3</v>
      </c>
      <c r="AA221" s="128">
        <v>5.0721749418674862E-2</v>
      </c>
      <c r="AB221" s="127">
        <v>-3.6842049765331082E-3</v>
      </c>
      <c r="AC221" s="129">
        <v>0.59440287550492121</v>
      </c>
      <c r="AD221" s="128">
        <v>0.58554859436634488</v>
      </c>
      <c r="AE221" s="128">
        <v>0.13952392240432268</v>
      </c>
      <c r="AG221" s="76"/>
    </row>
    <row r="222" spans="14:33" x14ac:dyDescent="0.3">
      <c r="N222" s="168">
        <v>45232</v>
      </c>
      <c r="O222" s="172">
        <v>86.85</v>
      </c>
      <c r="P222" s="83">
        <v>2023</v>
      </c>
      <c r="Q222" s="83">
        <v>11</v>
      </c>
      <c r="R222" s="83" t="s">
        <v>269</v>
      </c>
      <c r="T222" s="83">
        <v>2024</v>
      </c>
      <c r="U222" s="83" t="s">
        <v>419</v>
      </c>
      <c r="V222" s="84">
        <v>16</v>
      </c>
      <c r="W222" s="85">
        <v>1.5389191240889379</v>
      </c>
      <c r="X222" s="86">
        <v>0.16454415358129629</v>
      </c>
      <c r="Y222" s="86">
        <v>3.9839422941665745E-2</v>
      </c>
      <c r="Z222" s="85">
        <v>-4.6370748637752125E-3</v>
      </c>
      <c r="AA222" s="86">
        <v>0.15076516748919444</v>
      </c>
      <c r="AB222" s="85">
        <v>-5.4602975363898668E-3</v>
      </c>
      <c r="AC222" s="87">
        <v>0.59618023652287999</v>
      </c>
      <c r="AD222" s="86">
        <v>0.39564713245016608</v>
      </c>
      <c r="AE222" s="86">
        <v>3.2816740669127902</v>
      </c>
      <c r="AG222" s="76"/>
    </row>
    <row r="223" spans="14:33" x14ac:dyDescent="0.3">
      <c r="N223" s="167">
        <v>45233</v>
      </c>
      <c r="O223" s="171">
        <v>84.89</v>
      </c>
      <c r="P223" s="125">
        <v>2023</v>
      </c>
      <c r="Q223" s="125">
        <v>11</v>
      </c>
      <c r="R223" s="125" t="s">
        <v>269</v>
      </c>
      <c r="T223" s="125">
        <v>2024</v>
      </c>
      <c r="U223" s="125" t="s">
        <v>478</v>
      </c>
      <c r="V223" s="126">
        <v>138</v>
      </c>
      <c r="W223" s="127">
        <v>1.2012527647557136</v>
      </c>
      <c r="X223" s="128">
        <v>0.18815296717148403</v>
      </c>
      <c r="Y223" s="128">
        <v>6.2906519672550273E-2</v>
      </c>
      <c r="Z223" s="127">
        <v>-3.164243710787152E-3</v>
      </c>
      <c r="AA223" s="128">
        <v>5.6857387672521964E-2</v>
      </c>
      <c r="AB223" s="127">
        <v>-3.3550002612844124E-3</v>
      </c>
      <c r="AC223" s="129">
        <v>0.50307613144155283</v>
      </c>
      <c r="AD223" s="128">
        <v>0.449375866701406</v>
      </c>
      <c r="AE223" s="128">
        <v>0.25372538724431853</v>
      </c>
      <c r="AG223" s="76"/>
    </row>
    <row r="224" spans="14:33" x14ac:dyDescent="0.3">
      <c r="N224" s="168">
        <v>45236</v>
      </c>
      <c r="O224" s="172">
        <v>85.18</v>
      </c>
      <c r="P224" s="83">
        <v>2023</v>
      </c>
      <c r="Q224" s="83">
        <v>11</v>
      </c>
      <c r="R224" s="83" t="s">
        <v>269</v>
      </c>
      <c r="T224" s="83">
        <v>2024</v>
      </c>
      <c r="U224" s="83" t="s">
        <v>479</v>
      </c>
      <c r="V224" s="84">
        <v>43</v>
      </c>
      <c r="W224" s="85">
        <v>1.1967640138319908</v>
      </c>
      <c r="X224" s="86">
        <v>0.3159216597803674</v>
      </c>
      <c r="Y224" s="86">
        <v>0.13296156731028333</v>
      </c>
      <c r="Z224" s="85">
        <v>-1.8754837227294148E-3</v>
      </c>
      <c r="AA224" s="86">
        <v>4.9237983688661585E-2</v>
      </c>
      <c r="AB224" s="85">
        <v>-1.9726111167184712E-3</v>
      </c>
      <c r="AC224" s="87">
        <v>0.42193835857454437</v>
      </c>
      <c r="AD224" s="86">
        <v>0.35166848143953711</v>
      </c>
      <c r="AE224" s="86">
        <v>0.1519539977388748</v>
      </c>
      <c r="AG224" s="76"/>
    </row>
    <row r="225" spans="14:33" x14ac:dyDescent="0.3">
      <c r="N225" s="167">
        <v>45237</v>
      </c>
      <c r="O225" s="171">
        <v>81.61</v>
      </c>
      <c r="P225" s="125">
        <v>2023</v>
      </c>
      <c r="Q225" s="125">
        <v>11</v>
      </c>
      <c r="R225" s="125" t="s">
        <v>269</v>
      </c>
      <c r="T225" s="125">
        <v>2024</v>
      </c>
      <c r="U225" s="125" t="s">
        <v>420</v>
      </c>
      <c r="V225" s="126">
        <v>110</v>
      </c>
      <c r="W225" s="127">
        <v>1.4497950169593838</v>
      </c>
      <c r="X225" s="128">
        <v>0.33280500111802513</v>
      </c>
      <c r="Y225" s="128">
        <v>3.4485773715445603E-2</v>
      </c>
      <c r="Z225" s="127">
        <v>-2.1565841714577152E-3</v>
      </c>
      <c r="AA225" s="128">
        <v>6.9023482536863676E-2</v>
      </c>
      <c r="AB225" s="127">
        <v>-2.3164753686100454E-3</v>
      </c>
      <c r="AC225" s="129">
        <v>0.68827444182709896</v>
      </c>
      <c r="AD225" s="128">
        <v>0.578095571351251</v>
      </c>
      <c r="AE225" s="128">
        <v>0.25732913893489373</v>
      </c>
      <c r="AG225" s="76"/>
    </row>
    <row r="226" spans="14:33" x14ac:dyDescent="0.3">
      <c r="N226" s="168">
        <v>45238</v>
      </c>
      <c r="O226" s="172">
        <v>79.540000000000006</v>
      </c>
      <c r="P226" s="83">
        <v>2023</v>
      </c>
      <c r="Q226" s="83">
        <v>11</v>
      </c>
      <c r="R226" s="83" t="s">
        <v>269</v>
      </c>
      <c r="T226" s="83">
        <v>2024</v>
      </c>
      <c r="U226" s="83" t="s">
        <v>421</v>
      </c>
      <c r="V226" s="84">
        <v>62</v>
      </c>
      <c r="W226" s="85">
        <v>1.0153454106826958</v>
      </c>
      <c r="X226" s="86">
        <v>0.25536486314909534</v>
      </c>
      <c r="Y226" s="86">
        <v>5.4211005912351659E-2</v>
      </c>
      <c r="Z226" s="85">
        <v>-1.9692383054713981E-3</v>
      </c>
      <c r="AA226" s="86">
        <v>8.1137078092717446E-3</v>
      </c>
      <c r="AB226" s="85">
        <v>-1.9853468295464019E-3</v>
      </c>
      <c r="AC226" s="87">
        <v>0.61566156782923753</v>
      </c>
      <c r="AD226" s="86">
        <v>0.48087346767746236</v>
      </c>
      <c r="AE226" s="86">
        <v>0.13314926778396013</v>
      </c>
      <c r="AG226" s="76"/>
    </row>
    <row r="227" spans="14:33" x14ac:dyDescent="0.3">
      <c r="N227" s="167">
        <v>45239</v>
      </c>
      <c r="O227" s="171">
        <v>80.010000000000005</v>
      </c>
      <c r="P227" s="125">
        <v>2023</v>
      </c>
      <c r="Q227" s="125">
        <v>11</v>
      </c>
      <c r="R227" s="125" t="s">
        <v>269</v>
      </c>
      <c r="T227" s="125">
        <v>2024</v>
      </c>
      <c r="U227" s="125" t="s">
        <v>422</v>
      </c>
      <c r="V227" s="126">
        <v>39</v>
      </c>
      <c r="W227" s="127">
        <v>1.1403135761675725</v>
      </c>
      <c r="X227" s="128">
        <v>0.33866680168767294</v>
      </c>
      <c r="Y227" s="128">
        <v>6.6354615342110748E-2</v>
      </c>
      <c r="Z227" s="127">
        <v>-1.6668255218533256E-3</v>
      </c>
      <c r="AA227" s="128">
        <v>2.3316489175641959E-2</v>
      </c>
      <c r="AB227" s="127">
        <v>-1.7066178586822476E-3</v>
      </c>
      <c r="AC227" s="129">
        <v>0.58902891744351826</v>
      </c>
      <c r="AD227" s="128">
        <v>0.54426709586173694</v>
      </c>
      <c r="AE227" s="128">
        <v>0.26089987310925372</v>
      </c>
      <c r="AG227" s="76"/>
    </row>
    <row r="228" spans="14:33" x14ac:dyDescent="0.3">
      <c r="N228" s="168">
        <v>45240</v>
      </c>
      <c r="O228" s="172">
        <v>81.430000000000007</v>
      </c>
      <c r="P228" s="83">
        <v>2023</v>
      </c>
      <c r="Q228" s="83">
        <v>11</v>
      </c>
      <c r="R228" s="83" t="s">
        <v>269</v>
      </c>
      <c r="T228" s="83">
        <v>2024</v>
      </c>
      <c r="U228" s="83" t="s">
        <v>423</v>
      </c>
      <c r="V228" s="84">
        <v>223</v>
      </c>
      <c r="W228" s="85">
        <v>0.88572507363771524</v>
      </c>
      <c r="X228" s="86">
        <v>10.043963353993375</v>
      </c>
      <c r="Y228" s="86">
        <v>0.14608585547831091</v>
      </c>
      <c r="Z228" s="85">
        <v>-4.359325633916192E-5</v>
      </c>
      <c r="AA228" s="86">
        <v>2.23635951229793E-2</v>
      </c>
      <c r="AB228" s="85">
        <v>-4.4590459317690427E-5</v>
      </c>
      <c r="AC228" s="87">
        <v>0.33784250120258325</v>
      </c>
      <c r="AD228" s="86">
        <v>0.27145306503706762</v>
      </c>
      <c r="AE228" s="86">
        <v>0.61670379122051722</v>
      </c>
      <c r="AG228" s="76"/>
    </row>
    <row r="229" spans="14:33" x14ac:dyDescent="0.3">
      <c r="N229" s="167">
        <v>45243</v>
      </c>
      <c r="O229" s="171">
        <v>82.52</v>
      </c>
      <c r="P229" s="125">
        <v>2023</v>
      </c>
      <c r="Q229" s="125">
        <v>11</v>
      </c>
      <c r="R229" s="125" t="s">
        <v>269</v>
      </c>
      <c r="T229" s="125">
        <v>2024</v>
      </c>
      <c r="U229" s="125" t="s">
        <v>424</v>
      </c>
      <c r="V229" s="126">
        <v>92</v>
      </c>
      <c r="W229" s="127">
        <v>0.91752023311739583</v>
      </c>
      <c r="X229" s="128">
        <v>0.28857870023567972</v>
      </c>
      <c r="Y229" s="128">
        <v>7.7369309042831444E-2</v>
      </c>
      <c r="Z229" s="127">
        <v>-1.5743455053141178E-3</v>
      </c>
      <c r="AA229" s="128">
        <v>1.87364939663376E-2</v>
      </c>
      <c r="AB229" s="127">
        <v>-1.6044064572193614E-3</v>
      </c>
      <c r="AC229" s="129">
        <v>0.48660886685275451</v>
      </c>
      <c r="AD229" s="128">
        <v>0.34228783415433228</v>
      </c>
      <c r="AE229" s="128">
        <v>0.16971271691317583</v>
      </c>
      <c r="AG229" s="76"/>
    </row>
    <row r="230" spans="14:33" x14ac:dyDescent="0.3">
      <c r="N230" s="168">
        <v>45244</v>
      </c>
      <c r="O230" s="172">
        <v>82.47</v>
      </c>
      <c r="P230" s="83">
        <v>2023</v>
      </c>
      <c r="Q230" s="83">
        <v>11</v>
      </c>
      <c r="R230" s="83" t="s">
        <v>269</v>
      </c>
      <c r="T230" s="83">
        <v>2024</v>
      </c>
      <c r="U230" s="83" t="s">
        <v>425</v>
      </c>
      <c r="V230" s="84">
        <v>14</v>
      </c>
      <c r="W230" s="85">
        <v>1.1237058272854066</v>
      </c>
      <c r="X230" s="86">
        <v>0.4615645897310518</v>
      </c>
      <c r="Y230" s="86">
        <v>0.11937255281975857</v>
      </c>
      <c r="Z230" s="85">
        <v>-1.2047297262100336E-3</v>
      </c>
      <c r="AA230" s="86">
        <v>1.2964298755208017E-2</v>
      </c>
      <c r="AB230" s="85">
        <v>-1.2205533444136808E-3</v>
      </c>
      <c r="AC230" s="87">
        <v>0.47929314717046612</v>
      </c>
      <c r="AD230" s="86">
        <v>0.32418308733551454</v>
      </c>
      <c r="AE230" s="86">
        <v>0.25632423585379177</v>
      </c>
      <c r="AG230" s="76"/>
    </row>
    <row r="231" spans="14:33" x14ac:dyDescent="0.3">
      <c r="N231" s="167">
        <v>45245</v>
      </c>
      <c r="O231" s="171">
        <v>81.180000000000007</v>
      </c>
      <c r="P231" s="125">
        <v>2023</v>
      </c>
      <c r="Q231" s="125">
        <v>11</v>
      </c>
      <c r="R231" s="125" t="s">
        <v>269</v>
      </c>
      <c r="T231" s="125">
        <v>2024</v>
      </c>
      <c r="U231" s="125" t="s">
        <v>426</v>
      </c>
      <c r="V231" s="126">
        <v>32</v>
      </c>
      <c r="W231" s="127">
        <v>1.2708955631991046</v>
      </c>
      <c r="X231" s="128">
        <v>0.55936201185575507</v>
      </c>
      <c r="Y231" s="128">
        <v>0.12672224018253109</v>
      </c>
      <c r="Z231" s="127">
        <v>-1.1241000662326015E-3</v>
      </c>
      <c r="AA231" s="128">
        <v>5.9473625852007939E-2</v>
      </c>
      <c r="AB231" s="127">
        <v>-1.1951818653154792E-3</v>
      </c>
      <c r="AC231" s="129">
        <v>0.54836004530607518</v>
      </c>
      <c r="AD231" s="128">
        <v>0.41911842205905825</v>
      </c>
      <c r="AE231" s="128">
        <v>0.24912194882957625</v>
      </c>
      <c r="AG231" s="76"/>
    </row>
    <row r="232" spans="14:33" x14ac:dyDescent="0.3">
      <c r="N232" s="168">
        <v>45246</v>
      </c>
      <c r="O232" s="172">
        <v>77.42</v>
      </c>
      <c r="P232" s="83">
        <v>2023</v>
      </c>
      <c r="Q232" s="83">
        <v>11</v>
      </c>
      <c r="R232" s="83" t="s">
        <v>269</v>
      </c>
      <c r="T232" s="83">
        <v>2024</v>
      </c>
      <c r="U232" s="83" t="s">
        <v>480</v>
      </c>
      <c r="V232" s="84">
        <v>19</v>
      </c>
      <c r="W232" s="85">
        <v>1.60070111091836</v>
      </c>
      <c r="X232" s="86">
        <v>1.2111640347849206</v>
      </c>
      <c r="Y232" s="86">
        <v>6.7279229737616172E-2</v>
      </c>
      <c r="Z232" s="85">
        <v>-6.5356484460743285E-4</v>
      </c>
      <c r="AA232" s="86">
        <v>4.379247523402989E-2</v>
      </c>
      <c r="AB232" s="85">
        <v>-6.8349686410111815E-4</v>
      </c>
      <c r="AC232" s="87">
        <v>0.67706030467577893</v>
      </c>
      <c r="AD232" s="86">
        <v>0.67598359199996327</v>
      </c>
      <c r="AE232" s="86">
        <v>0.62821896028330626</v>
      </c>
      <c r="AG232" s="76"/>
    </row>
    <row r="233" spans="14:33" x14ac:dyDescent="0.3">
      <c r="N233" s="167">
        <v>45247</v>
      </c>
      <c r="O233" s="171">
        <v>80.5</v>
      </c>
      <c r="P233" s="125">
        <v>2023</v>
      </c>
      <c r="Q233" s="125">
        <v>11</v>
      </c>
      <c r="R233" s="125" t="s">
        <v>269</v>
      </c>
      <c r="T233" s="125">
        <v>2024</v>
      </c>
      <c r="U233" s="125" t="s">
        <v>427</v>
      </c>
      <c r="V233" s="126">
        <v>254</v>
      </c>
      <c r="W233" s="127">
        <v>1.1623831948690986</v>
      </c>
      <c r="X233" s="128">
        <v>0.12602806724123175</v>
      </c>
      <c r="Y233" s="128">
        <v>3.6967519289018667E-2</v>
      </c>
      <c r="Z233" s="127">
        <v>-4.5771266630079098E-3</v>
      </c>
      <c r="AA233" s="128">
        <v>3.1994527781721203E-2</v>
      </c>
      <c r="AB233" s="127">
        <v>-4.7284099050793364E-3</v>
      </c>
      <c r="AC233" s="129">
        <v>0.59385542680083958</v>
      </c>
      <c r="AD233" s="128">
        <v>0.50940122537609955</v>
      </c>
      <c r="AE233" s="128">
        <v>0.30097979999874019</v>
      </c>
      <c r="AG233" s="76"/>
    </row>
    <row r="234" spans="14:33" x14ac:dyDescent="0.3">
      <c r="N234" s="168">
        <v>45250</v>
      </c>
      <c r="O234" s="172">
        <v>82.34</v>
      </c>
      <c r="P234" s="83">
        <v>2023</v>
      </c>
      <c r="Q234" s="83">
        <v>11</v>
      </c>
      <c r="R234" s="83" t="s">
        <v>269</v>
      </c>
      <c r="T234" s="83">
        <v>2024</v>
      </c>
      <c r="U234" s="83" t="s">
        <v>481</v>
      </c>
      <c r="V234" s="84">
        <v>131</v>
      </c>
      <c r="W234" s="85">
        <v>1.1603652760592904</v>
      </c>
      <c r="X234" s="86">
        <v>0.23605438336428305</v>
      </c>
      <c r="Y234" s="86">
        <v>6.7422782748656859E-2</v>
      </c>
      <c r="Z234" s="85">
        <v>-2.4349899343496044E-3</v>
      </c>
      <c r="AA234" s="86">
        <v>8.0849129295955585E-2</v>
      </c>
      <c r="AB234" s="85">
        <v>-2.6491732880418953E-3</v>
      </c>
      <c r="AC234" s="87">
        <v>0.56359840316908172</v>
      </c>
      <c r="AD234" s="86">
        <v>0.47792508451312243</v>
      </c>
      <c r="AE234" s="86">
        <v>0.27585814850670065</v>
      </c>
      <c r="AG234" s="76"/>
    </row>
    <row r="235" spans="14:33" x14ac:dyDescent="0.3">
      <c r="N235" s="167">
        <v>45251</v>
      </c>
      <c r="O235" s="171">
        <v>82.48</v>
      </c>
      <c r="P235" s="125">
        <v>2023</v>
      </c>
      <c r="Q235" s="125">
        <v>11</v>
      </c>
      <c r="R235" s="125" t="s">
        <v>269</v>
      </c>
      <c r="T235" s="125">
        <v>2024</v>
      </c>
      <c r="U235" s="125" t="s">
        <v>471</v>
      </c>
      <c r="V235" s="126">
        <v>138</v>
      </c>
      <c r="W235" s="127">
        <v>1.4715094541215377</v>
      </c>
      <c r="X235" s="128">
        <v>0.14208144140427534</v>
      </c>
      <c r="Y235" s="128">
        <v>4.304939948115865E-2</v>
      </c>
      <c r="Z235" s="127">
        <v>-5.1374003087946039E-3</v>
      </c>
      <c r="AA235" s="128">
        <v>2.9861395459020352E-2</v>
      </c>
      <c r="AB235" s="127">
        <v>-5.2955322927545605E-3</v>
      </c>
      <c r="AC235" s="129">
        <v>0.61728792200791271</v>
      </c>
      <c r="AD235" s="128">
        <v>0.53871737622490645</v>
      </c>
      <c r="AE235" s="128">
        <v>0.48966291900694897</v>
      </c>
      <c r="AG235" s="76"/>
    </row>
    <row r="236" spans="14:33" x14ac:dyDescent="0.3">
      <c r="N236" s="168">
        <v>45252</v>
      </c>
      <c r="O236" s="172">
        <v>81.88</v>
      </c>
      <c r="P236" s="83">
        <v>2023</v>
      </c>
      <c r="Q236" s="83">
        <v>11</v>
      </c>
      <c r="R236" s="83" t="s">
        <v>269</v>
      </c>
      <c r="T236" s="83">
        <v>2024</v>
      </c>
      <c r="U236" s="83" t="s">
        <v>428</v>
      </c>
      <c r="V236" s="84">
        <v>32</v>
      </c>
      <c r="W236" s="85">
        <v>1.5022071383659328</v>
      </c>
      <c r="X236" s="86">
        <v>0.32335735016651312</v>
      </c>
      <c r="Y236" s="86">
        <v>0.17814639912453609</v>
      </c>
      <c r="Z236" s="85">
        <v>-2.2999352735212416E-3</v>
      </c>
      <c r="AA236" s="86">
        <v>9.3127543900187543E-2</v>
      </c>
      <c r="AB236" s="85">
        <v>-2.5361176845226682E-3</v>
      </c>
      <c r="AC236" s="87">
        <v>0.41272083246912217</v>
      </c>
      <c r="AD236" s="86">
        <v>0.33330387129630179</v>
      </c>
      <c r="AE236" s="86">
        <v>0.70576218876640073</v>
      </c>
      <c r="AG236" s="76"/>
    </row>
    <row r="237" spans="14:33" x14ac:dyDescent="0.3">
      <c r="N237" s="167">
        <v>45253</v>
      </c>
      <c r="O237" s="171">
        <v>81.25</v>
      </c>
      <c r="P237" s="125">
        <v>2023</v>
      </c>
      <c r="Q237" s="125">
        <v>11</v>
      </c>
      <c r="R237" s="125" t="s">
        <v>269</v>
      </c>
      <c r="T237" s="125">
        <v>2024</v>
      </c>
      <c r="U237" s="125" t="s">
        <v>482</v>
      </c>
      <c r="V237" s="126">
        <v>34</v>
      </c>
      <c r="W237" s="127">
        <v>1.174001444953803</v>
      </c>
      <c r="X237" s="128">
        <v>0.87237425980200867</v>
      </c>
      <c r="Y237" s="128">
        <v>9.557019609780229E-2</v>
      </c>
      <c r="Z237" s="127">
        <v>-6.6560421089785298E-4</v>
      </c>
      <c r="AA237" s="128">
        <v>1.8538212587318761E-2</v>
      </c>
      <c r="AB237" s="127">
        <v>-6.7817638896824656E-4</v>
      </c>
      <c r="AC237" s="129">
        <v>0.60279093296241726</v>
      </c>
      <c r="AD237" s="128">
        <v>0.5119442326502478</v>
      </c>
      <c r="AE237" s="128">
        <v>0.18609860515663568</v>
      </c>
      <c r="AG237" s="76"/>
    </row>
    <row r="238" spans="14:33" x14ac:dyDescent="0.3">
      <c r="N238" s="168">
        <v>45254</v>
      </c>
      <c r="O238" s="172">
        <v>80.48</v>
      </c>
      <c r="P238" s="83">
        <v>2023</v>
      </c>
      <c r="Q238" s="83">
        <v>11</v>
      </c>
      <c r="R238" s="83" t="s">
        <v>269</v>
      </c>
      <c r="T238" s="83">
        <v>2024</v>
      </c>
      <c r="U238" s="83" t="s">
        <v>429</v>
      </c>
      <c r="V238" s="84">
        <v>69</v>
      </c>
      <c r="W238" s="85">
        <v>1.4599765370156599</v>
      </c>
      <c r="X238" s="86">
        <v>0.66577209240563995</v>
      </c>
      <c r="Y238" s="86">
        <v>8.1424228660483253E-2</v>
      </c>
      <c r="Z238" s="85">
        <v>-1.0847932573205333E-3</v>
      </c>
      <c r="AA238" s="86">
        <v>8.2200350685883675E-2</v>
      </c>
      <c r="AB238" s="85">
        <v>-1.1819499583936577E-3</v>
      </c>
      <c r="AC238" s="87">
        <v>0.48499566878652478</v>
      </c>
      <c r="AD238" s="86">
        <v>0.38051359185436157</v>
      </c>
      <c r="AE238" s="86">
        <v>1.0024098795355374</v>
      </c>
      <c r="AG238" s="76"/>
    </row>
    <row r="239" spans="14:33" x14ac:dyDescent="0.3">
      <c r="N239" s="167">
        <v>45257</v>
      </c>
      <c r="O239" s="171">
        <v>79.87</v>
      </c>
      <c r="P239" s="125">
        <v>2023</v>
      </c>
      <c r="Q239" s="125">
        <v>11</v>
      </c>
      <c r="R239" s="125" t="s">
        <v>269</v>
      </c>
      <c r="T239" s="125">
        <v>2024</v>
      </c>
      <c r="U239" s="125" t="s">
        <v>430</v>
      </c>
      <c r="V239" s="126">
        <v>127</v>
      </c>
      <c r="W239" s="127">
        <v>1.1550009836175177</v>
      </c>
      <c r="X239" s="128">
        <v>0.1552397595380495</v>
      </c>
      <c r="Y239" s="128">
        <v>6.7270246303556352E-2</v>
      </c>
      <c r="Z239" s="127">
        <v>-3.6895092153048448E-3</v>
      </c>
      <c r="AA239" s="128">
        <v>2.2054657954777637E-2</v>
      </c>
      <c r="AB239" s="127">
        <v>-3.7727151576680182E-3</v>
      </c>
      <c r="AC239" s="129">
        <v>0.65765860091096795</v>
      </c>
      <c r="AD239" s="128">
        <v>0.56827524943110697</v>
      </c>
      <c r="AE239" s="128">
        <v>6.918830586435934E-2</v>
      </c>
      <c r="AG239" s="76"/>
    </row>
    <row r="240" spans="14:33" x14ac:dyDescent="0.3">
      <c r="N240" s="168">
        <v>45258</v>
      </c>
      <c r="O240" s="172">
        <v>81.47</v>
      </c>
      <c r="P240" s="83">
        <v>2023</v>
      </c>
      <c r="Q240" s="83">
        <v>11</v>
      </c>
      <c r="R240" s="83" t="s">
        <v>269</v>
      </c>
      <c r="T240" s="83">
        <v>2024</v>
      </c>
      <c r="U240" s="83" t="s">
        <v>431</v>
      </c>
      <c r="V240" s="84">
        <v>73</v>
      </c>
      <c r="W240" s="85">
        <v>1.4047128789332648</v>
      </c>
      <c r="X240" s="86">
        <v>0.13058755319285983</v>
      </c>
      <c r="Y240" s="86">
        <v>0.12449529547899026</v>
      </c>
      <c r="Z240" s="85">
        <v>-5.3374885784819789E-3</v>
      </c>
      <c r="AA240" s="86">
        <v>4.0524175559670791E-2</v>
      </c>
      <c r="AB240" s="85">
        <v>-5.562921381156616E-3</v>
      </c>
      <c r="AC240" s="87">
        <v>0.47681215121694209</v>
      </c>
      <c r="AD240" s="86">
        <v>0.4510937058049509</v>
      </c>
      <c r="AE240" s="86">
        <v>0.2835450565434452</v>
      </c>
      <c r="AG240" s="76"/>
    </row>
    <row r="241" spans="14:33" x14ac:dyDescent="0.3">
      <c r="N241" s="167">
        <v>45259</v>
      </c>
      <c r="O241" s="171">
        <v>82.88</v>
      </c>
      <c r="P241" s="125">
        <v>2023</v>
      </c>
      <c r="Q241" s="125">
        <v>11</v>
      </c>
      <c r="R241" s="125" t="s">
        <v>269</v>
      </c>
      <c r="T241" s="125">
        <v>2024</v>
      </c>
      <c r="U241" s="125" t="s">
        <v>432</v>
      </c>
      <c r="V241" s="126">
        <v>21</v>
      </c>
      <c r="W241" s="127">
        <v>1.2277613538599423</v>
      </c>
      <c r="X241" s="128">
        <v>0.30488971397762499</v>
      </c>
      <c r="Y241" s="128">
        <v>0.10263886699732405</v>
      </c>
      <c r="Z241" s="127">
        <v>-1.9937926612106204E-3</v>
      </c>
      <c r="AA241" s="128">
        <v>2.6949929115194532E-2</v>
      </c>
      <c r="AB241" s="127">
        <v>-2.049013427847184E-3</v>
      </c>
      <c r="AC241" s="129">
        <v>0.45212247290893337</v>
      </c>
      <c r="AD241" s="128">
        <v>0.43761028506670019</v>
      </c>
      <c r="AE241" s="128">
        <v>0.37989752214453631</v>
      </c>
      <c r="AG241" s="76"/>
    </row>
    <row r="242" spans="14:33" x14ac:dyDescent="0.3">
      <c r="N242" s="168">
        <v>45260</v>
      </c>
      <c r="O242" s="172">
        <v>80.86</v>
      </c>
      <c r="P242" s="83">
        <v>2023</v>
      </c>
      <c r="Q242" s="83">
        <v>11</v>
      </c>
      <c r="R242" s="83" t="s">
        <v>269</v>
      </c>
      <c r="T242" s="83">
        <v>2024</v>
      </c>
      <c r="U242" s="83" t="s">
        <v>433</v>
      </c>
      <c r="V242" s="84">
        <v>27</v>
      </c>
      <c r="W242" s="85">
        <v>0.93935366031437906</v>
      </c>
      <c r="X242" s="86">
        <v>0.92403206740116273</v>
      </c>
      <c r="Y242" s="86">
        <v>0.11407564986678613</v>
      </c>
      <c r="Z242" s="85">
        <v>-5.0278069754386E-4</v>
      </c>
      <c r="AA242" s="86">
        <v>0.16873839578331887</v>
      </c>
      <c r="AB242" s="85">
        <v>-6.0484051590190186E-4</v>
      </c>
      <c r="AC242" s="87">
        <v>0.37737813626902367</v>
      </c>
      <c r="AD242" s="86">
        <v>0.28891454530535254</v>
      </c>
      <c r="AE242" s="86">
        <v>0.19531559316980887</v>
      </c>
      <c r="AG242" s="76"/>
    </row>
    <row r="243" spans="14:33" x14ac:dyDescent="0.3">
      <c r="N243" s="167">
        <v>45261</v>
      </c>
      <c r="O243" s="171">
        <v>78.88</v>
      </c>
      <c r="P243" s="125">
        <v>2023</v>
      </c>
      <c r="Q243" s="125">
        <v>12</v>
      </c>
      <c r="R243" s="125" t="s">
        <v>269</v>
      </c>
      <c r="T243" s="125">
        <v>2024</v>
      </c>
      <c r="U243" s="125" t="s">
        <v>434</v>
      </c>
      <c r="V243" s="126">
        <v>51</v>
      </c>
      <c r="W243" s="127">
        <v>0.80330136282469566</v>
      </c>
      <c r="X243" s="128">
        <v>0.21465948670887489</v>
      </c>
      <c r="Y243" s="128">
        <v>0.109240658776035</v>
      </c>
      <c r="Z243" s="127">
        <v>-1.8541026558464521E-3</v>
      </c>
      <c r="AA243" s="128">
        <v>5.1581418326943157E-2</v>
      </c>
      <c r="AB243" s="127">
        <v>-1.9549413008924017E-3</v>
      </c>
      <c r="AC243" s="129">
        <v>0.35270918786226862</v>
      </c>
      <c r="AD243" s="128">
        <v>0.27667183307261639</v>
      </c>
      <c r="AE243" s="128">
        <v>0.25431028874335815</v>
      </c>
      <c r="AG243" s="76"/>
    </row>
    <row r="244" spans="14:33" x14ac:dyDescent="0.3">
      <c r="N244" s="168">
        <v>45264</v>
      </c>
      <c r="O244" s="172">
        <v>78.03</v>
      </c>
      <c r="P244" s="83">
        <v>2023</v>
      </c>
      <c r="Q244" s="83">
        <v>12</v>
      </c>
      <c r="R244" s="83" t="s">
        <v>269</v>
      </c>
      <c r="T244" s="83">
        <v>2024</v>
      </c>
      <c r="U244" s="83" t="s">
        <v>483</v>
      </c>
      <c r="V244" s="84">
        <v>600</v>
      </c>
      <c r="W244" s="85">
        <v>0.62361295447909626</v>
      </c>
      <c r="X244" s="86">
        <v>0.38346905996267916</v>
      </c>
      <c r="Y244" s="86">
        <v>4.0125418223955996E-2</v>
      </c>
      <c r="Z244" s="85">
        <v>-8.0491331265508074E-4</v>
      </c>
      <c r="AA244" s="86">
        <v>9.9361219655371313E-2</v>
      </c>
      <c r="AB244" s="85">
        <v>-8.9371380649085671E-4</v>
      </c>
      <c r="AC244" s="87">
        <v>0.14993616815022495</v>
      </c>
      <c r="AD244" s="86">
        <v>9.9064267399825573E-2</v>
      </c>
      <c r="AE244" s="86">
        <v>0.26121287090127876</v>
      </c>
      <c r="AG244" s="76"/>
    </row>
    <row r="245" spans="14:33" x14ac:dyDescent="0.3">
      <c r="N245" s="167">
        <v>45265</v>
      </c>
      <c r="O245" s="171">
        <v>77.2</v>
      </c>
      <c r="P245" s="125">
        <v>2023</v>
      </c>
      <c r="Q245" s="125">
        <v>12</v>
      </c>
      <c r="R245" s="125" t="s">
        <v>269</v>
      </c>
      <c r="T245" s="125">
        <v>2024</v>
      </c>
      <c r="U245" s="125" t="s">
        <v>435</v>
      </c>
      <c r="V245" s="126">
        <v>116</v>
      </c>
      <c r="W245" s="127">
        <v>1.2248168994320441</v>
      </c>
      <c r="X245" s="128">
        <v>0.20842493500465975</v>
      </c>
      <c r="Y245" s="128">
        <v>0.10366582315102471</v>
      </c>
      <c r="Z245" s="127">
        <v>-2.9117684727120734E-3</v>
      </c>
      <c r="AA245" s="128">
        <v>3.1620151885439637E-2</v>
      </c>
      <c r="AB245" s="127">
        <v>-3.0068453803342755E-3</v>
      </c>
      <c r="AC245" s="129">
        <v>0.42240656630421392</v>
      </c>
      <c r="AD245" s="128">
        <v>0.32362033573649224</v>
      </c>
      <c r="AE245" s="128">
        <v>0.16912160618518354</v>
      </c>
      <c r="AG245" s="76"/>
    </row>
    <row r="246" spans="14:33" x14ac:dyDescent="0.3">
      <c r="N246" s="168">
        <v>45266</v>
      </c>
      <c r="O246" s="172">
        <v>74.3</v>
      </c>
      <c r="P246" s="83">
        <v>2023</v>
      </c>
      <c r="Q246" s="83">
        <v>12</v>
      </c>
      <c r="R246" s="83" t="s">
        <v>269</v>
      </c>
      <c r="T246" s="83">
        <v>2024</v>
      </c>
      <c r="U246" s="83" t="s">
        <v>436</v>
      </c>
      <c r="V246" s="84">
        <v>68</v>
      </c>
      <c r="W246" s="85">
        <v>1.2900534643158847</v>
      </c>
      <c r="X246" s="86">
        <v>0.21544931089430228</v>
      </c>
      <c r="Y246" s="86">
        <v>4.1470687221803568E-2</v>
      </c>
      <c r="Z246" s="85">
        <v>-2.9666361469098258E-3</v>
      </c>
      <c r="AA246" s="86">
        <v>8.9071410334220336E-2</v>
      </c>
      <c r="AB246" s="85">
        <v>-3.2567164765333434E-3</v>
      </c>
      <c r="AC246" s="87">
        <v>0.66580496759506924</v>
      </c>
      <c r="AD246" s="86">
        <v>0.70056239501193862</v>
      </c>
      <c r="AE246" s="86">
        <v>0.52711340299834919</v>
      </c>
      <c r="AG246" s="76"/>
    </row>
    <row r="247" spans="14:33" x14ac:dyDescent="0.3">
      <c r="N247" s="167">
        <v>45267</v>
      </c>
      <c r="O247" s="171">
        <v>74.05</v>
      </c>
      <c r="P247" s="125">
        <v>2023</v>
      </c>
      <c r="Q247" s="125">
        <v>12</v>
      </c>
      <c r="R247" s="125" t="s">
        <v>269</v>
      </c>
      <c r="T247" s="125">
        <v>2024</v>
      </c>
      <c r="U247" s="125" t="s">
        <v>437</v>
      </c>
      <c r="V247" s="126">
        <v>16</v>
      </c>
      <c r="W247" s="127">
        <v>1.1770946700328646</v>
      </c>
      <c r="X247" s="128">
        <v>0.6680142260029055</v>
      </c>
      <c r="Y247" s="128">
        <v>0.19532686112334122</v>
      </c>
      <c r="Z247" s="127">
        <v>-8.7166836801868793E-4</v>
      </c>
      <c r="AA247" s="128">
        <v>7.1772032633234992E-2</v>
      </c>
      <c r="AB247" s="127">
        <v>-9.3906712430942183E-4</v>
      </c>
      <c r="AC247" s="129">
        <v>0.44419494747462679</v>
      </c>
      <c r="AD247" s="128">
        <v>0.35220934553840333</v>
      </c>
      <c r="AE247" s="128">
        <v>0.18329346039703018</v>
      </c>
      <c r="AG247" s="76"/>
    </row>
    <row r="248" spans="14:33" x14ac:dyDescent="0.3">
      <c r="N248" s="168">
        <v>45268</v>
      </c>
      <c r="O248" s="172">
        <v>75.84</v>
      </c>
      <c r="P248" s="83">
        <v>2023</v>
      </c>
      <c r="Q248" s="83">
        <v>12</v>
      </c>
      <c r="R248" s="83" t="s">
        <v>269</v>
      </c>
      <c r="T248" s="83">
        <v>2024</v>
      </c>
      <c r="U248" s="83" t="s">
        <v>438</v>
      </c>
      <c r="V248" s="84">
        <v>4</v>
      </c>
      <c r="W248" s="85">
        <v>0.97748589274906783</v>
      </c>
      <c r="X248" s="86">
        <v>0.11503816258570915</v>
      </c>
      <c r="Y248" s="86">
        <v>0.14222153189085546</v>
      </c>
      <c r="Z248" s="85">
        <v>-4.2183523221767704E-3</v>
      </c>
      <c r="AA248" s="86">
        <v>4.9056001104084736E-2</v>
      </c>
      <c r="AB248" s="85">
        <v>-4.4359629242883376E-3</v>
      </c>
      <c r="AC248" s="87">
        <v>0.34410896982169686</v>
      </c>
      <c r="AD248" s="86">
        <v>0.30548944434643338</v>
      </c>
      <c r="AE248" s="86">
        <v>0.9762764799479865</v>
      </c>
      <c r="AG248" s="76"/>
    </row>
    <row r="249" spans="14:33" x14ac:dyDescent="0.3">
      <c r="N249" s="167">
        <v>45271</v>
      </c>
      <c r="O249" s="171">
        <v>76.03</v>
      </c>
      <c r="P249" s="125">
        <v>2023</v>
      </c>
      <c r="Q249" s="125">
        <v>12</v>
      </c>
      <c r="R249" s="125" t="s">
        <v>269</v>
      </c>
      <c r="T249" s="125">
        <v>2024</v>
      </c>
      <c r="U249" s="125" t="s">
        <v>439</v>
      </c>
      <c r="V249" s="126">
        <v>174</v>
      </c>
      <c r="W249" s="127">
        <v>1.2574315521617736</v>
      </c>
      <c r="X249" s="128">
        <v>0.20083328443025461</v>
      </c>
      <c r="Y249" s="128">
        <v>4.6038594576514963E-2</v>
      </c>
      <c r="Z249" s="127">
        <v>-3.1025803412889916E-3</v>
      </c>
      <c r="AA249" s="128">
        <v>3.8114747359291025E-2</v>
      </c>
      <c r="AB249" s="127">
        <v>-3.2255202299560485E-3</v>
      </c>
      <c r="AC249" s="129">
        <v>0.57896429399894367</v>
      </c>
      <c r="AD249" s="128">
        <v>0.56976877370013901</v>
      </c>
      <c r="AE249" s="128">
        <v>2.3177756312329634</v>
      </c>
      <c r="AG249" s="76"/>
    </row>
    <row r="250" spans="14:33" x14ac:dyDescent="0.3">
      <c r="N250" s="168">
        <v>45272</v>
      </c>
      <c r="O250" s="172">
        <v>73.239999999999995</v>
      </c>
      <c r="P250" s="83">
        <v>2023</v>
      </c>
      <c r="Q250" s="83">
        <v>12</v>
      </c>
      <c r="R250" s="83" t="s">
        <v>269</v>
      </c>
      <c r="T250" s="83">
        <v>2024</v>
      </c>
      <c r="U250" s="83" t="s">
        <v>440</v>
      </c>
      <c r="V250" s="84">
        <v>23</v>
      </c>
      <c r="W250" s="85">
        <v>0.99125533132716515</v>
      </c>
      <c r="X250" s="86">
        <v>0.71410926721058809</v>
      </c>
      <c r="Y250" s="86">
        <v>6.9021117945879049E-2</v>
      </c>
      <c r="Z250" s="85">
        <v>-6.8663464489905157E-4</v>
      </c>
      <c r="AA250" s="86">
        <v>1.6703538781858748E-2</v>
      </c>
      <c r="AB250" s="85">
        <v>-6.9829870438913716E-4</v>
      </c>
      <c r="AC250" s="87">
        <v>0.42358629907014234</v>
      </c>
      <c r="AD250" s="86">
        <v>0.33549336269635954</v>
      </c>
      <c r="AE250" s="86">
        <v>0.33561259971239038</v>
      </c>
      <c r="AG250" s="76"/>
    </row>
    <row r="251" spans="14:33" x14ac:dyDescent="0.3">
      <c r="N251" s="167">
        <v>45273</v>
      </c>
      <c r="O251" s="171">
        <v>74.510000000000005</v>
      </c>
      <c r="P251" s="125">
        <v>2023</v>
      </c>
      <c r="Q251" s="125">
        <v>12</v>
      </c>
      <c r="R251" s="125" t="s">
        <v>269</v>
      </c>
      <c r="T251" s="125">
        <v>2024</v>
      </c>
      <c r="U251" s="125" t="s">
        <v>441</v>
      </c>
      <c r="V251" s="126">
        <v>101</v>
      </c>
      <c r="W251" s="127">
        <v>1.3751593545688363</v>
      </c>
      <c r="X251" s="128">
        <v>0.32604180548581313</v>
      </c>
      <c r="Y251" s="128">
        <v>7.0685214388915923E-2</v>
      </c>
      <c r="Z251" s="127">
        <v>-2.088059131831081E-3</v>
      </c>
      <c r="AA251" s="128">
        <v>6.9065997248052916E-2</v>
      </c>
      <c r="AB251" s="127">
        <v>-2.2429722468601857E-3</v>
      </c>
      <c r="AC251" s="129">
        <v>0.53232665838471771</v>
      </c>
      <c r="AD251" s="128">
        <v>0.46898107338785378</v>
      </c>
      <c r="AE251" s="128">
        <v>0.67572561500427419</v>
      </c>
      <c r="AG251" s="76"/>
    </row>
    <row r="252" spans="14:33" x14ac:dyDescent="0.3">
      <c r="N252" s="168">
        <v>45274</v>
      </c>
      <c r="O252" s="172">
        <v>76.849999999999994</v>
      </c>
      <c r="P252" s="83">
        <v>2023</v>
      </c>
      <c r="Q252" s="83">
        <v>12</v>
      </c>
      <c r="R252" s="83" t="s">
        <v>269</v>
      </c>
      <c r="T252" s="83">
        <v>2024</v>
      </c>
      <c r="U252" s="83" t="s">
        <v>442</v>
      </c>
      <c r="V252" s="84">
        <v>25</v>
      </c>
      <c r="W252" s="85">
        <v>0.95242199691205232</v>
      </c>
      <c r="X252" s="86">
        <v>0.61965646428058319</v>
      </c>
      <c r="Y252" s="86">
        <v>0.14661913030028642</v>
      </c>
      <c r="Z252" s="85">
        <v>-7.6037728676728474E-4</v>
      </c>
      <c r="AA252" s="86">
        <v>3.0228141722146131E-2</v>
      </c>
      <c r="AB252" s="85">
        <v>-7.8407852349683823E-4</v>
      </c>
      <c r="AC252" s="87">
        <v>0.36887938137180137</v>
      </c>
      <c r="AD252" s="86">
        <v>0.24431384085324004</v>
      </c>
      <c r="AE252" s="86">
        <v>8.1676534805838572E-2</v>
      </c>
      <c r="AG252" s="76"/>
    </row>
    <row r="253" spans="14:33" x14ac:dyDescent="0.3">
      <c r="N253" s="167">
        <v>45275</v>
      </c>
      <c r="O253" s="171">
        <v>76.760000000000005</v>
      </c>
      <c r="P253" s="125">
        <v>2023</v>
      </c>
      <c r="Q253" s="125">
        <v>12</v>
      </c>
      <c r="R253" s="125" t="s">
        <v>269</v>
      </c>
      <c r="T253" s="125">
        <v>2024</v>
      </c>
      <c r="U253" s="125" t="s">
        <v>443</v>
      </c>
      <c r="V253" s="126">
        <v>7</v>
      </c>
      <c r="W253" s="127">
        <v>1.3830066711394122</v>
      </c>
      <c r="X253" s="128">
        <v>0.4386501965496456</v>
      </c>
      <c r="Y253" s="128">
        <v>0.12757457269381595</v>
      </c>
      <c r="Z253" s="127">
        <v>-1.5602699590794489E-3</v>
      </c>
      <c r="AA253" s="128">
        <v>7.5671084905858985E-2</v>
      </c>
      <c r="AB253" s="127">
        <v>-1.6880029755647517E-3</v>
      </c>
      <c r="AC253" s="129">
        <v>0.60115667349526181</v>
      </c>
      <c r="AD253" s="128">
        <v>0.42843597130920175</v>
      </c>
      <c r="AE253" s="128">
        <v>0.92832539940835623</v>
      </c>
      <c r="AG253" s="76"/>
    </row>
    <row r="254" spans="14:33" x14ac:dyDescent="0.3">
      <c r="N254" s="168">
        <v>45278</v>
      </c>
      <c r="O254" s="172">
        <v>78.11</v>
      </c>
      <c r="P254" s="83">
        <v>2023</v>
      </c>
      <c r="Q254" s="83">
        <v>12</v>
      </c>
      <c r="R254" s="83" t="s">
        <v>269</v>
      </c>
      <c r="T254" s="83">
        <v>2024</v>
      </c>
      <c r="U254" s="83" t="s">
        <v>444</v>
      </c>
      <c r="V254" s="84">
        <v>48</v>
      </c>
      <c r="W254" s="85">
        <v>0.72500097471023861</v>
      </c>
      <c r="X254" s="86">
        <v>0.77155753730162346</v>
      </c>
      <c r="Y254" s="86">
        <v>0.12298398219937019</v>
      </c>
      <c r="Z254" s="85">
        <v>-4.6478565855317673E-4</v>
      </c>
      <c r="AA254" s="86">
        <v>1.0296600450838659E-2</v>
      </c>
      <c r="AB254" s="85">
        <v>-4.6962116000096607E-4</v>
      </c>
      <c r="AC254" s="87">
        <v>0.25563132543059591</v>
      </c>
      <c r="AD254" s="86">
        <v>0.1717812350329328</v>
      </c>
      <c r="AE254" s="86">
        <v>8.060268856782013E-2</v>
      </c>
      <c r="AG254" s="76"/>
    </row>
    <row r="255" spans="14:33" x14ac:dyDescent="0.3">
      <c r="N255" s="167">
        <v>45279</v>
      </c>
      <c r="O255" s="171">
        <v>79.37</v>
      </c>
      <c r="P255" s="125">
        <v>2023</v>
      </c>
      <c r="Q255" s="125">
        <v>12</v>
      </c>
      <c r="R255" s="125" t="s">
        <v>269</v>
      </c>
      <c r="T255" s="125">
        <v>2024</v>
      </c>
      <c r="U255" s="125" t="s">
        <v>445</v>
      </c>
      <c r="V255" s="126">
        <v>74</v>
      </c>
      <c r="W255" s="127">
        <v>1.2336190389708566</v>
      </c>
      <c r="X255" s="128">
        <v>0.16326322309396255</v>
      </c>
      <c r="Y255" s="128">
        <v>2.8730153469345189E-2</v>
      </c>
      <c r="Z255" s="127">
        <v>-3.7463964351943037E-3</v>
      </c>
      <c r="AA255" s="128">
        <v>7.4262155460789667E-2</v>
      </c>
      <c r="AB255" s="127">
        <v>-4.0469301944321906E-3</v>
      </c>
      <c r="AC255" s="129">
        <v>0.69473279707936642</v>
      </c>
      <c r="AD255" s="128">
        <v>0.72543314545868787</v>
      </c>
      <c r="AE255" s="128">
        <v>0.70819997746631069</v>
      </c>
      <c r="AG255" s="76"/>
    </row>
    <row r="256" spans="14:33" x14ac:dyDescent="0.3">
      <c r="N256" s="168">
        <v>45280</v>
      </c>
      <c r="O256" s="172">
        <v>79.66</v>
      </c>
      <c r="P256" s="83">
        <v>2023</v>
      </c>
      <c r="Q256" s="83">
        <v>12</v>
      </c>
      <c r="R256" s="83" t="s">
        <v>269</v>
      </c>
      <c r="T256" s="83">
        <v>2024</v>
      </c>
      <c r="U256" s="83" t="s">
        <v>492</v>
      </c>
      <c r="V256" s="84">
        <v>20</v>
      </c>
      <c r="W256" s="85">
        <v>1.1148957766881691</v>
      </c>
      <c r="X256" s="86">
        <v>0.42176377073279631</v>
      </c>
      <c r="Y256" s="86">
        <v>9.667014521273086E-2</v>
      </c>
      <c r="Z256" s="85">
        <v>-1.3082128669199063E-3</v>
      </c>
      <c r="AA256" s="86">
        <v>7.3486465244431906E-2</v>
      </c>
      <c r="AB256" s="85">
        <v>-1.4119738329187363E-3</v>
      </c>
      <c r="AC256" s="87">
        <v>0.46065057632470929</v>
      </c>
      <c r="AD256" s="86">
        <v>0.30919744401282184</v>
      </c>
      <c r="AE256" s="86">
        <v>0.12028984478810541</v>
      </c>
      <c r="AG256" s="76"/>
    </row>
    <row r="257" spans="14:33" x14ac:dyDescent="0.3">
      <c r="N257" s="167">
        <v>45281</v>
      </c>
      <c r="O257" s="171">
        <v>79.16</v>
      </c>
      <c r="P257" s="125">
        <v>2023</v>
      </c>
      <c r="Q257" s="125">
        <v>12</v>
      </c>
      <c r="R257" s="125" t="s">
        <v>269</v>
      </c>
      <c r="T257" s="125">
        <v>2024</v>
      </c>
      <c r="U257" s="125" t="s">
        <v>446</v>
      </c>
      <c r="V257" s="126">
        <v>223</v>
      </c>
      <c r="W257" s="127">
        <v>1.063376043005491</v>
      </c>
      <c r="X257" s="128">
        <v>0.7732793309077326</v>
      </c>
      <c r="Y257" s="128">
        <v>3.3816563274859365E-2</v>
      </c>
      <c r="Z257" s="127">
        <v>-6.801932167321324E-4</v>
      </c>
      <c r="AA257" s="128">
        <v>1.8257812982754706E-2</v>
      </c>
      <c r="AB257" s="127">
        <v>-6.9284301492504173E-4</v>
      </c>
      <c r="AC257" s="129">
        <v>0.30827746956501079</v>
      </c>
      <c r="AD257" s="128">
        <v>0.21541532639566627</v>
      </c>
      <c r="AE257" s="128">
        <v>0.20589119125697528</v>
      </c>
      <c r="AG257" s="76"/>
    </row>
    <row r="258" spans="14:33" x14ac:dyDescent="0.3">
      <c r="N258" s="168">
        <v>45282</v>
      </c>
      <c r="O258" s="172">
        <v>78.8</v>
      </c>
      <c r="P258" s="83">
        <v>2023</v>
      </c>
      <c r="Q258" s="83">
        <v>12</v>
      </c>
      <c r="R258" s="83" t="s">
        <v>269</v>
      </c>
      <c r="T258" s="83">
        <v>2024</v>
      </c>
      <c r="U258" s="83" t="s">
        <v>447</v>
      </c>
      <c r="V258" s="84">
        <v>18</v>
      </c>
      <c r="W258" s="85">
        <v>1.5166924498761216</v>
      </c>
      <c r="X258" s="86">
        <v>1.1255656150447586</v>
      </c>
      <c r="Y258" s="86">
        <v>6.6640216513095124E-2</v>
      </c>
      <c r="Z258" s="85">
        <v>-6.6637945045909964E-4</v>
      </c>
      <c r="AA258" s="86">
        <v>6.9451076941643597E-2</v>
      </c>
      <c r="AB258" s="85">
        <v>-7.1611436427110862E-4</v>
      </c>
      <c r="AC258" s="87">
        <v>0.59355605001762235</v>
      </c>
      <c r="AD258" s="86">
        <v>0.51250635002105183</v>
      </c>
      <c r="AE258" s="86">
        <v>0.69874259684071827</v>
      </c>
      <c r="AG258" s="76"/>
    </row>
    <row r="259" spans="14:33" x14ac:dyDescent="0.3">
      <c r="N259" s="167">
        <v>45285</v>
      </c>
      <c r="O259" s="171">
        <v>78.8</v>
      </c>
      <c r="P259" s="125">
        <v>2023</v>
      </c>
      <c r="Q259" s="125">
        <v>12</v>
      </c>
      <c r="R259" s="125" t="s">
        <v>269</v>
      </c>
      <c r="T259" s="125">
        <v>2024</v>
      </c>
      <c r="U259" s="125" t="s">
        <v>484</v>
      </c>
      <c r="V259" s="126">
        <v>12</v>
      </c>
      <c r="W259" s="127">
        <v>0.78980297684164968</v>
      </c>
      <c r="X259" s="128">
        <v>0.39818801240908047</v>
      </c>
      <c r="Y259" s="128">
        <v>9.3712951646556686E-2</v>
      </c>
      <c r="Z259" s="127">
        <v>-9.8168956704168813E-4</v>
      </c>
      <c r="AA259" s="128">
        <v>8.5365153569522081E-2</v>
      </c>
      <c r="AB259" s="127">
        <v>-1.0733131050854917E-3</v>
      </c>
      <c r="AC259" s="129">
        <v>0.52646194832496207</v>
      </c>
      <c r="AD259" s="128">
        <v>0.28661749273612586</v>
      </c>
      <c r="AE259" s="128">
        <v>1.118865944697315</v>
      </c>
      <c r="AG259" s="76"/>
    </row>
    <row r="260" spans="14:33" x14ac:dyDescent="0.3">
      <c r="N260" s="168">
        <v>45286</v>
      </c>
      <c r="O260" s="172">
        <v>80.849999999999994</v>
      </c>
      <c r="P260" s="83">
        <v>2023</v>
      </c>
      <c r="Q260" s="83">
        <v>12</v>
      </c>
      <c r="R260" s="83" t="s">
        <v>269</v>
      </c>
      <c r="T260" s="83">
        <v>2024</v>
      </c>
      <c r="U260" s="83" t="s">
        <v>448</v>
      </c>
      <c r="V260" s="84">
        <v>60</v>
      </c>
      <c r="W260" s="85">
        <v>1.3454843302112593</v>
      </c>
      <c r="X260" s="86">
        <v>1.0925740752439148</v>
      </c>
      <c r="Y260" s="86">
        <v>5.4661662502489834E-2</v>
      </c>
      <c r="Z260" s="85">
        <v>-6.0901558043048056E-4</v>
      </c>
      <c r="AA260" s="86">
        <v>8.1379435050841789E-2</v>
      </c>
      <c r="AB260" s="85">
        <v>-6.6296750112946473E-4</v>
      </c>
      <c r="AC260" s="87">
        <v>0.53687989020006788</v>
      </c>
      <c r="AD260" s="86">
        <v>0.44434220453063733</v>
      </c>
      <c r="AE260" s="86">
        <v>1.2181846340506288</v>
      </c>
      <c r="AG260" s="76"/>
    </row>
    <row r="261" spans="14:33" x14ac:dyDescent="0.3">
      <c r="N261" s="167">
        <v>45287</v>
      </c>
      <c r="O261" s="171">
        <v>79.540000000000006</v>
      </c>
      <c r="P261" s="125">
        <v>2023</v>
      </c>
      <c r="Q261" s="125">
        <v>12</v>
      </c>
      <c r="R261" s="125" t="s">
        <v>269</v>
      </c>
      <c r="T261" s="125">
        <v>2024</v>
      </c>
      <c r="U261" s="125" t="s">
        <v>449</v>
      </c>
      <c r="V261" s="126">
        <v>57</v>
      </c>
      <c r="W261" s="127">
        <v>1.4179809441636479</v>
      </c>
      <c r="X261" s="128">
        <v>0.52060538651449051</v>
      </c>
      <c r="Y261" s="128">
        <v>9.4928845466662873E-2</v>
      </c>
      <c r="Z261" s="127">
        <v>-1.3476540272026577E-3</v>
      </c>
      <c r="AA261" s="128">
        <v>5.1786361462363033E-2</v>
      </c>
      <c r="AB261" s="127">
        <v>-1.4212556879914207E-3</v>
      </c>
      <c r="AC261" s="129">
        <v>0.59392595484122634</v>
      </c>
      <c r="AD261" s="128">
        <v>0.42131153923229786</v>
      </c>
      <c r="AE261" s="128">
        <v>0.18303595298722516</v>
      </c>
      <c r="AG261" s="76"/>
    </row>
    <row r="262" spans="14:33" x14ac:dyDescent="0.3">
      <c r="N262" s="168">
        <v>45288</v>
      </c>
      <c r="O262" s="172">
        <v>77.150000000000006</v>
      </c>
      <c r="P262" s="83">
        <v>2023</v>
      </c>
      <c r="Q262" s="83">
        <v>12</v>
      </c>
      <c r="R262" s="83" t="s">
        <v>269</v>
      </c>
      <c r="T262" s="83">
        <v>2024</v>
      </c>
      <c r="U262" s="83" t="s">
        <v>450</v>
      </c>
      <c r="V262" s="84">
        <v>1</v>
      </c>
      <c r="W262" s="85">
        <v>0.82924820341635141</v>
      </c>
      <c r="X262" s="86">
        <v>0.45098674687154305</v>
      </c>
      <c r="Y262" s="86">
        <v>6.4829821717990274E-2</v>
      </c>
      <c r="Z262" s="85">
        <v>-9.0991569778552616E-4</v>
      </c>
      <c r="AA262" s="86">
        <v>0.25486977918133502</v>
      </c>
      <c r="AB262" s="85">
        <v>-1.2211499042218601E-3</v>
      </c>
      <c r="AC262" s="87">
        <v>0.20758239974021755</v>
      </c>
      <c r="AD262" s="86">
        <v>0.1936761567443839</v>
      </c>
      <c r="AE262" s="86">
        <v>0.21772502996630683</v>
      </c>
      <c r="AG262" s="76"/>
    </row>
    <row r="263" spans="14:33" x14ac:dyDescent="0.3">
      <c r="N263" s="167">
        <v>45289</v>
      </c>
      <c r="O263" s="171">
        <v>77.040000000000006</v>
      </c>
      <c r="P263" s="125">
        <v>2023</v>
      </c>
      <c r="Q263" s="125">
        <v>12</v>
      </c>
      <c r="R263" s="125" t="s">
        <v>269</v>
      </c>
      <c r="T263" s="125">
        <v>2024</v>
      </c>
      <c r="U263" s="125" t="s">
        <v>485</v>
      </c>
      <c r="V263" s="126">
        <v>70</v>
      </c>
      <c r="W263" s="127">
        <v>1.4103978688180479</v>
      </c>
      <c r="X263" s="128">
        <v>0.30775437210884488</v>
      </c>
      <c r="Y263" s="128">
        <v>8.5443306117611847E-2</v>
      </c>
      <c r="Z263" s="127">
        <v>-2.2690269483890612E-3</v>
      </c>
      <c r="AA263" s="128">
        <v>1.7235635807217261E-2</v>
      </c>
      <c r="AB263" s="127">
        <v>-2.3088209453471396E-3</v>
      </c>
      <c r="AC263" s="129">
        <v>0.47491971300906011</v>
      </c>
      <c r="AD263" s="128">
        <v>0.41147053391609606</v>
      </c>
      <c r="AE263" s="128">
        <v>0.16308151930383236</v>
      </c>
      <c r="AG263" s="76"/>
    </row>
    <row r="264" spans="14:33" x14ac:dyDescent="0.3">
      <c r="N264" s="168">
        <v>45292</v>
      </c>
      <c r="O264" s="172">
        <v>77.040000000000006</v>
      </c>
      <c r="P264" s="83">
        <v>2024</v>
      </c>
      <c r="Q264" s="83">
        <v>1</v>
      </c>
      <c r="R264" s="83" t="s">
        <v>367</v>
      </c>
      <c r="T264" s="83">
        <v>2024</v>
      </c>
      <c r="U264" s="83" t="s">
        <v>451</v>
      </c>
      <c r="V264" s="84">
        <v>30</v>
      </c>
      <c r="W264" s="85">
        <v>1.5201925121768585</v>
      </c>
      <c r="X264" s="86">
        <v>0.57486804158388638</v>
      </c>
      <c r="Y264" s="86">
        <v>0.15838509352594998</v>
      </c>
      <c r="Z264" s="85">
        <v>-1.3083024078459366E-3</v>
      </c>
      <c r="AA264" s="86">
        <v>1.8942366151700137E-2</v>
      </c>
      <c r="AB264" s="85">
        <v>-1.3335632512373257E-3</v>
      </c>
      <c r="AC264" s="87">
        <v>0.49581621015003191</v>
      </c>
      <c r="AD264" s="86">
        <v>0.35710895966484529</v>
      </c>
      <c r="AE264" s="86">
        <v>0.31378397990022294</v>
      </c>
      <c r="AG264" s="76"/>
    </row>
    <row r="265" spans="14:33" x14ac:dyDescent="0.3">
      <c r="N265" s="167">
        <v>45293</v>
      </c>
      <c r="O265" s="171">
        <v>75.89</v>
      </c>
      <c r="P265" s="125">
        <v>2024</v>
      </c>
      <c r="Q265" s="125">
        <v>1</v>
      </c>
      <c r="R265" s="125" t="s">
        <v>367</v>
      </c>
      <c r="T265" s="125">
        <v>2024</v>
      </c>
      <c r="U265" s="125" t="s">
        <v>452</v>
      </c>
      <c r="V265" s="126">
        <v>15</v>
      </c>
      <c r="W265" s="127">
        <v>1.7891723510222548</v>
      </c>
      <c r="X265" s="128">
        <v>0.21213527708387048</v>
      </c>
      <c r="Y265" s="128">
        <v>0.13391716018934746</v>
      </c>
      <c r="Z265" s="127">
        <v>-4.1788479473944635E-3</v>
      </c>
      <c r="AA265" s="128">
        <v>1.4968542835664624E-2</v>
      </c>
      <c r="AB265" s="127">
        <v>-4.2423497412197829E-3</v>
      </c>
      <c r="AC265" s="129">
        <v>0.47081751593532822</v>
      </c>
      <c r="AD265" s="128">
        <v>0.37546183716654358</v>
      </c>
      <c r="AE265" s="128">
        <v>0.33819679970227606</v>
      </c>
      <c r="AG265" s="76"/>
    </row>
    <row r="266" spans="14:33" x14ac:dyDescent="0.3">
      <c r="N266" s="168">
        <v>45294</v>
      </c>
      <c r="O266" s="172">
        <v>78.25</v>
      </c>
      <c r="P266" s="83">
        <v>2024</v>
      </c>
      <c r="Q266" s="83">
        <v>1</v>
      </c>
      <c r="R266" s="83" t="s">
        <v>367</v>
      </c>
      <c r="T266" s="83">
        <v>2024</v>
      </c>
      <c r="U266" s="83" t="s">
        <v>453</v>
      </c>
      <c r="V266" s="84">
        <v>69</v>
      </c>
      <c r="W266" s="85">
        <v>1.2752456934388758</v>
      </c>
      <c r="X266" s="86">
        <v>0.39567295890000159</v>
      </c>
      <c r="Y266" s="86">
        <v>0.13594643894000899</v>
      </c>
      <c r="Z266" s="85">
        <v>-1.5951609764598244E-3</v>
      </c>
      <c r="AA266" s="86">
        <v>2.2524354628298306E-2</v>
      </c>
      <c r="AB266" s="85">
        <v>-1.6319188964071195E-3</v>
      </c>
      <c r="AC266" s="87">
        <v>0.46193491376213663</v>
      </c>
      <c r="AD266" s="86">
        <v>0.37083010776240061</v>
      </c>
      <c r="AE266" s="86">
        <v>0.25350519996716575</v>
      </c>
      <c r="AG266" s="76"/>
    </row>
    <row r="267" spans="14:33" x14ac:dyDescent="0.3">
      <c r="N267" s="167">
        <v>45295</v>
      </c>
      <c r="O267" s="171">
        <v>77.59</v>
      </c>
      <c r="P267" s="125">
        <v>2024</v>
      </c>
      <c r="Q267" s="125">
        <v>1</v>
      </c>
      <c r="R267" s="125" t="s">
        <v>367</v>
      </c>
      <c r="T267" s="125">
        <v>2024</v>
      </c>
      <c r="U267" s="125" t="s">
        <v>454</v>
      </c>
      <c r="V267" s="126">
        <v>15</v>
      </c>
      <c r="W267" s="127">
        <v>1.3632136186935628</v>
      </c>
      <c r="X267" s="128">
        <v>0.19969640536769256</v>
      </c>
      <c r="Y267" s="128">
        <v>0.21259763765231698</v>
      </c>
      <c r="Z267" s="127">
        <v>-3.3827830255472729E-3</v>
      </c>
      <c r="AA267" s="128">
        <v>2.8245545382027257E-2</v>
      </c>
      <c r="AB267" s="127">
        <v>-3.4811088433622374E-3</v>
      </c>
      <c r="AC267" s="129">
        <v>0.34600452314885843</v>
      </c>
      <c r="AD267" s="128">
        <v>0.31528080319313112</v>
      </c>
      <c r="AE267" s="128">
        <v>0.11083736572099039</v>
      </c>
      <c r="AG267" s="76"/>
    </row>
    <row r="268" spans="14:33" x14ac:dyDescent="0.3">
      <c r="N268" s="168">
        <v>45296</v>
      </c>
      <c r="O268" s="172">
        <v>78.760000000000005</v>
      </c>
      <c r="P268" s="83">
        <v>2024</v>
      </c>
      <c r="Q268" s="83">
        <v>1</v>
      </c>
      <c r="R268" s="83" t="s">
        <v>367</v>
      </c>
      <c r="T268" s="83">
        <v>2024</v>
      </c>
      <c r="U268" s="83" t="s">
        <v>455</v>
      </c>
      <c r="V268" s="84">
        <v>13</v>
      </c>
      <c r="W268" s="85">
        <v>0.66756973306313983</v>
      </c>
      <c r="X268" s="86">
        <v>0.65817573533732865</v>
      </c>
      <c r="Y268" s="86">
        <v>0.16454371176768529</v>
      </c>
      <c r="Z268" s="85">
        <v>-5.0174745967362824E-4</v>
      </c>
      <c r="AA268" s="86">
        <v>5.5436020108825777E-2</v>
      </c>
      <c r="AB268" s="85">
        <v>-5.3119478442469927E-4</v>
      </c>
      <c r="AC268" s="87">
        <v>0.44427105868248346</v>
      </c>
      <c r="AD268" s="86">
        <v>0.28264661461127033</v>
      </c>
      <c r="AE268" s="86">
        <v>0.28502567449807581</v>
      </c>
      <c r="AG268" s="76"/>
    </row>
    <row r="269" spans="14:33" x14ac:dyDescent="0.3">
      <c r="N269" s="167">
        <v>45299</v>
      </c>
      <c r="O269" s="171">
        <v>76.12</v>
      </c>
      <c r="P269" s="125">
        <v>2024</v>
      </c>
      <c r="Q269" s="125">
        <v>1</v>
      </c>
      <c r="R269" s="125" t="s">
        <v>367</v>
      </c>
      <c r="T269" s="125">
        <v>2024</v>
      </c>
      <c r="U269" s="125" t="s">
        <v>486</v>
      </c>
      <c r="V269" s="126">
        <v>63</v>
      </c>
      <c r="W269" s="127">
        <v>1.4871300694613425</v>
      </c>
      <c r="X269" s="128">
        <v>0.19174447188057428</v>
      </c>
      <c r="Y269" s="128">
        <v>4.0941719858048488E-2</v>
      </c>
      <c r="Z269" s="127">
        <v>-3.8437158364702712E-3</v>
      </c>
      <c r="AA269" s="128">
        <v>4.1175209963425691E-2</v>
      </c>
      <c r="AB269" s="127">
        <v>-4.0087781171403098E-3</v>
      </c>
      <c r="AC269" s="129">
        <v>0.70248693277034457</v>
      </c>
      <c r="AD269" s="128">
        <v>0.59410388760758681</v>
      </c>
      <c r="AE269" s="128">
        <v>0.77434468390971001</v>
      </c>
      <c r="AG269" s="76"/>
    </row>
    <row r="270" spans="14:33" x14ac:dyDescent="0.3">
      <c r="N270" s="168">
        <v>45300</v>
      </c>
      <c r="O270" s="172">
        <v>77.59</v>
      </c>
      <c r="P270" s="83">
        <v>2024</v>
      </c>
      <c r="Q270" s="83">
        <v>1</v>
      </c>
      <c r="R270" s="83" t="s">
        <v>367</v>
      </c>
      <c r="T270" s="83">
        <v>2024</v>
      </c>
      <c r="U270" s="83" t="s">
        <v>456</v>
      </c>
      <c r="V270" s="84">
        <v>78</v>
      </c>
      <c r="W270" s="85">
        <v>1.4752073825450458</v>
      </c>
      <c r="X270" s="86">
        <v>0.39158372922601853</v>
      </c>
      <c r="Y270" s="86">
        <v>0.15019349979060045</v>
      </c>
      <c r="Z270" s="85">
        <v>-1.8645804821926359E-3</v>
      </c>
      <c r="AA270" s="86">
        <v>4.0041704683196455E-2</v>
      </c>
      <c r="AB270" s="85">
        <v>-1.9423557161692016E-3</v>
      </c>
      <c r="AC270" s="87">
        <v>0.50878132822016209</v>
      </c>
      <c r="AD270" s="86">
        <v>0.38585905225789641</v>
      </c>
      <c r="AE270" s="86">
        <v>0.22316138846103836</v>
      </c>
      <c r="AG270" s="76"/>
    </row>
    <row r="271" spans="14:33" x14ac:dyDescent="0.3">
      <c r="N271" s="167">
        <v>45301</v>
      </c>
      <c r="O271" s="171">
        <v>76.8</v>
      </c>
      <c r="P271" s="125">
        <v>2024</v>
      </c>
      <c r="Q271" s="125">
        <v>1</v>
      </c>
      <c r="R271" s="125" t="s">
        <v>367</v>
      </c>
      <c r="T271" s="125">
        <v>2024</v>
      </c>
      <c r="U271" s="125" t="s">
        <v>457</v>
      </c>
      <c r="V271" s="126">
        <v>3</v>
      </c>
      <c r="W271" s="127">
        <v>0.83801497962970528</v>
      </c>
      <c r="X271" s="128">
        <v>3.303339604619385</v>
      </c>
      <c r="Y271" s="128">
        <v>0</v>
      </c>
      <c r="Z271" s="127">
        <v>-1.2542025167160841E-4</v>
      </c>
      <c r="AA271" s="128">
        <v>9.9691021624217765E-2</v>
      </c>
      <c r="AB271" s="127">
        <v>-1.3930800945457077E-4</v>
      </c>
      <c r="AC271" s="129">
        <v>0.45026186402653628</v>
      </c>
      <c r="AD271" s="128">
        <v>0.39785998397496214</v>
      </c>
      <c r="AE271" s="128">
        <v>0.50671998615050307</v>
      </c>
      <c r="AG271" s="76"/>
    </row>
    <row r="272" spans="14:33" x14ac:dyDescent="0.3">
      <c r="N272" s="168">
        <v>45302</v>
      </c>
      <c r="O272" s="172">
        <v>77.41</v>
      </c>
      <c r="P272" s="83">
        <v>2024</v>
      </c>
      <c r="Q272" s="83">
        <v>1</v>
      </c>
      <c r="R272" s="83" t="s">
        <v>367</v>
      </c>
      <c r="T272" s="83">
        <v>2024</v>
      </c>
      <c r="U272" s="83" t="s">
        <v>458</v>
      </c>
      <c r="V272" s="84">
        <v>68</v>
      </c>
      <c r="W272" s="85">
        <v>1.6077462586340689</v>
      </c>
      <c r="X272" s="86">
        <v>0.11265628382191657</v>
      </c>
      <c r="Y272" s="86">
        <v>8.1819268803683717E-2</v>
      </c>
      <c r="Z272" s="85">
        <v>-7.0855897311045135E-3</v>
      </c>
      <c r="AA272" s="86">
        <v>3.3748762158634794E-2</v>
      </c>
      <c r="AB272" s="85">
        <v>-7.3330718281240572E-3</v>
      </c>
      <c r="AC272" s="87">
        <v>0.48933792335067938</v>
      </c>
      <c r="AD272" s="86">
        <v>0.38404265117692143</v>
      </c>
      <c r="AE272" s="86">
        <v>0.38437761380903246</v>
      </c>
      <c r="AG272" s="76"/>
    </row>
    <row r="273" spans="14:33" x14ac:dyDescent="0.3">
      <c r="N273" s="167">
        <v>45303</v>
      </c>
      <c r="O273" s="171">
        <v>78.290000000000006</v>
      </c>
      <c r="P273" s="125">
        <v>2024</v>
      </c>
      <c r="Q273" s="125">
        <v>1</v>
      </c>
      <c r="R273" s="125" t="s">
        <v>367</v>
      </c>
      <c r="T273" s="125">
        <v>2024</v>
      </c>
      <c r="U273" s="125" t="s">
        <v>459</v>
      </c>
      <c r="V273" s="126">
        <v>30</v>
      </c>
      <c r="W273" s="127">
        <v>1.757142721715889</v>
      </c>
      <c r="X273" s="128">
        <v>0.11786824757584162</v>
      </c>
      <c r="Y273" s="128">
        <v>0.10936898430604083</v>
      </c>
      <c r="Z273" s="127">
        <v>-7.4001325845110422E-3</v>
      </c>
      <c r="AA273" s="128">
        <v>4.4292965648447258E-2</v>
      </c>
      <c r="AB273" s="127">
        <v>-7.7430973284946386E-3</v>
      </c>
      <c r="AC273" s="129">
        <v>0.43513373450191689</v>
      </c>
      <c r="AD273" s="128">
        <v>0.41568723029676519</v>
      </c>
      <c r="AE273" s="128">
        <v>0.68492909182567563</v>
      </c>
      <c r="AG273" s="76"/>
    </row>
    <row r="274" spans="14:33" x14ac:dyDescent="0.3">
      <c r="N274" s="168">
        <v>45306</v>
      </c>
      <c r="O274" s="172">
        <v>77.81</v>
      </c>
      <c r="P274" s="83">
        <v>2024</v>
      </c>
      <c r="Q274" s="83">
        <v>1</v>
      </c>
      <c r="R274" s="83" t="s">
        <v>367</v>
      </c>
      <c r="T274" s="83">
        <v>2024</v>
      </c>
      <c r="U274" s="83" t="s">
        <v>460</v>
      </c>
      <c r="V274" s="84">
        <v>8</v>
      </c>
      <c r="W274" s="85">
        <v>0.94373863184759688</v>
      </c>
      <c r="X274" s="86">
        <v>0.3901857569968924</v>
      </c>
      <c r="Y274" s="86">
        <v>6.2322052474713847E-2</v>
      </c>
      <c r="Z274" s="85">
        <v>-1.1971125464519316E-3</v>
      </c>
      <c r="AA274" s="86">
        <v>6.4392129906350806E-2</v>
      </c>
      <c r="AB274" s="85">
        <v>-1.2795024333560889E-3</v>
      </c>
      <c r="AC274" s="87">
        <v>0.48932323828475571</v>
      </c>
      <c r="AD274" s="86">
        <v>0.4116087861322939</v>
      </c>
      <c r="AE274" s="86">
        <v>0.82998630361021086</v>
      </c>
      <c r="AG274" s="76"/>
    </row>
    <row r="275" spans="14:33" x14ac:dyDescent="0.3">
      <c r="N275" s="167">
        <v>45307</v>
      </c>
      <c r="O275" s="171">
        <v>77.87</v>
      </c>
      <c r="P275" s="125">
        <v>2024</v>
      </c>
      <c r="Q275" s="125">
        <v>1</v>
      </c>
      <c r="R275" s="125" t="s">
        <v>367</v>
      </c>
      <c r="T275" s="125">
        <v>2024</v>
      </c>
      <c r="U275" s="125" t="s">
        <v>461</v>
      </c>
      <c r="V275" s="126">
        <v>13</v>
      </c>
      <c r="W275" s="127">
        <v>1.3276925338648697</v>
      </c>
      <c r="X275" s="128">
        <v>9.0140655527445976E-2</v>
      </c>
      <c r="Y275" s="128">
        <v>0.10698367731914769</v>
      </c>
      <c r="Z275" s="127">
        <v>-7.3209774013513326E-3</v>
      </c>
      <c r="AA275" s="128">
        <v>3.4958749410353512E-2</v>
      </c>
      <c r="AB275" s="127">
        <v>-7.5861807947361498E-3</v>
      </c>
      <c r="AC275" s="129">
        <v>0.50846345784953806</v>
      </c>
      <c r="AD275" s="128">
        <v>0.39374185918980237</v>
      </c>
      <c r="AE275" s="128">
        <v>0.28270790197149448</v>
      </c>
      <c r="AG275" s="76"/>
    </row>
    <row r="276" spans="14:33" x14ac:dyDescent="0.3">
      <c r="N276" s="168">
        <v>45308</v>
      </c>
      <c r="O276" s="172">
        <v>77.489999999999995</v>
      </c>
      <c r="P276" s="83">
        <v>2024</v>
      </c>
      <c r="Q276" s="83">
        <v>1</v>
      </c>
      <c r="R276" s="83" t="s">
        <v>367</v>
      </c>
      <c r="T276" s="83">
        <v>2024</v>
      </c>
      <c r="U276" s="83" t="s">
        <v>487</v>
      </c>
      <c r="V276" s="84">
        <v>91</v>
      </c>
      <c r="W276" s="85">
        <v>1.363575730964357</v>
      </c>
      <c r="X276" s="86">
        <v>4.8025373159782218E-2</v>
      </c>
      <c r="Y276" s="86">
        <v>3.81657195507904E-2</v>
      </c>
      <c r="Z276" s="85">
        <v>-1.4180968775737098E-2</v>
      </c>
      <c r="AA276" s="86">
        <v>3.071817066284499E-2</v>
      </c>
      <c r="AB276" s="85">
        <v>-1.4630387516327194E-2</v>
      </c>
      <c r="AC276" s="87">
        <v>0.68715521572849525</v>
      </c>
      <c r="AD276" s="86">
        <v>0.58709543871584413</v>
      </c>
      <c r="AE276" s="86">
        <v>0.69136710073580343</v>
      </c>
      <c r="AG276" s="76"/>
    </row>
    <row r="277" spans="14:33" x14ac:dyDescent="0.3">
      <c r="N277" s="167">
        <v>45309</v>
      </c>
      <c r="O277" s="171">
        <v>78.650000000000006</v>
      </c>
      <c r="P277" s="125">
        <v>2024</v>
      </c>
      <c r="Q277" s="125">
        <v>1</v>
      </c>
      <c r="R277" s="125" t="s">
        <v>367</v>
      </c>
      <c r="T277" s="125">
        <v>2024</v>
      </c>
      <c r="U277" s="125" t="s">
        <v>488</v>
      </c>
      <c r="V277" s="126">
        <v>33</v>
      </c>
      <c r="W277" s="127">
        <v>1.5513058877107246</v>
      </c>
      <c r="X277" s="128">
        <v>0.17655464364745466</v>
      </c>
      <c r="Y277" s="128">
        <v>2.3650263887898121E-2</v>
      </c>
      <c r="Z277" s="127">
        <v>-4.3555203853145943E-3</v>
      </c>
      <c r="AA277" s="128">
        <v>3.2900020588293027E-2</v>
      </c>
      <c r="AB277" s="127">
        <v>-4.503691942961352E-3</v>
      </c>
      <c r="AC277" s="129">
        <v>0.66054972489796726</v>
      </c>
      <c r="AD277" s="128">
        <v>0.55243837546789154</v>
      </c>
      <c r="AE277" s="128">
        <v>0.91090042469556987</v>
      </c>
      <c r="AG277" s="76"/>
    </row>
    <row r="278" spans="14:33" x14ac:dyDescent="0.3">
      <c r="N278" s="168">
        <v>45310</v>
      </c>
      <c r="O278" s="172">
        <v>78.08</v>
      </c>
      <c r="P278" s="83">
        <v>2024</v>
      </c>
      <c r="Q278" s="83">
        <v>1</v>
      </c>
      <c r="R278" s="83" t="s">
        <v>367</v>
      </c>
      <c r="T278" s="83">
        <v>2024</v>
      </c>
      <c r="U278" s="83" t="s">
        <v>489</v>
      </c>
      <c r="V278" s="84">
        <v>390</v>
      </c>
      <c r="W278" s="85">
        <v>1.4697712402478267</v>
      </c>
      <c r="X278" s="86">
        <v>9.3648717927364691E-2</v>
      </c>
      <c r="Y278" s="86">
        <v>3.395114353447462E-2</v>
      </c>
      <c r="Z278" s="85">
        <v>-7.7992075439619508E-3</v>
      </c>
      <c r="AA278" s="86">
        <v>2.8066077148274141E-2</v>
      </c>
      <c r="AB278" s="85">
        <v>-8.0244215790704169E-3</v>
      </c>
      <c r="AC278" s="87">
        <v>0.61640664366461584</v>
      </c>
      <c r="AD278" s="86">
        <v>0.52111210183577161</v>
      </c>
      <c r="AE278" s="86">
        <v>0.32240159372913141</v>
      </c>
      <c r="AG278" s="76"/>
    </row>
    <row r="279" spans="14:33" x14ac:dyDescent="0.3">
      <c r="N279" s="167">
        <v>45313</v>
      </c>
      <c r="O279" s="171">
        <v>79.599999999999994</v>
      </c>
      <c r="P279" s="125">
        <v>2024</v>
      </c>
      <c r="Q279" s="125">
        <v>1</v>
      </c>
      <c r="R279" s="125" t="s">
        <v>367</v>
      </c>
      <c r="T279" s="125">
        <v>2024</v>
      </c>
      <c r="U279" s="125" t="s">
        <v>462</v>
      </c>
      <c r="V279" s="126">
        <v>28</v>
      </c>
      <c r="W279" s="127">
        <v>1.3424843767995962</v>
      </c>
      <c r="X279" s="128">
        <v>0.28595102522701571</v>
      </c>
      <c r="Y279" s="128">
        <v>0.14954162997616205</v>
      </c>
      <c r="Z279" s="127">
        <v>-2.3247331130650363E-3</v>
      </c>
      <c r="AA279" s="128">
        <v>8.8354278552709387E-2</v>
      </c>
      <c r="AB279" s="127">
        <v>-2.5500400631227526E-3</v>
      </c>
      <c r="AC279" s="129">
        <v>0.39412504778160207</v>
      </c>
      <c r="AD279" s="128">
        <v>0.38298957011173351</v>
      </c>
      <c r="AE279" s="128">
        <v>1.0458573404445946</v>
      </c>
      <c r="AG279" s="76"/>
    </row>
    <row r="280" spans="14:33" x14ac:dyDescent="0.3">
      <c r="N280" s="168">
        <v>45314</v>
      </c>
      <c r="O280" s="172">
        <v>79.11</v>
      </c>
      <c r="P280" s="83">
        <v>2024</v>
      </c>
      <c r="Q280" s="83">
        <v>1</v>
      </c>
      <c r="R280" s="83" t="s">
        <v>367</v>
      </c>
      <c r="T280" s="83">
        <v>2024</v>
      </c>
      <c r="U280" s="83" t="s">
        <v>463</v>
      </c>
      <c r="V280" s="84">
        <v>16</v>
      </c>
      <c r="W280" s="85">
        <v>1.0309737102652559</v>
      </c>
      <c r="X280" s="86">
        <v>0.65154486787819843</v>
      </c>
      <c r="Y280" s="86">
        <v>3.8302283114982148E-2</v>
      </c>
      <c r="Z280" s="85">
        <v>-7.8277508927175089E-4</v>
      </c>
      <c r="AA280" s="86">
        <v>2.6437164736179304E-2</v>
      </c>
      <c r="AB280" s="85">
        <v>-8.0403139984244645E-4</v>
      </c>
      <c r="AC280" s="87">
        <v>0.57247177566553797</v>
      </c>
      <c r="AD280" s="86">
        <v>0.51921047688999544</v>
      </c>
      <c r="AE280" s="86">
        <v>0.69459138128869891</v>
      </c>
      <c r="AG280" s="76"/>
    </row>
    <row r="281" spans="14:33" x14ac:dyDescent="0.3">
      <c r="N281" s="167">
        <v>45315</v>
      </c>
      <c r="O281" s="171">
        <v>79.63</v>
      </c>
      <c r="P281" s="125">
        <v>2024</v>
      </c>
      <c r="Q281" s="125">
        <v>1</v>
      </c>
      <c r="R281" s="125" t="s">
        <v>367</v>
      </c>
      <c r="T281" s="125">
        <v>2024</v>
      </c>
      <c r="U281" s="125" t="s">
        <v>464</v>
      </c>
      <c r="V281" s="126">
        <v>79</v>
      </c>
      <c r="W281" s="127">
        <v>1.2331194872073334</v>
      </c>
      <c r="X281" s="128">
        <v>0.11678322018549975</v>
      </c>
      <c r="Y281" s="128">
        <v>4.0571929767536014E-2</v>
      </c>
      <c r="Z281" s="127">
        <v>-5.2416859588882581E-3</v>
      </c>
      <c r="AA281" s="128">
        <v>3.7911016791603691E-2</v>
      </c>
      <c r="AB281" s="127">
        <v>-5.4482340514992325E-3</v>
      </c>
      <c r="AC281" s="129">
        <v>0.52733004943012662</v>
      </c>
      <c r="AD281" s="128">
        <v>0.41348753948301459</v>
      </c>
      <c r="AE281" s="128">
        <v>0.13611769117236694</v>
      </c>
      <c r="AG281" s="76"/>
    </row>
    <row r="282" spans="14:33" x14ac:dyDescent="0.3">
      <c r="N282" s="168">
        <v>45316</v>
      </c>
      <c r="O282" s="172">
        <v>81.96</v>
      </c>
      <c r="P282" s="83">
        <v>2024</v>
      </c>
      <c r="Q282" s="83">
        <v>1</v>
      </c>
      <c r="R282" s="83" t="s">
        <v>367</v>
      </c>
      <c r="T282" s="83">
        <v>2024</v>
      </c>
      <c r="U282" s="83" t="s">
        <v>465</v>
      </c>
      <c r="V282" s="84">
        <v>49</v>
      </c>
      <c r="W282" s="85">
        <v>0.88226816528565966</v>
      </c>
      <c r="X282" s="86">
        <v>1.1771759919284781</v>
      </c>
      <c r="Y282" s="86">
        <v>6.5368083078363712E-2</v>
      </c>
      <c r="Z282" s="85">
        <v>-3.7063440867843539E-4</v>
      </c>
      <c r="AA282" s="86">
        <v>1.125298621890258E-2</v>
      </c>
      <c r="AB282" s="85">
        <v>-3.7485262004593176E-4</v>
      </c>
      <c r="AC282" s="87">
        <v>0.55540262125092421</v>
      </c>
      <c r="AD282" s="86">
        <v>0.55371695621592376</v>
      </c>
      <c r="AE282" s="86">
        <v>0.22217299283269712</v>
      </c>
      <c r="AG282" s="76"/>
    </row>
    <row r="283" spans="14:33" x14ac:dyDescent="0.3">
      <c r="N283" s="167">
        <v>45317</v>
      </c>
      <c r="O283" s="171">
        <v>82.95</v>
      </c>
      <c r="P283" s="125">
        <v>2024</v>
      </c>
      <c r="Q283" s="125">
        <v>1</v>
      </c>
      <c r="R283" s="125" t="s">
        <v>367</v>
      </c>
      <c r="T283" s="125">
        <v>2024</v>
      </c>
      <c r="U283" s="125" t="s">
        <v>466</v>
      </c>
      <c r="V283" s="126">
        <v>15</v>
      </c>
      <c r="W283" s="127">
        <v>2.0004565028386407</v>
      </c>
      <c r="X283" s="128">
        <v>0.24055401059949102</v>
      </c>
      <c r="Y283" s="128">
        <v>9.8330509025201351E-2</v>
      </c>
      <c r="Z283" s="127">
        <v>-4.1192104399497796E-3</v>
      </c>
      <c r="AA283" s="128">
        <v>2.8404796925753654E-2</v>
      </c>
      <c r="AB283" s="127">
        <v>-4.2396364524197863E-3</v>
      </c>
      <c r="AC283" s="129">
        <v>0.60634881653940054</v>
      </c>
      <c r="AD283" s="128">
        <v>0.44059235658259677</v>
      </c>
      <c r="AE283" s="128">
        <v>7.6952134781070936E-2</v>
      </c>
      <c r="AG283" s="76"/>
    </row>
    <row r="284" spans="14:33" x14ac:dyDescent="0.3">
      <c r="N284" s="168">
        <v>45320</v>
      </c>
      <c r="O284" s="172">
        <v>81.83</v>
      </c>
      <c r="P284" s="83">
        <v>2024</v>
      </c>
      <c r="Q284" s="83">
        <v>1</v>
      </c>
      <c r="R284" s="83" t="s">
        <v>367</v>
      </c>
      <c r="T284" s="83">
        <v>2024</v>
      </c>
      <c r="U284" s="83" t="s">
        <v>490</v>
      </c>
      <c r="V284" s="84">
        <v>18</v>
      </c>
      <c r="W284" s="85">
        <v>1.058265749430396</v>
      </c>
      <c r="X284" s="86">
        <v>0.29510151487454073</v>
      </c>
      <c r="Y284" s="86">
        <v>0.16385816650202897</v>
      </c>
      <c r="Z284" s="85">
        <v>-1.7756423799842568E-3</v>
      </c>
      <c r="AA284" s="86">
        <v>6.2843539003580931E-2</v>
      </c>
      <c r="AB284" s="85">
        <v>-1.8947128402618371E-3</v>
      </c>
      <c r="AC284" s="87">
        <v>0.47892861786444119</v>
      </c>
      <c r="AD284" s="86">
        <v>0.28046286808958065</v>
      </c>
      <c r="AE284" s="86">
        <v>0.26963358611053628</v>
      </c>
      <c r="AG284" s="76"/>
    </row>
    <row r="285" spans="14:33" x14ac:dyDescent="0.3">
      <c r="N285" s="167">
        <v>45321</v>
      </c>
      <c r="O285" s="171">
        <v>82.5</v>
      </c>
      <c r="P285" s="125">
        <v>2024</v>
      </c>
      <c r="Q285" s="125">
        <v>1</v>
      </c>
      <c r="R285" s="125" t="s">
        <v>367</v>
      </c>
      <c r="T285" s="125">
        <v>2024</v>
      </c>
      <c r="U285" s="125" t="s">
        <v>491</v>
      </c>
      <c r="V285" s="126">
        <v>4</v>
      </c>
      <c r="W285" s="127">
        <v>1.1078308621714459</v>
      </c>
      <c r="X285" s="128">
        <v>0.27451205147789459</v>
      </c>
      <c r="Y285" s="128">
        <v>0.16567959676788763</v>
      </c>
      <c r="Z285" s="127">
        <v>-1.9984758427334924E-3</v>
      </c>
      <c r="AA285" s="128">
        <v>1.4686917256493601E-2</v>
      </c>
      <c r="AB285" s="127">
        <v>-2.0282648000257289E-3</v>
      </c>
      <c r="AC285" s="129">
        <v>0.22719138715983178</v>
      </c>
      <c r="AD285" s="128">
        <v>0.16341269092106181</v>
      </c>
      <c r="AE285" s="128">
        <v>0.11810856266876285</v>
      </c>
      <c r="AG285" s="76"/>
    </row>
    <row r="286" spans="14:33" x14ac:dyDescent="0.3">
      <c r="N286" s="168">
        <v>45322</v>
      </c>
      <c r="O286" s="172">
        <v>80.55</v>
      </c>
      <c r="P286" s="83">
        <v>2024</v>
      </c>
      <c r="Q286" s="83">
        <v>1</v>
      </c>
      <c r="R286" s="83" t="s">
        <v>367</v>
      </c>
      <c r="T286" s="83">
        <v>2024</v>
      </c>
      <c r="U286" s="83" t="s">
        <v>467</v>
      </c>
      <c r="V286" s="84">
        <v>35</v>
      </c>
      <c r="W286" s="85">
        <v>1.5451244708853058</v>
      </c>
      <c r="X286" s="86">
        <v>0.43913586539321359</v>
      </c>
      <c r="Y286" s="86">
        <v>0.14785932618179476</v>
      </c>
      <c r="Z286" s="85">
        <v>-1.7412367329173767E-3</v>
      </c>
      <c r="AA286" s="86">
        <v>5.7218077552788967E-2</v>
      </c>
      <c r="AB286" s="85">
        <v>-1.8469135772115671E-3</v>
      </c>
      <c r="AC286" s="87">
        <v>0.44581530141043629</v>
      </c>
      <c r="AD286" s="86">
        <v>0.41171324567018758</v>
      </c>
      <c r="AE286" s="86">
        <v>1.5003843688997927</v>
      </c>
      <c r="AG286" s="76"/>
    </row>
    <row r="287" spans="14:33" x14ac:dyDescent="0.3">
      <c r="N287" s="167">
        <v>45323</v>
      </c>
      <c r="O287" s="171">
        <v>78.7</v>
      </c>
      <c r="P287" s="125">
        <v>2024</v>
      </c>
      <c r="Q287" s="125">
        <v>2</v>
      </c>
      <c r="R287" s="125" t="s">
        <v>367</v>
      </c>
      <c r="T287" s="125">
        <v>2024</v>
      </c>
      <c r="U287" s="125" t="s">
        <v>468</v>
      </c>
      <c r="V287" s="126">
        <v>15</v>
      </c>
      <c r="W287" s="127">
        <v>0.63513941960164833</v>
      </c>
      <c r="X287" s="128">
        <v>0.74175003502026149</v>
      </c>
      <c r="Y287" s="128">
        <v>0.13203047748326249</v>
      </c>
      <c r="Z287" s="127">
        <v>-4.235504305977697E-4</v>
      </c>
      <c r="AA287" s="128">
        <v>3.3127957239668755E-3</v>
      </c>
      <c r="AB287" s="127">
        <v>-4.249582304063243E-4</v>
      </c>
      <c r="AC287" s="129">
        <v>0.15608401947167233</v>
      </c>
      <c r="AD287" s="128">
        <v>0.1497076220101746</v>
      </c>
      <c r="AE287" s="128">
        <v>9.3615784474097866E-2</v>
      </c>
      <c r="AG287" s="76"/>
    </row>
    <row r="288" spans="14:33" x14ac:dyDescent="0.3">
      <c r="N288" s="168">
        <v>45324</v>
      </c>
      <c r="O288" s="172">
        <v>77.33</v>
      </c>
      <c r="P288" s="83">
        <v>2024</v>
      </c>
      <c r="Q288" s="83">
        <v>2</v>
      </c>
      <c r="R288" s="83" t="s">
        <v>367</v>
      </c>
      <c r="T288" s="83">
        <v>2024</v>
      </c>
      <c r="U288" s="83" t="s">
        <v>469</v>
      </c>
      <c r="V288" s="84">
        <v>16</v>
      </c>
      <c r="W288" s="85">
        <v>1.1524153536245123</v>
      </c>
      <c r="X288" s="86">
        <v>0.43396475885206598</v>
      </c>
      <c r="Y288" s="86">
        <v>8.4454307614074048E-2</v>
      </c>
      <c r="Z288" s="85">
        <v>-1.31417639700142E-3</v>
      </c>
      <c r="AA288" s="86">
        <v>3.5347974849298789E-3</v>
      </c>
      <c r="AB288" s="85">
        <v>-1.3188382230352345E-3</v>
      </c>
      <c r="AC288" s="87">
        <v>0.36551319134525267</v>
      </c>
      <c r="AD288" s="86">
        <v>0.41373294388583098</v>
      </c>
      <c r="AE288" s="86">
        <v>0.13746671306527883</v>
      </c>
      <c r="AG288" s="76"/>
    </row>
    <row r="289" spans="14:33" x14ac:dyDescent="0.3">
      <c r="N289" s="167">
        <v>45327</v>
      </c>
      <c r="O289" s="171">
        <v>77.989999999999995</v>
      </c>
      <c r="P289" s="125">
        <v>2024</v>
      </c>
      <c r="Q289" s="125">
        <v>2</v>
      </c>
      <c r="R289" s="125" t="s">
        <v>367</v>
      </c>
      <c r="T289" s="125">
        <v>2024</v>
      </c>
      <c r="U289" s="125" t="s">
        <v>470</v>
      </c>
      <c r="V289" s="126">
        <v>7165</v>
      </c>
      <c r="W289" s="127">
        <v>1.1572702941885729</v>
      </c>
      <c r="X289" s="128">
        <v>0.53521978693922112</v>
      </c>
      <c r="Y289" s="128">
        <v>7.5197838058014305E-2</v>
      </c>
      <c r="Z289" s="127">
        <v>-1.0698134422120161E-3</v>
      </c>
      <c r="AA289" s="128">
        <v>6.6630317524362631E-2</v>
      </c>
      <c r="AB289" s="127">
        <v>-1.146184049362392E-3</v>
      </c>
      <c r="AC289" s="129">
        <v>0.48324484898520542</v>
      </c>
      <c r="AD289" s="128">
        <v>0.41373294388583098</v>
      </c>
      <c r="AE289" s="128">
        <v>0.1900788202618873</v>
      </c>
      <c r="AG289" s="76"/>
    </row>
    <row r="290" spans="14:33" x14ac:dyDescent="0.3">
      <c r="N290" s="168">
        <v>45328</v>
      </c>
      <c r="O290" s="172">
        <v>78.59</v>
      </c>
      <c r="P290" s="83">
        <v>2024</v>
      </c>
      <c r="Q290" s="83">
        <v>2</v>
      </c>
      <c r="R290" s="83" t="s">
        <v>367</v>
      </c>
      <c r="T290" s="83">
        <v>2024</v>
      </c>
      <c r="U290" s="83" t="s">
        <v>493</v>
      </c>
      <c r="V290" s="84">
        <v>5649</v>
      </c>
      <c r="W290" s="85">
        <v>1.292817025743946</v>
      </c>
      <c r="X290" s="86">
        <v>0.26398867839831808</v>
      </c>
      <c r="Y290" s="86">
        <v>6.3846780495244726E-2</v>
      </c>
      <c r="Z290" s="85">
        <v>-2.425324486010023E-3</v>
      </c>
      <c r="AA290" s="86">
        <v>3.7516689774389836E-2</v>
      </c>
      <c r="AB290" s="85">
        <v>-2.5198613422621496E-3</v>
      </c>
      <c r="AC290" s="87">
        <v>0.55752138057019252</v>
      </c>
      <c r="AD290" s="86">
        <v>0.47976813197581314</v>
      </c>
      <c r="AE290" s="86">
        <v>0.18503610455341124</v>
      </c>
      <c r="AG290" s="76"/>
    </row>
    <row r="291" spans="14:33" x14ac:dyDescent="0.3">
      <c r="N291" s="167">
        <v>45329</v>
      </c>
      <c r="O291" s="171">
        <v>79.209999999999994</v>
      </c>
      <c r="P291" s="125">
        <v>2024</v>
      </c>
      <c r="Q291" s="125">
        <v>2</v>
      </c>
      <c r="R291" s="125" t="s">
        <v>367</v>
      </c>
      <c r="AG291" s="76"/>
    </row>
    <row r="292" spans="14:33" x14ac:dyDescent="0.3">
      <c r="N292" s="168">
        <v>45330</v>
      </c>
      <c r="O292" s="172">
        <v>81.63</v>
      </c>
      <c r="P292" s="83">
        <v>2024</v>
      </c>
      <c r="Q292" s="83">
        <v>2</v>
      </c>
      <c r="R292" s="83" t="s">
        <v>367</v>
      </c>
      <c r="AG292" s="76"/>
    </row>
    <row r="293" spans="14:33" x14ac:dyDescent="0.3">
      <c r="N293" s="167">
        <v>45331</v>
      </c>
      <c r="O293" s="171">
        <v>82.19</v>
      </c>
      <c r="P293" s="125">
        <v>2024</v>
      </c>
      <c r="Q293" s="125">
        <v>2</v>
      </c>
      <c r="R293" s="125" t="s">
        <v>367</v>
      </c>
      <c r="AG293" s="76"/>
    </row>
    <row r="294" spans="14:33" x14ac:dyDescent="0.3">
      <c r="N294" s="168">
        <v>45334</v>
      </c>
      <c r="O294" s="172">
        <v>82</v>
      </c>
      <c r="P294" s="83">
        <v>2024</v>
      </c>
      <c r="Q294" s="83">
        <v>2</v>
      </c>
      <c r="R294" s="83" t="s">
        <v>367</v>
      </c>
      <c r="AG294" s="76"/>
    </row>
    <row r="295" spans="14:33" x14ac:dyDescent="0.3">
      <c r="N295" s="167">
        <v>45335</v>
      </c>
      <c r="O295" s="171">
        <v>82.77</v>
      </c>
      <c r="P295" s="125">
        <v>2024</v>
      </c>
      <c r="Q295" s="125">
        <v>2</v>
      </c>
      <c r="R295" s="125" t="s">
        <v>367</v>
      </c>
      <c r="AG295" s="76"/>
    </row>
    <row r="296" spans="14:33" x14ac:dyDescent="0.3">
      <c r="N296" s="168">
        <v>45336</v>
      </c>
      <c r="O296" s="172">
        <v>80.989999999999995</v>
      </c>
      <c r="P296" s="83">
        <v>2024</v>
      </c>
      <c r="Q296" s="83">
        <v>2</v>
      </c>
      <c r="R296" s="83" t="s">
        <v>367</v>
      </c>
      <c r="AG296" s="76"/>
    </row>
    <row r="297" spans="14:33" x14ac:dyDescent="0.3">
      <c r="N297" s="167">
        <v>45337</v>
      </c>
      <c r="O297" s="171">
        <v>82.16</v>
      </c>
      <c r="P297" s="125">
        <v>2024</v>
      </c>
      <c r="Q297" s="125">
        <v>2</v>
      </c>
      <c r="R297" s="125" t="s">
        <v>367</v>
      </c>
      <c r="AG297" s="76"/>
    </row>
    <row r="298" spans="14:33" x14ac:dyDescent="0.3">
      <c r="N298" s="168">
        <v>45338</v>
      </c>
      <c r="O298" s="172">
        <v>82.74</v>
      </c>
      <c r="P298" s="83">
        <v>2024</v>
      </c>
      <c r="Q298" s="83">
        <v>2</v>
      </c>
      <c r="R298" s="83" t="s">
        <v>367</v>
      </c>
      <c r="AG298" s="76"/>
    </row>
    <row r="299" spans="14:33" x14ac:dyDescent="0.3">
      <c r="N299" s="167">
        <v>45341</v>
      </c>
      <c r="O299" s="171">
        <v>82.73</v>
      </c>
      <c r="P299" s="125">
        <v>2024</v>
      </c>
      <c r="Q299" s="125">
        <v>2</v>
      </c>
      <c r="R299" s="125" t="s">
        <v>367</v>
      </c>
      <c r="AG299" s="76"/>
    </row>
    <row r="300" spans="14:33" x14ac:dyDescent="0.3">
      <c r="N300" s="168">
        <v>45342</v>
      </c>
      <c r="O300" s="172">
        <v>81.5</v>
      </c>
      <c r="P300" s="83">
        <v>2024</v>
      </c>
      <c r="Q300" s="83">
        <v>2</v>
      </c>
      <c r="R300" s="83" t="s">
        <v>367</v>
      </c>
      <c r="AG300" s="76"/>
    </row>
    <row r="301" spans="14:33" x14ac:dyDescent="0.3">
      <c r="N301" s="167">
        <v>45343</v>
      </c>
      <c r="O301" s="171">
        <v>82.11</v>
      </c>
      <c r="P301" s="125">
        <v>2024</v>
      </c>
      <c r="Q301" s="125">
        <v>2</v>
      </c>
      <c r="R301" s="125" t="s">
        <v>367</v>
      </c>
      <c r="AG301" s="76"/>
    </row>
    <row r="302" spans="14:33" x14ac:dyDescent="0.3">
      <c r="N302" s="168">
        <v>45344</v>
      </c>
      <c r="O302" s="172">
        <v>82.7</v>
      </c>
      <c r="P302" s="83">
        <v>2024</v>
      </c>
      <c r="Q302" s="83">
        <v>2</v>
      </c>
      <c r="R302" s="83" t="s">
        <v>367</v>
      </c>
      <c r="AG302" s="76"/>
    </row>
    <row r="303" spans="14:33" x14ac:dyDescent="0.3">
      <c r="N303" s="167">
        <v>45345</v>
      </c>
      <c r="O303" s="171">
        <v>80.8</v>
      </c>
      <c r="P303" s="125">
        <v>2024</v>
      </c>
      <c r="Q303" s="125">
        <v>2</v>
      </c>
      <c r="R303" s="125" t="s">
        <v>367</v>
      </c>
      <c r="AG303" s="76"/>
    </row>
    <row r="304" spans="14:33" x14ac:dyDescent="0.3">
      <c r="N304" s="168">
        <v>45348</v>
      </c>
      <c r="O304" s="172">
        <v>81.67</v>
      </c>
      <c r="P304" s="83">
        <v>2024</v>
      </c>
      <c r="Q304" s="83">
        <v>2</v>
      </c>
      <c r="R304" s="83" t="s">
        <v>367</v>
      </c>
      <c r="AG304" s="76"/>
    </row>
    <row r="305" spans="14:35" x14ac:dyDescent="0.3">
      <c r="N305" s="167">
        <v>45349</v>
      </c>
      <c r="O305" s="171">
        <v>82.66</v>
      </c>
      <c r="P305" s="125">
        <v>2024</v>
      </c>
      <c r="Q305" s="125">
        <v>2</v>
      </c>
      <c r="R305" s="125" t="s">
        <v>367</v>
      </c>
      <c r="AG305" s="76"/>
    </row>
    <row r="306" spans="14:35" x14ac:dyDescent="0.3">
      <c r="N306" s="168">
        <v>45350</v>
      </c>
      <c r="O306" s="172">
        <v>82.15</v>
      </c>
      <c r="P306" s="83">
        <v>2024</v>
      </c>
      <c r="Q306" s="83">
        <v>2</v>
      </c>
      <c r="R306" s="83" t="s">
        <v>367</v>
      </c>
      <c r="AG306" s="76"/>
    </row>
    <row r="307" spans="14:35" x14ac:dyDescent="0.3">
      <c r="N307" s="167">
        <v>45351</v>
      </c>
      <c r="O307" s="171">
        <v>81.91</v>
      </c>
      <c r="P307" s="125">
        <v>2024</v>
      </c>
      <c r="Q307" s="125">
        <v>2</v>
      </c>
      <c r="R307" s="125" t="s">
        <v>367</v>
      </c>
      <c r="AG307" s="76"/>
    </row>
    <row r="308" spans="14:35" x14ac:dyDescent="0.3">
      <c r="N308" s="168">
        <v>45352</v>
      </c>
      <c r="O308" s="172">
        <v>83.55</v>
      </c>
      <c r="P308" s="83">
        <v>2024</v>
      </c>
      <c r="Q308" s="83">
        <v>3</v>
      </c>
      <c r="R308" s="83" t="s">
        <v>367</v>
      </c>
      <c r="AG308" s="76"/>
    </row>
    <row r="309" spans="14:35" x14ac:dyDescent="0.3">
      <c r="N309" s="167">
        <v>45355</v>
      </c>
      <c r="O309" s="171">
        <v>82.8</v>
      </c>
      <c r="P309" s="125">
        <v>2024</v>
      </c>
      <c r="Q309" s="125">
        <v>3</v>
      </c>
      <c r="R309" s="125" t="s">
        <v>367</v>
      </c>
      <c r="AG309" s="76"/>
    </row>
    <row r="310" spans="14:35" x14ac:dyDescent="0.3">
      <c r="N310" s="168">
        <v>45356</v>
      </c>
      <c r="O310" s="172">
        <v>82.04</v>
      </c>
      <c r="P310" s="83">
        <v>2024</v>
      </c>
      <c r="Q310" s="83">
        <v>3</v>
      </c>
      <c r="R310" s="83" t="s">
        <v>367</v>
      </c>
      <c r="AG310" s="76"/>
    </row>
    <row r="311" spans="14:35" x14ac:dyDescent="0.3">
      <c r="N311" s="167">
        <v>45357</v>
      </c>
      <c r="O311" s="171">
        <v>82.96</v>
      </c>
      <c r="P311" s="125">
        <v>2024</v>
      </c>
      <c r="Q311" s="125">
        <v>3</v>
      </c>
      <c r="R311" s="125" t="s">
        <v>367</v>
      </c>
      <c r="AG311" s="76"/>
    </row>
    <row r="312" spans="14:35" x14ac:dyDescent="0.3">
      <c r="N312" s="168">
        <v>45358</v>
      </c>
      <c r="O312" s="172">
        <v>82.96</v>
      </c>
      <c r="P312" s="83">
        <v>2024</v>
      </c>
      <c r="Q312" s="83">
        <v>3</v>
      </c>
      <c r="R312" s="83" t="s">
        <v>367</v>
      </c>
      <c r="AG312" s="76"/>
    </row>
    <row r="313" spans="14:35" x14ac:dyDescent="0.3">
      <c r="N313" s="167">
        <v>45359</v>
      </c>
      <c r="O313" s="171">
        <v>82.08</v>
      </c>
      <c r="P313" s="125">
        <v>2024</v>
      </c>
      <c r="Q313" s="125">
        <v>3</v>
      </c>
      <c r="R313" s="125" t="s">
        <v>367</v>
      </c>
      <c r="AG313" s="76"/>
    </row>
    <row r="314" spans="14:35" x14ac:dyDescent="0.3">
      <c r="N314" s="168">
        <v>45362</v>
      </c>
      <c r="O314" s="172">
        <v>82.21</v>
      </c>
      <c r="P314" s="83">
        <v>2024</v>
      </c>
      <c r="Q314" s="83">
        <v>3</v>
      </c>
      <c r="R314" s="83" t="s">
        <v>367</v>
      </c>
      <c r="AG314" s="76"/>
      <c r="AI314" s="179"/>
    </row>
    <row r="315" spans="14:35" x14ac:dyDescent="0.3">
      <c r="N315" s="167">
        <v>45363</v>
      </c>
      <c r="O315" s="171">
        <v>81.92</v>
      </c>
      <c r="P315" s="125">
        <v>2024</v>
      </c>
      <c r="Q315" s="125">
        <v>3</v>
      </c>
      <c r="R315" s="125" t="s">
        <v>367</v>
      </c>
      <c r="AG315" s="76"/>
      <c r="AI315" s="179"/>
    </row>
    <row r="316" spans="14:35" x14ac:dyDescent="0.3">
      <c r="N316" s="168">
        <v>45364</v>
      </c>
      <c r="O316" s="172">
        <v>84.03</v>
      </c>
      <c r="P316" s="83">
        <v>2024</v>
      </c>
      <c r="Q316" s="83">
        <v>3</v>
      </c>
      <c r="R316" s="83" t="s">
        <v>367</v>
      </c>
      <c r="AG316" s="76"/>
      <c r="AI316" s="179"/>
    </row>
    <row r="317" spans="14:35" x14ac:dyDescent="0.3">
      <c r="N317" s="167">
        <v>45365</v>
      </c>
      <c r="O317" s="171">
        <v>85.42</v>
      </c>
      <c r="P317" s="125">
        <v>2024</v>
      </c>
      <c r="Q317" s="125">
        <v>3</v>
      </c>
      <c r="R317" s="125" t="s">
        <v>367</v>
      </c>
      <c r="AG317" s="76"/>
      <c r="AI317" s="179"/>
    </row>
    <row r="318" spans="14:35" x14ac:dyDescent="0.3">
      <c r="N318" s="168">
        <v>45366</v>
      </c>
      <c r="O318" s="172">
        <v>84.75</v>
      </c>
      <c r="P318" s="83">
        <v>2024</v>
      </c>
      <c r="Q318" s="83">
        <v>3</v>
      </c>
      <c r="R318" s="83" t="s">
        <v>367</v>
      </c>
      <c r="AG318" s="76"/>
      <c r="AI318" s="179"/>
    </row>
    <row r="319" spans="14:35" x14ac:dyDescent="0.3">
      <c r="N319" s="68"/>
      <c r="AG319" s="76"/>
      <c r="AI319" s="179"/>
    </row>
    <row r="320" spans="14:35" x14ac:dyDescent="0.3">
      <c r="N320" s="68"/>
      <c r="AG320" s="76"/>
      <c r="AI320" s="179"/>
    </row>
    <row r="321" spans="14:35" x14ac:dyDescent="0.3">
      <c r="N321" s="68"/>
      <c r="AG321" s="76"/>
      <c r="AI321" s="179"/>
    </row>
    <row r="322" spans="14:35" x14ac:dyDescent="0.3">
      <c r="N322" s="68"/>
      <c r="AG322" s="76"/>
      <c r="AI322" s="179"/>
    </row>
    <row r="323" spans="14:35" x14ac:dyDescent="0.3">
      <c r="N323" s="68"/>
      <c r="AG323" s="76"/>
      <c r="AI323" s="179"/>
    </row>
    <row r="324" spans="14:35" x14ac:dyDescent="0.3">
      <c r="N324" s="68"/>
      <c r="AG324" s="76"/>
      <c r="AI324" s="179"/>
    </row>
    <row r="325" spans="14:35" x14ac:dyDescent="0.3">
      <c r="N325" s="68"/>
      <c r="AG325" s="76"/>
      <c r="AI325" s="179"/>
    </row>
    <row r="326" spans="14:35" x14ac:dyDescent="0.3">
      <c r="N326" s="68"/>
      <c r="AG326" s="76"/>
      <c r="AI326" s="179"/>
    </row>
    <row r="327" spans="14:35" x14ac:dyDescent="0.3">
      <c r="N327" s="68"/>
      <c r="AI327" s="179"/>
    </row>
    <row r="328" spans="14:35" x14ac:dyDescent="0.3">
      <c r="N328" s="68"/>
      <c r="AI328" s="179"/>
    </row>
    <row r="329" spans="14:35" x14ac:dyDescent="0.3">
      <c r="N329" s="68"/>
      <c r="AI329" s="179"/>
    </row>
    <row r="330" spans="14:35" x14ac:dyDescent="0.3">
      <c r="N330" s="68"/>
      <c r="AI330" s="179"/>
    </row>
    <row r="331" spans="14:35" x14ac:dyDescent="0.3">
      <c r="N331" s="68"/>
      <c r="AI331" s="179"/>
    </row>
    <row r="332" spans="14:35" x14ac:dyDescent="0.3">
      <c r="N332" s="68"/>
      <c r="AI332" s="179"/>
    </row>
    <row r="333" spans="14:35" x14ac:dyDescent="0.3">
      <c r="N333" s="68"/>
      <c r="AI333" s="179"/>
    </row>
    <row r="334" spans="14:35" x14ac:dyDescent="0.3">
      <c r="N334" s="68"/>
      <c r="AI334" s="179"/>
    </row>
    <row r="335" spans="14:35" x14ac:dyDescent="0.3">
      <c r="N335" s="68"/>
      <c r="AI335" s="179"/>
    </row>
    <row r="336" spans="14:35" x14ac:dyDescent="0.3">
      <c r="N336" s="68"/>
      <c r="AI336" s="179"/>
    </row>
    <row r="337" spans="14:35" x14ac:dyDescent="0.3">
      <c r="N337" s="68"/>
      <c r="AI337" s="179"/>
    </row>
    <row r="338" spans="14:35" x14ac:dyDescent="0.3">
      <c r="N338" s="68"/>
      <c r="AI338" s="179"/>
    </row>
    <row r="339" spans="14:35" x14ac:dyDescent="0.3">
      <c r="N339" s="68"/>
      <c r="AI339" s="179"/>
    </row>
    <row r="340" spans="14:35" x14ac:dyDescent="0.3">
      <c r="N340" s="68"/>
      <c r="AI340" s="179"/>
    </row>
    <row r="341" spans="14:35" x14ac:dyDescent="0.3">
      <c r="N341" s="68"/>
      <c r="AI341" s="179"/>
    </row>
    <row r="342" spans="14:35" x14ac:dyDescent="0.3">
      <c r="N342" s="68"/>
      <c r="AI342" s="179"/>
    </row>
    <row r="343" spans="14:35" x14ac:dyDescent="0.3">
      <c r="N343" s="68"/>
    </row>
    <row r="344" spans="14:35" x14ac:dyDescent="0.3">
      <c r="N344" s="68"/>
      <c r="AI344" s="179"/>
    </row>
    <row r="345" spans="14:35" x14ac:dyDescent="0.3">
      <c r="N345" s="68"/>
    </row>
    <row r="346" spans="14:35" x14ac:dyDescent="0.3">
      <c r="N346" s="68"/>
    </row>
    <row r="347" spans="14:35" x14ac:dyDescent="0.3">
      <c r="N347" s="68"/>
    </row>
    <row r="348" spans="14:35" x14ac:dyDescent="0.3">
      <c r="N348" s="68"/>
    </row>
    <row r="349" spans="14:35" x14ac:dyDescent="0.3">
      <c r="N349" s="68"/>
    </row>
    <row r="350" spans="14:35" x14ac:dyDescent="0.3">
      <c r="N350" s="68"/>
    </row>
  </sheetData>
  <phoneticPr fontId="19" type="noConversion"/>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9B1C8-3D4B-473A-9C11-63BAF5B997F9}">
  <sheetPr>
    <tabColor theme="9" tint="-0.499984740745262"/>
  </sheetPr>
  <dimension ref="A1:AJ901"/>
  <sheetViews>
    <sheetView showGridLines="0" topLeftCell="P82" workbookViewId="0">
      <selection activeCell="AE3" sqref="AE3:AE4"/>
    </sheetView>
  </sheetViews>
  <sheetFormatPr defaultRowHeight="14.4" x14ac:dyDescent="0.3"/>
  <cols>
    <col min="1" max="1" width="28.88671875" bestFit="1" customWidth="1"/>
    <col min="9" max="9" width="25.77734375" bestFit="1" customWidth="1"/>
    <col min="16" max="16" width="25.77734375" bestFit="1" customWidth="1"/>
    <col min="23" max="23" width="25.77734375" bestFit="1" customWidth="1"/>
    <col min="24" max="24" width="8.77734375" bestFit="1" customWidth="1"/>
    <col min="25" max="25" width="9.6640625" bestFit="1" customWidth="1"/>
    <col min="26" max="26" width="9.77734375" bestFit="1" customWidth="1"/>
    <col min="27" max="27" width="9.33203125" bestFit="1" customWidth="1"/>
    <col min="29" max="29" width="7.6640625" bestFit="1" customWidth="1"/>
    <col min="31" max="31" width="25.77734375" bestFit="1" customWidth="1"/>
  </cols>
  <sheetData>
    <row r="1" spans="1:36" x14ac:dyDescent="0.3">
      <c r="A1" t="s">
        <v>2729</v>
      </c>
      <c r="I1" t="s">
        <v>2728</v>
      </c>
      <c r="P1" t="s">
        <v>2727</v>
      </c>
      <c r="W1" t="s">
        <v>2726</v>
      </c>
      <c r="AE1" t="s">
        <v>95</v>
      </c>
      <c r="AF1" t="s">
        <v>2725</v>
      </c>
      <c r="AH1" t="s">
        <v>2745</v>
      </c>
    </row>
    <row r="2" spans="1:36" ht="50.4" x14ac:dyDescent="0.3">
      <c r="A2" s="188" t="s">
        <v>379</v>
      </c>
      <c r="B2" s="188" t="s">
        <v>2724</v>
      </c>
      <c r="C2" s="189" t="s">
        <v>2723</v>
      </c>
      <c r="D2" s="188" t="s">
        <v>2722</v>
      </c>
      <c r="E2" s="188" t="s">
        <v>2721</v>
      </c>
      <c r="F2" s="188" t="s">
        <v>2720</v>
      </c>
      <c r="G2" s="188" t="s">
        <v>2719</v>
      </c>
      <c r="I2" s="188" t="s">
        <v>379</v>
      </c>
      <c r="J2" s="188" t="s">
        <v>2724</v>
      </c>
      <c r="K2" s="189" t="s">
        <v>2723</v>
      </c>
      <c r="L2" s="188" t="s">
        <v>2722</v>
      </c>
      <c r="M2" s="188" t="s">
        <v>2721</v>
      </c>
      <c r="N2" s="188" t="s">
        <v>2719</v>
      </c>
      <c r="P2" s="188" t="s">
        <v>379</v>
      </c>
      <c r="Q2" s="188" t="s">
        <v>2724</v>
      </c>
      <c r="R2" s="189" t="s">
        <v>2723</v>
      </c>
      <c r="S2" s="188" t="s">
        <v>2722</v>
      </c>
      <c r="T2" s="188" t="s">
        <v>2721</v>
      </c>
      <c r="U2" s="188" t="s">
        <v>2719</v>
      </c>
      <c r="W2" s="188" t="s">
        <v>379</v>
      </c>
      <c r="X2" s="188" t="s">
        <v>2724</v>
      </c>
      <c r="Y2" s="189" t="s">
        <v>2723</v>
      </c>
      <c r="Z2" s="188" t="s">
        <v>2722</v>
      </c>
      <c r="AA2" s="188" t="s">
        <v>2721</v>
      </c>
      <c r="AB2" s="188" t="s">
        <v>2720</v>
      </c>
      <c r="AC2" s="188" t="s">
        <v>2719</v>
      </c>
      <c r="AE2" s="188" t="s">
        <v>2718</v>
      </c>
      <c r="AF2" s="188" t="s">
        <v>2717</v>
      </c>
      <c r="AG2" s="189" t="s">
        <v>2716</v>
      </c>
      <c r="AH2" s="188" t="s">
        <v>2715</v>
      </c>
      <c r="AI2" s="188" t="s">
        <v>2714</v>
      </c>
      <c r="AJ2" s="188" t="s">
        <v>2713</v>
      </c>
    </row>
    <row r="3" spans="1:36" x14ac:dyDescent="0.3">
      <c r="A3" s="167">
        <v>45455</v>
      </c>
      <c r="B3" s="171">
        <v>42.75</v>
      </c>
      <c r="C3" s="171">
        <v>42.9</v>
      </c>
      <c r="D3" s="171">
        <v>43.46</v>
      </c>
      <c r="E3" s="171">
        <v>42.52</v>
      </c>
      <c r="F3" s="171" t="s">
        <v>2371</v>
      </c>
      <c r="G3" s="283">
        <v>4.0000000000000001E-3</v>
      </c>
      <c r="I3" s="167">
        <v>45455</v>
      </c>
      <c r="J3" s="285">
        <v>3516.3</v>
      </c>
      <c r="K3" s="285">
        <v>3479.79</v>
      </c>
      <c r="L3" s="285">
        <v>3529.65</v>
      </c>
      <c r="M3" s="285">
        <v>3478.78</v>
      </c>
      <c r="N3" s="283" t="s">
        <v>1598</v>
      </c>
      <c r="P3" s="167">
        <v>45455</v>
      </c>
      <c r="Q3" s="285">
        <v>5.4021999999999997</v>
      </c>
      <c r="R3" s="285">
        <v>5.3672000000000004</v>
      </c>
      <c r="S3" s="285">
        <v>5.4297000000000004</v>
      </c>
      <c r="T3" s="285">
        <v>5.3372999999999999</v>
      </c>
      <c r="U3" s="283">
        <v>6.7000000000000002E-3</v>
      </c>
      <c r="W3" s="167">
        <v>45455</v>
      </c>
      <c r="X3" s="287">
        <v>119928</v>
      </c>
      <c r="Y3" s="287">
        <v>121644</v>
      </c>
      <c r="Z3" s="287">
        <v>122483</v>
      </c>
      <c r="AA3" s="287">
        <v>119544</v>
      </c>
      <c r="AB3" s="283" t="s">
        <v>2712</v>
      </c>
      <c r="AC3" s="289">
        <v>-1.4E-2</v>
      </c>
      <c r="AE3" s="167" t="s">
        <v>2711</v>
      </c>
      <c r="AF3" s="285">
        <v>5.4800000000000001E-2</v>
      </c>
      <c r="AG3" s="285">
        <v>5.5999999999999994E-2</v>
      </c>
      <c r="AH3" s="285">
        <v>4555.7700000000004</v>
      </c>
      <c r="AI3" s="285">
        <v>4477.29</v>
      </c>
      <c r="AJ3" s="283">
        <v>4477.29</v>
      </c>
    </row>
    <row r="4" spans="1:36" x14ac:dyDescent="0.3">
      <c r="A4" s="168">
        <v>45454</v>
      </c>
      <c r="B4" s="83">
        <v>42.58</v>
      </c>
      <c r="C4" s="83">
        <v>41.05</v>
      </c>
      <c r="D4" s="83">
        <v>42.78</v>
      </c>
      <c r="E4" s="83">
        <v>40.99</v>
      </c>
      <c r="F4" s="83" t="s">
        <v>1554</v>
      </c>
      <c r="G4" s="284">
        <v>4.36E-2</v>
      </c>
      <c r="I4" s="168">
        <v>45454</v>
      </c>
      <c r="J4" s="286">
        <v>3479.94</v>
      </c>
      <c r="K4" s="286">
        <v>3483.88</v>
      </c>
      <c r="L4" s="286">
        <v>3484.1</v>
      </c>
      <c r="M4" s="286">
        <v>3455.99</v>
      </c>
      <c r="N4" s="284" t="s">
        <v>1812</v>
      </c>
      <c r="P4" s="168">
        <v>45454</v>
      </c>
      <c r="Q4" s="286">
        <v>5.3662000000000001</v>
      </c>
      <c r="R4" s="286">
        <v>5.3548</v>
      </c>
      <c r="S4" s="286">
        <v>5.3738000000000001</v>
      </c>
      <c r="T4" s="286">
        <v>5.3350999999999997</v>
      </c>
      <c r="U4" s="284">
        <v>2.0999999999999999E-3</v>
      </c>
      <c r="W4" s="168">
        <v>45454</v>
      </c>
      <c r="X4" s="288">
        <v>121635</v>
      </c>
      <c r="Y4" s="288">
        <v>120760</v>
      </c>
      <c r="Z4" s="288">
        <v>121759</v>
      </c>
      <c r="AA4" s="288">
        <v>120757</v>
      </c>
      <c r="AB4" s="284" t="s">
        <v>1587</v>
      </c>
      <c r="AC4" s="290">
        <v>7.3000000000000001E-3</v>
      </c>
      <c r="AE4" s="168" t="s">
        <v>2710</v>
      </c>
      <c r="AF4" s="286">
        <v>5.4900000000000004E-2</v>
      </c>
      <c r="AG4" s="286">
        <v>5.6100000000000004E-2</v>
      </c>
      <c r="AH4" s="286">
        <v>4550.99</v>
      </c>
      <c r="AI4" s="286">
        <v>4472.67</v>
      </c>
      <c r="AJ4" s="284">
        <v>4472.67</v>
      </c>
    </row>
    <row r="5" spans="1:36" x14ac:dyDescent="0.3">
      <c r="A5" s="167">
        <v>45453</v>
      </c>
      <c r="B5" s="171">
        <v>40.799999999999997</v>
      </c>
      <c r="C5" s="171">
        <v>40.03</v>
      </c>
      <c r="D5" s="171">
        <v>41.45</v>
      </c>
      <c r="E5" s="171">
        <v>39.950000000000003</v>
      </c>
      <c r="F5" s="171" t="s">
        <v>1249</v>
      </c>
      <c r="G5" s="283">
        <v>2.1999999999999999E-2</v>
      </c>
      <c r="I5" s="167">
        <v>45453</v>
      </c>
      <c r="J5" s="285">
        <v>3482.22</v>
      </c>
      <c r="K5" s="285">
        <v>3477.94</v>
      </c>
      <c r="L5" s="285">
        <v>3485.96</v>
      </c>
      <c r="M5" s="285">
        <v>3465.62</v>
      </c>
      <c r="N5" s="283" t="s">
        <v>1220</v>
      </c>
      <c r="P5" s="167">
        <v>45453</v>
      </c>
      <c r="Q5" s="285">
        <v>5.3547000000000002</v>
      </c>
      <c r="R5" s="285">
        <v>5.3349000000000002</v>
      </c>
      <c r="S5" s="285">
        <v>5.3894000000000002</v>
      </c>
      <c r="T5" s="285">
        <v>5.3150000000000004</v>
      </c>
      <c r="U5" s="283">
        <v>1.9E-3</v>
      </c>
      <c r="W5" s="167">
        <v>45453</v>
      </c>
      <c r="X5" s="287">
        <v>120760</v>
      </c>
      <c r="Y5" s="287">
        <v>120769</v>
      </c>
      <c r="Z5" s="287">
        <v>121421</v>
      </c>
      <c r="AA5" s="287">
        <v>120540</v>
      </c>
      <c r="AB5" s="283" t="s">
        <v>2709</v>
      </c>
      <c r="AC5" s="289">
        <v>-1E-4</v>
      </c>
      <c r="AE5" s="167" t="s">
        <v>2708</v>
      </c>
      <c r="AF5" s="285">
        <v>5.4800000000000001E-2</v>
      </c>
      <c r="AG5" s="285">
        <v>5.5999999999999994E-2</v>
      </c>
      <c r="AH5" s="285">
        <v>4559.16</v>
      </c>
      <c r="AI5" s="285">
        <v>4480.67</v>
      </c>
      <c r="AJ5" s="283">
        <v>4480.67</v>
      </c>
    </row>
    <row r="6" spans="1:36" x14ac:dyDescent="0.3">
      <c r="A6" s="168">
        <v>45450</v>
      </c>
      <c r="B6" s="83">
        <v>39.92</v>
      </c>
      <c r="C6" s="83">
        <v>39.71</v>
      </c>
      <c r="D6" s="83">
        <v>40.57</v>
      </c>
      <c r="E6" s="83">
        <v>39.49</v>
      </c>
      <c r="F6" s="83" t="s">
        <v>2565</v>
      </c>
      <c r="G6" s="284">
        <v>-6.1999999999999998E-3</v>
      </c>
      <c r="I6" s="168">
        <v>45450</v>
      </c>
      <c r="J6" s="286">
        <v>3478.7</v>
      </c>
      <c r="K6" s="286">
        <v>3491.26</v>
      </c>
      <c r="L6" s="286">
        <v>3493.26</v>
      </c>
      <c r="M6" s="286">
        <v>3471.85</v>
      </c>
      <c r="N6" s="284" t="s">
        <v>1586</v>
      </c>
      <c r="P6" s="168">
        <v>45450</v>
      </c>
      <c r="Q6" s="286">
        <v>5.3448000000000002</v>
      </c>
      <c r="R6" s="286">
        <v>5.2558999999999996</v>
      </c>
      <c r="S6" s="286">
        <v>5.3489000000000004</v>
      </c>
      <c r="T6" s="286">
        <v>5.2408000000000001</v>
      </c>
      <c r="U6" s="284">
        <v>1.6899999999999998E-2</v>
      </c>
      <c r="W6" s="168">
        <v>45450</v>
      </c>
      <c r="X6" s="288">
        <v>120767</v>
      </c>
      <c r="Y6" s="288">
        <v>122899</v>
      </c>
      <c r="Z6" s="288">
        <v>122899</v>
      </c>
      <c r="AA6" s="288">
        <v>120679</v>
      </c>
      <c r="AB6" s="284" t="s">
        <v>2140</v>
      </c>
      <c r="AC6" s="290">
        <v>-1.7299999999999999E-2</v>
      </c>
      <c r="AE6" s="168" t="s">
        <v>2707</v>
      </c>
      <c r="AF6" s="286">
        <v>5.5099999999999996E-2</v>
      </c>
      <c r="AG6" s="286">
        <v>5.6299999999999996E-2</v>
      </c>
      <c r="AH6" s="286">
        <v>4542.93</v>
      </c>
      <c r="AI6" s="286">
        <v>4463.47</v>
      </c>
      <c r="AJ6" s="284">
        <v>4463.47</v>
      </c>
    </row>
    <row r="7" spans="1:36" x14ac:dyDescent="0.3">
      <c r="A7" s="167">
        <v>45449</v>
      </c>
      <c r="B7" s="171">
        <v>40.17</v>
      </c>
      <c r="C7" s="171">
        <v>39.869999999999997</v>
      </c>
      <c r="D7" s="171">
        <v>40.49</v>
      </c>
      <c r="E7" s="171">
        <v>39.79</v>
      </c>
      <c r="F7" s="171" t="s">
        <v>1516</v>
      </c>
      <c r="G7" s="283">
        <v>6.9999999999999999E-4</v>
      </c>
      <c r="I7" s="167">
        <v>45449</v>
      </c>
      <c r="J7" s="285">
        <v>3489.89</v>
      </c>
      <c r="K7" s="285">
        <v>3486.35</v>
      </c>
      <c r="L7" s="285">
        <v>3494.34</v>
      </c>
      <c r="M7" s="285">
        <v>3483.52</v>
      </c>
      <c r="N7" s="283" t="s">
        <v>1536</v>
      </c>
      <c r="P7" s="167">
        <v>45449</v>
      </c>
      <c r="Q7" s="285">
        <v>5.2560000000000002</v>
      </c>
      <c r="R7" s="285">
        <v>5.2969999999999997</v>
      </c>
      <c r="S7" s="285">
        <v>5.3091999999999997</v>
      </c>
      <c r="T7" s="285">
        <v>5.2401</v>
      </c>
      <c r="U7" s="283">
        <v>-7.6E-3</v>
      </c>
      <c r="W7" s="167">
        <v>45449</v>
      </c>
      <c r="X7" s="287">
        <v>122899</v>
      </c>
      <c r="Y7" s="287">
        <v>121408</v>
      </c>
      <c r="Z7" s="287">
        <v>123246</v>
      </c>
      <c r="AA7" s="287">
        <v>121377</v>
      </c>
      <c r="AB7" s="283" t="s">
        <v>1969</v>
      </c>
      <c r="AC7" s="289">
        <v>1.23E-2</v>
      </c>
      <c r="AE7" s="167" t="s">
        <v>2706</v>
      </c>
      <c r="AF7" s="285">
        <v>5.5199999999999999E-2</v>
      </c>
      <c r="AG7" s="285">
        <v>5.6399999999999999E-2</v>
      </c>
      <c r="AH7" s="285">
        <v>4538.1899999999996</v>
      </c>
      <c r="AI7" s="285">
        <v>4460.33</v>
      </c>
      <c r="AJ7" s="283">
        <v>4460.33</v>
      </c>
    </row>
    <row r="8" spans="1:36" x14ac:dyDescent="0.3">
      <c r="A8" s="168">
        <v>45448</v>
      </c>
      <c r="B8" s="83">
        <v>40.14</v>
      </c>
      <c r="C8" s="83">
        <v>41.1</v>
      </c>
      <c r="D8" s="83">
        <v>41.68</v>
      </c>
      <c r="E8" s="83">
        <v>39.89</v>
      </c>
      <c r="F8" s="83" t="s">
        <v>2705</v>
      </c>
      <c r="G8" s="284">
        <v>-1.83E-2</v>
      </c>
      <c r="I8" s="168">
        <v>45448</v>
      </c>
      <c r="J8" s="286">
        <v>3483.4</v>
      </c>
      <c r="K8" s="286">
        <v>3452.31</v>
      </c>
      <c r="L8" s="286">
        <v>3484.95</v>
      </c>
      <c r="M8" s="286">
        <v>3449.49</v>
      </c>
      <c r="N8" s="284" t="s">
        <v>1774</v>
      </c>
      <c r="P8" s="168">
        <v>45448</v>
      </c>
      <c r="Q8" s="286">
        <v>5.2964000000000002</v>
      </c>
      <c r="R8" s="286">
        <v>5.2868000000000004</v>
      </c>
      <c r="S8" s="286">
        <v>5.3060999999999998</v>
      </c>
      <c r="T8" s="286">
        <v>5.2596999999999996</v>
      </c>
      <c r="U8" s="284">
        <v>1.9E-3</v>
      </c>
      <c r="W8" s="168">
        <v>45448</v>
      </c>
      <c r="X8" s="288">
        <v>121407</v>
      </c>
      <c r="Y8" s="288">
        <v>121803</v>
      </c>
      <c r="Z8" s="288">
        <v>122170</v>
      </c>
      <c r="AA8" s="288">
        <v>121253</v>
      </c>
      <c r="AB8" s="284" t="s">
        <v>1456</v>
      </c>
      <c r="AC8" s="290">
        <v>-3.2000000000000002E-3</v>
      </c>
      <c r="AE8" s="168" t="s">
        <v>2704</v>
      </c>
      <c r="AF8" s="286">
        <v>5.57E-2</v>
      </c>
      <c r="AG8" s="286">
        <v>5.6900000000000006E-2</v>
      </c>
      <c r="AH8" s="286">
        <v>4507.8999999999996</v>
      </c>
      <c r="AI8" s="286">
        <v>4430.88</v>
      </c>
      <c r="AJ8" s="284">
        <v>4430.88</v>
      </c>
    </row>
    <row r="9" spans="1:36" x14ac:dyDescent="0.3">
      <c r="A9" s="167">
        <v>45447</v>
      </c>
      <c r="B9" s="171">
        <v>40.89</v>
      </c>
      <c r="C9" s="171">
        <v>40.6</v>
      </c>
      <c r="D9" s="171">
        <v>41.1</v>
      </c>
      <c r="E9" s="171">
        <v>39.29</v>
      </c>
      <c r="F9" s="171" t="s">
        <v>1859</v>
      </c>
      <c r="G9" s="283">
        <v>-6.7999999999999996E-3</v>
      </c>
      <c r="I9" s="167">
        <v>45447</v>
      </c>
      <c r="J9" s="285">
        <v>3453.71</v>
      </c>
      <c r="K9" s="285">
        <v>3454.55</v>
      </c>
      <c r="L9" s="285">
        <v>3457.77</v>
      </c>
      <c r="M9" s="285">
        <v>3437.85</v>
      </c>
      <c r="N9" s="283" t="s">
        <v>1463</v>
      </c>
      <c r="P9" s="167">
        <v>45447</v>
      </c>
      <c r="Q9" s="285">
        <v>5.2861000000000002</v>
      </c>
      <c r="R9" s="285">
        <v>5.2477</v>
      </c>
      <c r="S9" s="285">
        <v>5.2968999999999999</v>
      </c>
      <c r="T9" s="285">
        <v>5.2451999999999996</v>
      </c>
      <c r="U9" s="283">
        <v>7.4999999999999997E-3</v>
      </c>
      <c r="W9" s="167">
        <v>45447</v>
      </c>
      <c r="X9" s="287">
        <v>121802</v>
      </c>
      <c r="Y9" s="287">
        <v>122032</v>
      </c>
      <c r="Z9" s="287">
        <v>122032</v>
      </c>
      <c r="AA9" s="287">
        <v>120878</v>
      </c>
      <c r="AB9" s="283" t="s">
        <v>1516</v>
      </c>
      <c r="AC9" s="289">
        <v>-1.9E-3</v>
      </c>
      <c r="AE9" s="167" t="s">
        <v>2703</v>
      </c>
      <c r="AF9" s="285">
        <v>5.5899999999999998E-2</v>
      </c>
      <c r="AG9" s="285">
        <v>5.7099999999999998E-2</v>
      </c>
      <c r="AH9" s="285">
        <v>4496.8999999999996</v>
      </c>
      <c r="AI9" s="285">
        <v>4420.21</v>
      </c>
      <c r="AJ9" s="283">
        <v>4420.21</v>
      </c>
    </row>
    <row r="10" spans="1:36" x14ac:dyDescent="0.3">
      <c r="A10" s="168">
        <v>45446</v>
      </c>
      <c r="B10" s="83">
        <v>41.17</v>
      </c>
      <c r="C10" s="83">
        <v>41.69</v>
      </c>
      <c r="D10" s="83">
        <v>41.94</v>
      </c>
      <c r="E10" s="83">
        <v>40.71</v>
      </c>
      <c r="F10" s="83" t="s">
        <v>2702</v>
      </c>
      <c r="G10" s="284">
        <v>-1.06E-2</v>
      </c>
      <c r="I10" s="168">
        <v>45446</v>
      </c>
      <c r="J10" s="286">
        <v>3453.44</v>
      </c>
      <c r="K10" s="286">
        <v>3446.93</v>
      </c>
      <c r="L10" s="286">
        <v>3463.45</v>
      </c>
      <c r="M10" s="286">
        <v>3430.82</v>
      </c>
      <c r="N10" s="284" t="s">
        <v>1298</v>
      </c>
      <c r="P10" s="168">
        <v>45446</v>
      </c>
      <c r="Q10" s="286">
        <v>5.2466999999999997</v>
      </c>
      <c r="R10" s="286">
        <v>5.2458999999999998</v>
      </c>
      <c r="S10" s="286">
        <v>5.2676999999999996</v>
      </c>
      <c r="T10" s="286">
        <v>5.2137000000000002</v>
      </c>
      <c r="U10" s="284">
        <v>5.0000000000000001E-4</v>
      </c>
      <c r="W10" s="168">
        <v>45446</v>
      </c>
      <c r="X10" s="288">
        <v>122032</v>
      </c>
      <c r="Y10" s="288">
        <v>122100</v>
      </c>
      <c r="Z10" s="288">
        <v>122495</v>
      </c>
      <c r="AA10" s="288">
        <v>121496</v>
      </c>
      <c r="AB10" s="284" t="s">
        <v>1631</v>
      </c>
      <c r="AC10" s="290">
        <v>-5.0000000000000001E-4</v>
      </c>
      <c r="AE10" s="168" t="s">
        <v>2701</v>
      </c>
      <c r="AF10" s="286">
        <v>5.5800000000000002E-2</v>
      </c>
      <c r="AG10" s="286">
        <v>5.7000000000000002E-2</v>
      </c>
      <c r="AH10" s="286">
        <v>4507.3599999999997</v>
      </c>
      <c r="AI10" s="286">
        <v>4430.37</v>
      </c>
      <c r="AJ10" s="284">
        <v>4430.37</v>
      </c>
    </row>
    <row r="11" spans="1:36" x14ac:dyDescent="0.3">
      <c r="A11" s="167">
        <v>45443</v>
      </c>
      <c r="B11" s="171">
        <v>41.61</v>
      </c>
      <c r="C11" s="171">
        <v>42.11</v>
      </c>
      <c r="D11" s="171">
        <v>42.58</v>
      </c>
      <c r="E11" s="171">
        <v>41.39</v>
      </c>
      <c r="F11" s="171" t="s">
        <v>1684</v>
      </c>
      <c r="G11" s="283">
        <v>-1.9300000000000001E-2</v>
      </c>
      <c r="I11" s="167">
        <v>45443</v>
      </c>
      <c r="J11" s="285">
        <v>3445.17</v>
      </c>
      <c r="K11" s="285">
        <v>3420.21</v>
      </c>
      <c r="L11" s="285">
        <v>3446.26</v>
      </c>
      <c r="M11" s="285">
        <v>3403.08</v>
      </c>
      <c r="N11" s="283" t="s">
        <v>1975</v>
      </c>
      <c r="P11" s="167">
        <v>45443</v>
      </c>
      <c r="Q11" s="285">
        <v>5.2443</v>
      </c>
      <c r="R11" s="285">
        <v>5.1997</v>
      </c>
      <c r="S11" s="285">
        <v>5.2587000000000002</v>
      </c>
      <c r="T11" s="285">
        <v>5.1929999999999996</v>
      </c>
      <c r="U11" s="283">
        <v>7.9000000000000008E-3</v>
      </c>
      <c r="W11" s="167">
        <v>45443</v>
      </c>
      <c r="X11" s="287">
        <v>122098</v>
      </c>
      <c r="Y11" s="287">
        <v>122704</v>
      </c>
      <c r="Z11" s="287">
        <v>122837</v>
      </c>
      <c r="AA11" s="287">
        <v>121929</v>
      </c>
      <c r="AB11" s="283" t="s">
        <v>2700</v>
      </c>
      <c r="AC11" s="289">
        <v>-5.0000000000000001E-3</v>
      </c>
      <c r="AE11" s="167" t="s">
        <v>2699</v>
      </c>
      <c r="AF11" s="285">
        <v>5.5800000000000002E-2</v>
      </c>
      <c r="AG11" s="285">
        <v>5.7000000000000002E-2</v>
      </c>
      <c r="AH11" s="285">
        <v>4510.7700000000004</v>
      </c>
      <c r="AI11" s="285">
        <v>4432.1400000000003</v>
      </c>
      <c r="AJ11" s="283">
        <v>4432.1400000000003</v>
      </c>
    </row>
    <row r="12" spans="1:36" x14ac:dyDescent="0.3">
      <c r="A12" s="168">
        <v>45441</v>
      </c>
      <c r="B12" s="83">
        <v>42.43</v>
      </c>
      <c r="C12" s="83">
        <v>43.15</v>
      </c>
      <c r="D12" s="83">
        <v>43.16</v>
      </c>
      <c r="E12" s="83">
        <v>41.95</v>
      </c>
      <c r="F12" s="83" t="s">
        <v>2698</v>
      </c>
      <c r="G12" s="284">
        <v>-1.6899999999999998E-2</v>
      </c>
      <c r="I12" s="168">
        <v>45442</v>
      </c>
      <c r="J12" s="286">
        <v>3420.32</v>
      </c>
      <c r="K12" s="286">
        <v>3427.2</v>
      </c>
      <c r="L12" s="286">
        <v>3432.92</v>
      </c>
      <c r="M12" s="286">
        <v>3412.84</v>
      </c>
      <c r="N12" s="284" t="s">
        <v>1686</v>
      </c>
      <c r="P12" s="168">
        <v>45442</v>
      </c>
      <c r="Q12" s="286">
        <v>5.2034000000000002</v>
      </c>
      <c r="R12" s="286">
        <v>5.2038000000000002</v>
      </c>
      <c r="S12" s="286">
        <v>5.2038000000000002</v>
      </c>
      <c r="T12" s="286">
        <v>5.2035999999999998</v>
      </c>
      <c r="U12" s="284">
        <v>2.9999999999999997E-4</v>
      </c>
      <c r="W12" s="168">
        <v>45441</v>
      </c>
      <c r="X12" s="288">
        <v>122707</v>
      </c>
      <c r="Y12" s="288">
        <v>123780</v>
      </c>
      <c r="Z12" s="288">
        <v>123780</v>
      </c>
      <c r="AA12" s="288">
        <v>122458</v>
      </c>
      <c r="AB12" s="284" t="s">
        <v>1487</v>
      </c>
      <c r="AC12" s="290">
        <v>-8.6999999999999994E-3</v>
      </c>
      <c r="AE12" s="168" t="s">
        <v>2697</v>
      </c>
      <c r="AF12" s="286">
        <v>5.5500000000000001E-2</v>
      </c>
      <c r="AG12" s="286">
        <v>5.67E-2</v>
      </c>
      <c r="AH12" s="286">
        <v>4531.5</v>
      </c>
      <c r="AI12" s="286">
        <v>4454.1400000000003</v>
      </c>
      <c r="AJ12" s="284">
        <v>4454.1400000000003</v>
      </c>
    </row>
    <row r="13" spans="1:36" x14ac:dyDescent="0.3">
      <c r="A13" s="167">
        <v>45440</v>
      </c>
      <c r="B13" s="171">
        <v>43.16</v>
      </c>
      <c r="C13" s="171">
        <v>44.19</v>
      </c>
      <c r="D13" s="171">
        <v>44.35</v>
      </c>
      <c r="E13" s="171">
        <v>43.08</v>
      </c>
      <c r="F13" s="171" t="s">
        <v>2696</v>
      </c>
      <c r="G13" s="283">
        <v>-1.17E-2</v>
      </c>
      <c r="I13" s="167">
        <v>45441</v>
      </c>
      <c r="J13" s="285">
        <v>3430</v>
      </c>
      <c r="K13" s="285">
        <v>3462.28</v>
      </c>
      <c r="L13" s="285">
        <v>3462.89</v>
      </c>
      <c r="M13" s="285">
        <v>3428.06</v>
      </c>
      <c r="N13" s="283" t="s">
        <v>1778</v>
      </c>
      <c r="P13" s="167">
        <v>45441</v>
      </c>
      <c r="Q13" s="285">
        <v>5.2018000000000004</v>
      </c>
      <c r="R13" s="285">
        <v>5.1615000000000002</v>
      </c>
      <c r="S13" s="285">
        <v>5.2141000000000002</v>
      </c>
      <c r="T13" s="285">
        <v>5.1573000000000002</v>
      </c>
      <c r="U13" s="283">
        <v>7.9000000000000008E-3</v>
      </c>
      <c r="W13" s="167">
        <v>45440</v>
      </c>
      <c r="X13" s="287">
        <v>123780</v>
      </c>
      <c r="Y13" s="287">
        <v>124498</v>
      </c>
      <c r="Z13" s="287">
        <v>125392</v>
      </c>
      <c r="AA13" s="287">
        <v>123537</v>
      </c>
      <c r="AB13" s="283" t="s">
        <v>1627</v>
      </c>
      <c r="AC13" s="289">
        <v>-5.7999999999999996E-3</v>
      </c>
      <c r="AE13" s="167" t="s">
        <v>2695</v>
      </c>
      <c r="AF13" s="285">
        <v>5.62E-2</v>
      </c>
      <c r="AG13" s="285">
        <v>5.74E-2</v>
      </c>
      <c r="AH13" s="285">
        <v>4488.6499999999996</v>
      </c>
      <c r="AI13" s="285">
        <v>4412.46</v>
      </c>
      <c r="AJ13" s="283">
        <v>4412.46</v>
      </c>
    </row>
    <row r="14" spans="1:36" x14ac:dyDescent="0.3">
      <c r="A14" s="168">
        <v>45439</v>
      </c>
      <c r="B14" s="83">
        <v>43.67</v>
      </c>
      <c r="C14" s="83">
        <v>43.64</v>
      </c>
      <c r="D14" s="83">
        <v>43.94</v>
      </c>
      <c r="E14" s="83">
        <v>43.51</v>
      </c>
      <c r="F14" s="83" t="s">
        <v>2584</v>
      </c>
      <c r="G14" s="284">
        <v>6.7000000000000002E-3</v>
      </c>
      <c r="I14" s="168">
        <v>45440</v>
      </c>
      <c r="J14" s="286">
        <v>3464.61</v>
      </c>
      <c r="K14" s="286">
        <v>3467.97</v>
      </c>
      <c r="L14" s="286">
        <v>3472.41</v>
      </c>
      <c r="M14" s="286">
        <v>3451.28</v>
      </c>
      <c r="N14" s="284" t="s">
        <v>1211</v>
      </c>
      <c r="P14" s="168">
        <v>45440</v>
      </c>
      <c r="Q14" s="286">
        <v>5.1611000000000002</v>
      </c>
      <c r="R14" s="286">
        <v>5.1715</v>
      </c>
      <c r="S14" s="286">
        <v>5.1738</v>
      </c>
      <c r="T14" s="286">
        <v>5.1349</v>
      </c>
      <c r="U14" s="284">
        <v>-1.9E-3</v>
      </c>
      <c r="W14" s="168">
        <v>45439</v>
      </c>
      <c r="X14" s="288">
        <v>124496</v>
      </c>
      <c r="Y14" s="288">
        <v>124297</v>
      </c>
      <c r="Z14" s="288">
        <v>124535</v>
      </c>
      <c r="AA14" s="288">
        <v>124081</v>
      </c>
      <c r="AB14" s="284" t="s">
        <v>2694</v>
      </c>
      <c r="AC14" s="290">
        <v>1.5E-3</v>
      </c>
      <c r="AE14" s="168" t="s">
        <v>2693</v>
      </c>
      <c r="AF14" s="286">
        <v>5.6399999999999999E-2</v>
      </c>
      <c r="AG14" s="286">
        <v>5.7599999999999998E-2</v>
      </c>
      <c r="AH14" s="286">
        <v>4477.67</v>
      </c>
      <c r="AI14" s="286">
        <v>4401.8</v>
      </c>
      <c r="AJ14" s="284">
        <v>4401.8</v>
      </c>
    </row>
    <row r="15" spans="1:36" x14ac:dyDescent="0.3">
      <c r="A15" s="167">
        <v>45437</v>
      </c>
      <c r="B15" s="171">
        <v>43.38</v>
      </c>
      <c r="C15" s="171">
        <v>43.38</v>
      </c>
      <c r="D15" s="171">
        <v>43.38</v>
      </c>
      <c r="E15" s="171">
        <v>43.38</v>
      </c>
      <c r="F15" s="171"/>
      <c r="G15" s="283">
        <v>-1.6000000000000001E-3</v>
      </c>
      <c r="I15" s="167">
        <v>45439</v>
      </c>
      <c r="J15" s="285">
        <v>3468.13</v>
      </c>
      <c r="K15" s="285">
        <v>3462.86</v>
      </c>
      <c r="L15" s="285">
        <v>3468.13</v>
      </c>
      <c r="M15" s="285">
        <v>3462.71</v>
      </c>
      <c r="N15" s="283" t="s">
        <v>1312</v>
      </c>
      <c r="P15" s="167">
        <v>45439</v>
      </c>
      <c r="Q15" s="285">
        <v>5.1707999999999998</v>
      </c>
      <c r="R15" s="285">
        <v>5.1712999999999996</v>
      </c>
      <c r="S15" s="285">
        <v>5.1852</v>
      </c>
      <c r="T15" s="285">
        <v>5.1557000000000004</v>
      </c>
      <c r="U15" s="283">
        <v>8.9999999999999998E-4</v>
      </c>
      <c r="W15" s="167">
        <v>45436</v>
      </c>
      <c r="X15" s="287">
        <v>124306</v>
      </c>
      <c r="Y15" s="287">
        <v>124731</v>
      </c>
      <c r="Z15" s="287">
        <v>125257</v>
      </c>
      <c r="AA15" s="287">
        <v>124259</v>
      </c>
      <c r="AB15" s="283" t="s">
        <v>1566</v>
      </c>
      <c r="AC15" s="289">
        <v>-3.3999999999999998E-3</v>
      </c>
      <c r="AE15" s="167" t="s">
        <v>2692</v>
      </c>
      <c r="AF15" s="285">
        <v>5.6299999999999996E-2</v>
      </c>
      <c r="AG15" s="285">
        <v>5.7500000000000002E-2</v>
      </c>
      <c r="AH15" s="285">
        <v>4485.55</v>
      </c>
      <c r="AI15" s="285">
        <v>4409.51</v>
      </c>
      <c r="AJ15" s="283">
        <v>4409.51</v>
      </c>
    </row>
    <row r="16" spans="1:36" x14ac:dyDescent="0.3">
      <c r="A16" s="168">
        <v>45436</v>
      </c>
      <c r="B16" s="83">
        <v>43.45</v>
      </c>
      <c r="C16" s="83">
        <v>44.7</v>
      </c>
      <c r="D16" s="83">
        <v>44.84</v>
      </c>
      <c r="E16" s="83">
        <v>43.34</v>
      </c>
      <c r="F16" s="83" t="s">
        <v>1442</v>
      </c>
      <c r="G16" s="284">
        <v>-2.29E-2</v>
      </c>
      <c r="I16" s="168">
        <v>45436</v>
      </c>
      <c r="J16" s="286">
        <v>3462.13</v>
      </c>
      <c r="K16" s="286">
        <v>3443.41</v>
      </c>
      <c r="L16" s="286">
        <v>3466.57</v>
      </c>
      <c r="M16" s="286">
        <v>3438.25</v>
      </c>
      <c r="N16" s="284" t="s">
        <v>2020</v>
      </c>
      <c r="P16" s="168">
        <v>45436</v>
      </c>
      <c r="Q16" s="286">
        <v>5.1660000000000004</v>
      </c>
      <c r="R16" s="286">
        <v>5.1445999999999996</v>
      </c>
      <c r="S16" s="286">
        <v>5.1767000000000003</v>
      </c>
      <c r="T16" s="286">
        <v>5.1302000000000003</v>
      </c>
      <c r="U16" s="284">
        <v>4.1999999999999997E-3</v>
      </c>
      <c r="W16" s="168">
        <v>45435</v>
      </c>
      <c r="X16" s="288">
        <v>124729</v>
      </c>
      <c r="Y16" s="288">
        <v>125650</v>
      </c>
      <c r="Z16" s="288">
        <v>125665</v>
      </c>
      <c r="AA16" s="288">
        <v>124431</v>
      </c>
      <c r="AB16" s="284" t="s">
        <v>2019</v>
      </c>
      <c r="AC16" s="290">
        <v>-7.3000000000000001E-3</v>
      </c>
      <c r="AE16" s="168" t="s">
        <v>2691</v>
      </c>
      <c r="AF16" s="286">
        <v>5.6399999999999999E-2</v>
      </c>
      <c r="AG16" s="286">
        <v>5.7599999999999998E-2</v>
      </c>
      <c r="AH16" s="286">
        <v>4482.1099999999997</v>
      </c>
      <c r="AI16" s="286">
        <v>4404.9799999999996</v>
      </c>
      <c r="AJ16" s="284">
        <v>4404.9799999999996</v>
      </c>
    </row>
    <row r="17" spans="1:36" x14ac:dyDescent="0.3">
      <c r="A17" s="167">
        <v>45435</v>
      </c>
      <c r="B17" s="171">
        <v>44.47</v>
      </c>
      <c r="C17" s="171">
        <v>44.4</v>
      </c>
      <c r="D17" s="171">
        <v>44.64</v>
      </c>
      <c r="E17" s="171">
        <v>43.8</v>
      </c>
      <c r="F17" s="171" t="s">
        <v>2635</v>
      </c>
      <c r="G17" s="283">
        <v>5.8999999999999999E-3</v>
      </c>
      <c r="I17" s="167">
        <v>45435</v>
      </c>
      <c r="J17" s="285">
        <v>3446.42</v>
      </c>
      <c r="K17" s="285">
        <v>3464.39</v>
      </c>
      <c r="L17" s="285">
        <v>3486.26</v>
      </c>
      <c r="M17" s="285">
        <v>3439.65</v>
      </c>
      <c r="N17" s="283" t="s">
        <v>2078</v>
      </c>
      <c r="P17" s="167">
        <v>45435</v>
      </c>
      <c r="Q17" s="285">
        <v>5.1441999999999997</v>
      </c>
      <c r="R17" s="285">
        <v>5.1510999999999996</v>
      </c>
      <c r="S17" s="285">
        <v>5.1607000000000003</v>
      </c>
      <c r="T17" s="285">
        <v>5.1254999999999997</v>
      </c>
      <c r="U17" s="283">
        <v>-1.1999999999999999E-3</v>
      </c>
      <c r="W17" s="167">
        <v>45434</v>
      </c>
      <c r="X17" s="287">
        <v>125650</v>
      </c>
      <c r="Y17" s="287">
        <v>127412</v>
      </c>
      <c r="Z17" s="287">
        <v>127412</v>
      </c>
      <c r="AA17" s="287">
        <v>125524</v>
      </c>
      <c r="AB17" s="283" t="s">
        <v>2690</v>
      </c>
      <c r="AC17" s="289">
        <v>-1.38E-2</v>
      </c>
      <c r="AE17" s="167" t="s">
        <v>2689</v>
      </c>
      <c r="AF17" s="285">
        <v>5.6600000000000004E-2</v>
      </c>
      <c r="AG17" s="285">
        <v>5.7800000000000004E-2</v>
      </c>
      <c r="AH17" s="285">
        <v>4471.18</v>
      </c>
      <c r="AI17" s="285">
        <v>4395.59</v>
      </c>
      <c r="AJ17" s="283">
        <v>4395.59</v>
      </c>
    </row>
    <row r="18" spans="1:36" x14ac:dyDescent="0.3">
      <c r="A18" s="168">
        <v>45434</v>
      </c>
      <c r="B18" s="83">
        <v>44.21</v>
      </c>
      <c r="C18" s="83">
        <v>45.58</v>
      </c>
      <c r="D18" s="83">
        <v>45.65</v>
      </c>
      <c r="E18" s="83">
        <v>43.87</v>
      </c>
      <c r="F18" s="83" t="s">
        <v>1780</v>
      </c>
      <c r="G18" s="284">
        <v>-3.5799999999999998E-2</v>
      </c>
      <c r="I18" s="168">
        <v>45434</v>
      </c>
      <c r="J18" s="286">
        <v>3465.55</v>
      </c>
      <c r="K18" s="286">
        <v>3478.43</v>
      </c>
      <c r="L18" s="286">
        <v>3479.22</v>
      </c>
      <c r="M18" s="286">
        <v>3454.84</v>
      </c>
      <c r="N18" s="284" t="s">
        <v>2166</v>
      </c>
      <c r="P18" s="168">
        <v>45434</v>
      </c>
      <c r="Q18" s="286">
        <v>5.1502999999999997</v>
      </c>
      <c r="R18" s="286">
        <v>5.1227999999999998</v>
      </c>
      <c r="S18" s="286">
        <v>5.1642999999999999</v>
      </c>
      <c r="T18" s="286">
        <v>5.1219000000000001</v>
      </c>
      <c r="U18" s="284">
        <v>5.4000000000000003E-3</v>
      </c>
      <c r="W18" s="168">
        <v>45433</v>
      </c>
      <c r="X18" s="288">
        <v>127412</v>
      </c>
      <c r="Y18" s="288">
        <v>127754</v>
      </c>
      <c r="Z18" s="288">
        <v>128272</v>
      </c>
      <c r="AA18" s="288">
        <v>127205</v>
      </c>
      <c r="AB18" s="284" t="s">
        <v>2099</v>
      </c>
      <c r="AC18" s="290">
        <v>-2.7000000000000001E-3</v>
      </c>
      <c r="AE18" s="168" t="s">
        <v>2688</v>
      </c>
      <c r="AF18" s="286">
        <v>5.67E-2</v>
      </c>
      <c r="AG18" s="286">
        <v>5.79E-2</v>
      </c>
      <c r="AH18" s="286">
        <v>4466.53</v>
      </c>
      <c r="AI18" s="286">
        <v>4391.1000000000004</v>
      </c>
      <c r="AJ18" s="284">
        <v>4391.1000000000004</v>
      </c>
    </row>
    <row r="19" spans="1:36" x14ac:dyDescent="0.3">
      <c r="A19" s="167">
        <v>45433</v>
      </c>
      <c r="B19" s="171">
        <v>45.85</v>
      </c>
      <c r="C19" s="171">
        <v>47.19</v>
      </c>
      <c r="D19" s="171">
        <v>47.19</v>
      </c>
      <c r="E19" s="171">
        <v>45.68</v>
      </c>
      <c r="F19" s="171" t="s">
        <v>2556</v>
      </c>
      <c r="G19" s="283">
        <v>-3.4700000000000002E-2</v>
      </c>
      <c r="I19" s="167">
        <v>45433</v>
      </c>
      <c r="J19" s="285">
        <v>3479.84</v>
      </c>
      <c r="K19" s="285">
        <v>3476.74</v>
      </c>
      <c r="L19" s="285">
        <v>3480.08</v>
      </c>
      <c r="M19" s="285">
        <v>3466.85</v>
      </c>
      <c r="N19" s="283" t="s">
        <v>1221</v>
      </c>
      <c r="P19" s="167">
        <v>45433</v>
      </c>
      <c r="Q19" s="285">
        <v>5.1224999999999996</v>
      </c>
      <c r="R19" s="285">
        <v>5.1040000000000001</v>
      </c>
      <c r="S19" s="285">
        <v>5.1254</v>
      </c>
      <c r="T19" s="285">
        <v>5.0838000000000001</v>
      </c>
      <c r="U19" s="283">
        <v>3.8E-3</v>
      </c>
      <c r="W19" s="167">
        <v>45432</v>
      </c>
      <c r="X19" s="287">
        <v>127751</v>
      </c>
      <c r="Y19" s="287">
        <v>128151</v>
      </c>
      <c r="Z19" s="287">
        <v>128730</v>
      </c>
      <c r="AA19" s="287">
        <v>127488</v>
      </c>
      <c r="AB19" s="283" t="s">
        <v>2579</v>
      </c>
      <c r="AC19" s="289">
        <v>-3.0999999999999999E-3</v>
      </c>
      <c r="AE19" s="167" t="s">
        <v>2687</v>
      </c>
      <c r="AF19" s="285">
        <v>5.6399999999999999E-2</v>
      </c>
      <c r="AG19" s="285">
        <v>5.7599999999999998E-2</v>
      </c>
      <c r="AH19" s="285">
        <v>4486.8900000000003</v>
      </c>
      <c r="AI19" s="285">
        <v>4410.97</v>
      </c>
      <c r="AJ19" s="283">
        <v>4410.97</v>
      </c>
    </row>
    <row r="20" spans="1:36" x14ac:dyDescent="0.3">
      <c r="A20" s="168">
        <v>45432</v>
      </c>
      <c r="B20" s="83">
        <v>47.5</v>
      </c>
      <c r="C20" s="83">
        <v>47.8</v>
      </c>
      <c r="D20" s="83">
        <v>48.43</v>
      </c>
      <c r="E20" s="83">
        <v>47.5</v>
      </c>
      <c r="F20" s="83" t="s">
        <v>1237</v>
      </c>
      <c r="G20" s="284">
        <v>-1.29E-2</v>
      </c>
      <c r="I20" s="168">
        <v>45432</v>
      </c>
      <c r="J20" s="286">
        <v>3477.07</v>
      </c>
      <c r="K20" s="286">
        <v>3472</v>
      </c>
      <c r="L20" s="286">
        <v>3484.09</v>
      </c>
      <c r="M20" s="286">
        <v>3471.79</v>
      </c>
      <c r="N20" s="284" t="s">
        <v>1227</v>
      </c>
      <c r="P20" s="168">
        <v>45432</v>
      </c>
      <c r="Q20" s="286">
        <v>5.1032999999999999</v>
      </c>
      <c r="R20" s="286">
        <v>5.1035000000000004</v>
      </c>
      <c r="S20" s="286">
        <v>5.1292999999999997</v>
      </c>
      <c r="T20" s="286">
        <v>5.0903</v>
      </c>
      <c r="U20" s="284">
        <v>0</v>
      </c>
      <c r="W20" s="168">
        <v>45429</v>
      </c>
      <c r="X20" s="288">
        <v>128151</v>
      </c>
      <c r="Y20" s="288">
        <v>128280</v>
      </c>
      <c r="Z20" s="288">
        <v>128464</v>
      </c>
      <c r="AA20" s="288">
        <v>127696</v>
      </c>
      <c r="AB20" s="284" t="s">
        <v>1830</v>
      </c>
      <c r="AC20" s="290">
        <v>-1E-3</v>
      </c>
      <c r="AE20" s="168" t="s">
        <v>2686</v>
      </c>
      <c r="AF20" s="286">
        <v>5.6600000000000004E-2</v>
      </c>
      <c r="AG20" s="286">
        <v>5.7800000000000004E-2</v>
      </c>
      <c r="AH20" s="286">
        <v>4475.97</v>
      </c>
      <c r="AI20" s="286">
        <v>4400.3599999999997</v>
      </c>
      <c r="AJ20" s="284">
        <v>4400.3599999999997</v>
      </c>
    </row>
    <row r="21" spans="1:36" x14ac:dyDescent="0.3">
      <c r="A21" s="167">
        <v>45429</v>
      </c>
      <c r="B21" s="171">
        <v>48.12</v>
      </c>
      <c r="C21" s="171">
        <v>47.4</v>
      </c>
      <c r="D21" s="171">
        <v>48.45</v>
      </c>
      <c r="E21" s="171">
        <v>47.35</v>
      </c>
      <c r="F21" s="171" t="s">
        <v>2095</v>
      </c>
      <c r="G21" s="283">
        <v>1.5599999999999999E-2</v>
      </c>
      <c r="I21" s="167">
        <v>45429</v>
      </c>
      <c r="J21" s="285">
        <v>3472.52</v>
      </c>
      <c r="K21" s="285">
        <v>3467.76</v>
      </c>
      <c r="L21" s="285">
        <v>3472.52</v>
      </c>
      <c r="M21" s="285">
        <v>3462.6</v>
      </c>
      <c r="N21" s="283" t="s">
        <v>1270</v>
      </c>
      <c r="P21" s="167">
        <v>45429</v>
      </c>
      <c r="Q21" s="285">
        <v>5.1031000000000004</v>
      </c>
      <c r="R21" s="285">
        <v>5.1288</v>
      </c>
      <c r="S21" s="285">
        <v>5.1384999999999996</v>
      </c>
      <c r="T21" s="285">
        <v>5.1002999999999998</v>
      </c>
      <c r="U21" s="283">
        <v>-5.0000000000000001E-3</v>
      </c>
      <c r="W21" s="167">
        <v>45428</v>
      </c>
      <c r="X21" s="287">
        <v>128284</v>
      </c>
      <c r="Y21" s="287">
        <v>128029</v>
      </c>
      <c r="Z21" s="287">
        <v>128965</v>
      </c>
      <c r="AA21" s="287">
        <v>127922</v>
      </c>
      <c r="AB21" s="283" t="s">
        <v>1643</v>
      </c>
      <c r="AC21" s="289">
        <v>2E-3</v>
      </c>
      <c r="AE21" s="167" t="s">
        <v>2685</v>
      </c>
      <c r="AF21" s="285">
        <v>5.6399999999999999E-2</v>
      </c>
      <c r="AG21" s="285">
        <v>5.7599999999999998E-2</v>
      </c>
      <c r="AH21" s="285">
        <v>4491.33</v>
      </c>
      <c r="AI21" s="285">
        <v>4414.1499999999996</v>
      </c>
      <c r="AJ21" s="283">
        <v>4414.1499999999996</v>
      </c>
    </row>
    <row r="22" spans="1:36" x14ac:dyDescent="0.3">
      <c r="A22" s="168">
        <v>45428</v>
      </c>
      <c r="B22" s="83">
        <v>47.38</v>
      </c>
      <c r="C22" s="83">
        <v>47.3</v>
      </c>
      <c r="D22" s="83">
        <v>47.99</v>
      </c>
      <c r="E22" s="83">
        <v>46.7</v>
      </c>
      <c r="F22" s="83" t="s">
        <v>1599</v>
      </c>
      <c r="G22" s="284">
        <v>8.0999999999999996E-3</v>
      </c>
      <c r="I22" s="168">
        <v>45428</v>
      </c>
      <c r="J22" s="286">
        <v>3468.71</v>
      </c>
      <c r="K22" s="286">
        <v>3477.23</v>
      </c>
      <c r="L22" s="286">
        <v>3481.82</v>
      </c>
      <c r="M22" s="286">
        <v>3468.07</v>
      </c>
      <c r="N22" s="284" t="s">
        <v>1211</v>
      </c>
      <c r="P22" s="168">
        <v>45428</v>
      </c>
      <c r="Q22" s="286">
        <v>5.1288</v>
      </c>
      <c r="R22" s="286">
        <v>5.1372999999999998</v>
      </c>
      <c r="S22" s="286">
        <v>5.14</v>
      </c>
      <c r="T22" s="286">
        <v>5.1047000000000002</v>
      </c>
      <c r="U22" s="284">
        <v>-1.6999999999999999E-3</v>
      </c>
      <c r="W22" s="168">
        <v>45427</v>
      </c>
      <c r="X22" s="288">
        <v>128028</v>
      </c>
      <c r="Y22" s="288">
        <v>128514</v>
      </c>
      <c r="Z22" s="288">
        <v>128646</v>
      </c>
      <c r="AA22" s="288">
        <v>127029</v>
      </c>
      <c r="AB22" s="284" t="s">
        <v>2684</v>
      </c>
      <c r="AC22" s="290">
        <v>-3.8E-3</v>
      </c>
      <c r="AE22" s="168" t="s">
        <v>2683</v>
      </c>
      <c r="AF22" s="286">
        <v>5.6500000000000002E-2</v>
      </c>
      <c r="AG22" s="286">
        <v>5.7699999999999994E-2</v>
      </c>
      <c r="AH22" s="286">
        <v>4485.58</v>
      </c>
      <c r="AI22" s="286">
        <v>4409.87</v>
      </c>
      <c r="AJ22" s="284">
        <v>4409.87</v>
      </c>
    </row>
    <row r="23" spans="1:36" x14ac:dyDescent="0.3">
      <c r="A23" s="167">
        <v>45427</v>
      </c>
      <c r="B23" s="171">
        <v>47</v>
      </c>
      <c r="C23" s="171">
        <v>46.02</v>
      </c>
      <c r="D23" s="171">
        <v>47.3</v>
      </c>
      <c r="E23" s="171">
        <v>45.97</v>
      </c>
      <c r="F23" s="171" t="s">
        <v>2245</v>
      </c>
      <c r="G23" s="283">
        <v>2.3699999999999999E-2</v>
      </c>
      <c r="I23" s="167">
        <v>45427</v>
      </c>
      <c r="J23" s="285">
        <v>3472.26</v>
      </c>
      <c r="K23" s="285">
        <v>3435.31</v>
      </c>
      <c r="L23" s="285">
        <v>3476.26</v>
      </c>
      <c r="M23" s="285">
        <v>3435.31</v>
      </c>
      <c r="N23" s="283" t="s">
        <v>2268</v>
      </c>
      <c r="P23" s="167">
        <v>45427</v>
      </c>
      <c r="Q23" s="285">
        <v>5.1372999999999998</v>
      </c>
      <c r="R23" s="285">
        <v>5.1302000000000003</v>
      </c>
      <c r="S23" s="285">
        <v>5.1711</v>
      </c>
      <c r="T23" s="285">
        <v>5.1204000000000001</v>
      </c>
      <c r="U23" s="283">
        <v>1.4E-3</v>
      </c>
      <c r="W23" s="167">
        <v>45426</v>
      </c>
      <c r="X23" s="287">
        <v>128515</v>
      </c>
      <c r="Y23" s="287">
        <v>128155</v>
      </c>
      <c r="Z23" s="287">
        <v>128965</v>
      </c>
      <c r="AA23" s="287">
        <v>127962</v>
      </c>
      <c r="AB23" s="283" t="s">
        <v>2133</v>
      </c>
      <c r="AC23" s="289">
        <v>2.8E-3</v>
      </c>
      <c r="AE23" s="167" t="s">
        <v>2682</v>
      </c>
      <c r="AF23" s="285">
        <v>5.6399999999999999E-2</v>
      </c>
      <c r="AG23" s="285">
        <v>5.7599999999999998E-2</v>
      </c>
      <c r="AH23" s="285">
        <v>4493.38</v>
      </c>
      <c r="AI23" s="285">
        <v>4417.5</v>
      </c>
      <c r="AJ23" s="283">
        <v>4417.5</v>
      </c>
    </row>
    <row r="24" spans="1:36" x14ac:dyDescent="0.3">
      <c r="A24" s="168">
        <v>45426</v>
      </c>
      <c r="B24" s="83">
        <v>45.91</v>
      </c>
      <c r="C24" s="83">
        <v>46</v>
      </c>
      <c r="D24" s="83">
        <v>46.82</v>
      </c>
      <c r="E24" s="83">
        <v>44.92</v>
      </c>
      <c r="F24" s="83" t="s">
        <v>2421</v>
      </c>
      <c r="G24" s="284">
        <v>-1.06E-2</v>
      </c>
      <c r="I24" s="168">
        <v>45426</v>
      </c>
      <c r="J24" s="286">
        <v>3435.15</v>
      </c>
      <c r="K24" s="286">
        <v>3420.51</v>
      </c>
      <c r="L24" s="286">
        <v>3436.62</v>
      </c>
      <c r="M24" s="286">
        <v>3416.99</v>
      </c>
      <c r="N24" s="284" t="s">
        <v>1564</v>
      </c>
      <c r="P24" s="168">
        <v>45426</v>
      </c>
      <c r="Q24" s="286">
        <v>5.1299000000000001</v>
      </c>
      <c r="R24" s="286">
        <v>5.1510999999999996</v>
      </c>
      <c r="S24" s="286">
        <v>5.1614000000000004</v>
      </c>
      <c r="T24" s="286">
        <v>5.1234000000000002</v>
      </c>
      <c r="U24" s="284">
        <v>-4.1000000000000003E-3</v>
      </c>
      <c r="W24" s="168">
        <v>45425</v>
      </c>
      <c r="X24" s="288">
        <v>128155</v>
      </c>
      <c r="Y24" s="288">
        <v>127600</v>
      </c>
      <c r="Z24" s="288">
        <v>128669</v>
      </c>
      <c r="AA24" s="288">
        <v>127599</v>
      </c>
      <c r="AB24" s="284" t="s">
        <v>2303</v>
      </c>
      <c r="AC24" s="290">
        <v>4.4000000000000003E-3</v>
      </c>
      <c r="AE24" s="168" t="s">
        <v>2681</v>
      </c>
      <c r="AF24" s="286">
        <v>5.67E-2</v>
      </c>
      <c r="AG24" s="286">
        <v>5.79E-2</v>
      </c>
      <c r="AH24" s="286">
        <v>4476.13</v>
      </c>
      <c r="AI24" s="286">
        <v>4400.7299999999996</v>
      </c>
      <c r="AJ24" s="284">
        <v>4400.7299999999996</v>
      </c>
    </row>
    <row r="25" spans="1:36" x14ac:dyDescent="0.3">
      <c r="A25" s="167">
        <v>45425</v>
      </c>
      <c r="B25" s="171">
        <v>46.4</v>
      </c>
      <c r="C25" s="171">
        <v>47.28</v>
      </c>
      <c r="D25" s="171">
        <v>47.66</v>
      </c>
      <c r="E25" s="171">
        <v>46.27</v>
      </c>
      <c r="F25" s="171" t="s">
        <v>2680</v>
      </c>
      <c r="G25" s="283">
        <v>-1.2800000000000001E-2</v>
      </c>
      <c r="I25" s="167">
        <v>45425</v>
      </c>
      <c r="J25" s="285">
        <v>3421.11</v>
      </c>
      <c r="K25" s="285">
        <v>3420.19</v>
      </c>
      <c r="L25" s="285">
        <v>3428.23</v>
      </c>
      <c r="M25" s="285">
        <v>3415.52</v>
      </c>
      <c r="N25" s="283" t="s">
        <v>1399</v>
      </c>
      <c r="P25" s="167">
        <v>45425</v>
      </c>
      <c r="Q25" s="285">
        <v>5.1510999999999996</v>
      </c>
      <c r="R25" s="285">
        <v>5.1588000000000003</v>
      </c>
      <c r="S25" s="285">
        <v>5.1649000000000003</v>
      </c>
      <c r="T25" s="285">
        <v>5.1230000000000002</v>
      </c>
      <c r="U25" s="283">
        <v>-1.4E-3</v>
      </c>
      <c r="W25" s="167">
        <v>45422</v>
      </c>
      <c r="X25" s="287">
        <v>127600</v>
      </c>
      <c r="Y25" s="287">
        <v>128188</v>
      </c>
      <c r="Z25" s="287">
        <v>129022</v>
      </c>
      <c r="AA25" s="287">
        <v>127467</v>
      </c>
      <c r="AB25" s="283" t="s">
        <v>2083</v>
      </c>
      <c r="AC25" s="289">
        <v>-4.5999999999999999E-3</v>
      </c>
      <c r="AE25" s="167" t="s">
        <v>2679</v>
      </c>
      <c r="AF25" s="285">
        <v>5.6600000000000004E-2</v>
      </c>
      <c r="AG25" s="285">
        <v>5.7800000000000004E-2</v>
      </c>
      <c r="AH25" s="285">
        <v>4483.8999999999996</v>
      </c>
      <c r="AI25" s="285">
        <v>4408.34</v>
      </c>
      <c r="AJ25" s="283">
        <v>4408.34</v>
      </c>
    </row>
    <row r="26" spans="1:36" x14ac:dyDescent="0.3">
      <c r="A26" s="168">
        <v>45422</v>
      </c>
      <c r="B26" s="83">
        <v>47</v>
      </c>
      <c r="C26" s="83">
        <v>46.78</v>
      </c>
      <c r="D26" s="83">
        <v>47.28</v>
      </c>
      <c r="E26" s="83">
        <v>46.65</v>
      </c>
      <c r="F26" s="83" t="s">
        <v>2678</v>
      </c>
      <c r="G26" s="284">
        <v>4.7000000000000002E-3</v>
      </c>
      <c r="I26" s="168">
        <v>45422</v>
      </c>
      <c r="J26" s="286">
        <v>3419.92</v>
      </c>
      <c r="K26" s="286">
        <v>3412.98</v>
      </c>
      <c r="L26" s="286">
        <v>3430.84</v>
      </c>
      <c r="M26" s="286">
        <v>3412.15</v>
      </c>
      <c r="N26" s="284" t="s">
        <v>1508</v>
      </c>
      <c r="P26" s="168">
        <v>45422</v>
      </c>
      <c r="Q26" s="286">
        <v>5.1584000000000003</v>
      </c>
      <c r="R26" s="286">
        <v>5.1424000000000003</v>
      </c>
      <c r="S26" s="286">
        <v>5.1614000000000004</v>
      </c>
      <c r="T26" s="286">
        <v>5.1165000000000003</v>
      </c>
      <c r="U26" s="284">
        <v>3.3E-3</v>
      </c>
      <c r="W26" s="168">
        <v>45421</v>
      </c>
      <c r="X26" s="288">
        <v>128188</v>
      </c>
      <c r="Y26" s="288">
        <v>129468</v>
      </c>
      <c r="Z26" s="288">
        <v>129468</v>
      </c>
      <c r="AA26" s="288">
        <v>127376</v>
      </c>
      <c r="AB26" s="284" t="s">
        <v>2677</v>
      </c>
      <c r="AC26" s="290">
        <v>-0.01</v>
      </c>
      <c r="AE26" s="168" t="s">
        <v>2676</v>
      </c>
      <c r="AF26" s="286">
        <v>5.6299999999999996E-2</v>
      </c>
      <c r="AG26" s="286">
        <v>5.7500000000000002E-2</v>
      </c>
      <c r="AH26" s="286">
        <v>4505.3599999999997</v>
      </c>
      <c r="AI26" s="286">
        <v>4428.1899999999996</v>
      </c>
      <c r="AJ26" s="284">
        <v>4428.1899999999996</v>
      </c>
    </row>
    <row r="27" spans="1:36" x14ac:dyDescent="0.3">
      <c r="A27" s="167">
        <v>45421</v>
      </c>
      <c r="B27" s="171">
        <v>46.78</v>
      </c>
      <c r="C27" s="171">
        <v>46.3</v>
      </c>
      <c r="D27" s="171">
        <v>47.3</v>
      </c>
      <c r="E27" s="171">
        <v>45.82</v>
      </c>
      <c r="F27" s="171" t="s">
        <v>1601</v>
      </c>
      <c r="G27" s="283">
        <v>5.1999999999999998E-3</v>
      </c>
      <c r="I27" s="167">
        <v>45421</v>
      </c>
      <c r="J27" s="285">
        <v>3411.11</v>
      </c>
      <c r="K27" s="285">
        <v>3396.33</v>
      </c>
      <c r="L27" s="285">
        <v>3412.5</v>
      </c>
      <c r="M27" s="285">
        <v>3392.4</v>
      </c>
      <c r="N27" s="283" t="s">
        <v>2020</v>
      </c>
      <c r="P27" s="167">
        <v>45421</v>
      </c>
      <c r="Q27" s="285">
        <v>5.1412000000000004</v>
      </c>
      <c r="R27" s="285">
        <v>5.0914000000000001</v>
      </c>
      <c r="S27" s="285">
        <v>5.1775000000000002</v>
      </c>
      <c r="T27" s="285">
        <v>5.0875000000000004</v>
      </c>
      <c r="U27" s="283">
        <v>9.9000000000000008E-3</v>
      </c>
      <c r="W27" s="167">
        <v>45420</v>
      </c>
      <c r="X27" s="287">
        <v>129481</v>
      </c>
      <c r="Y27" s="287">
        <v>129210</v>
      </c>
      <c r="Z27" s="287">
        <v>129564</v>
      </c>
      <c r="AA27" s="287">
        <v>128048</v>
      </c>
      <c r="AB27" s="283" t="s">
        <v>2031</v>
      </c>
      <c r="AC27" s="289">
        <v>2.0999999999999999E-3</v>
      </c>
      <c r="AE27" s="167" t="s">
        <v>2675</v>
      </c>
      <c r="AF27" s="285">
        <v>5.6500000000000002E-2</v>
      </c>
      <c r="AG27" s="285">
        <v>5.7699999999999994E-2</v>
      </c>
      <c r="AH27" s="285">
        <v>4494.32</v>
      </c>
      <c r="AI27" s="285">
        <v>4418.5600000000004</v>
      </c>
      <c r="AJ27" s="283">
        <v>4418.5600000000004</v>
      </c>
    </row>
    <row r="28" spans="1:36" x14ac:dyDescent="0.3">
      <c r="A28" s="168">
        <v>45420</v>
      </c>
      <c r="B28" s="83">
        <v>46.54</v>
      </c>
      <c r="C28" s="83">
        <v>47.05</v>
      </c>
      <c r="D28" s="83">
        <v>47.82</v>
      </c>
      <c r="E28" s="83">
        <v>46.51</v>
      </c>
      <c r="F28" s="83" t="s">
        <v>2498</v>
      </c>
      <c r="G28" s="284">
        <v>-1.34E-2</v>
      </c>
      <c r="I28" s="168">
        <v>45420</v>
      </c>
      <c r="J28" s="286">
        <v>3395.64</v>
      </c>
      <c r="K28" s="286">
        <v>3398.29</v>
      </c>
      <c r="L28" s="286">
        <v>3398.29</v>
      </c>
      <c r="M28" s="286">
        <v>3384.85</v>
      </c>
      <c r="N28" s="284" t="s">
        <v>2443</v>
      </c>
      <c r="P28" s="168">
        <v>45420</v>
      </c>
      <c r="Q28" s="286">
        <v>5.0909000000000004</v>
      </c>
      <c r="R28" s="286">
        <v>5.0712000000000002</v>
      </c>
      <c r="S28" s="286">
        <v>5.1082999999999998</v>
      </c>
      <c r="T28" s="286">
        <v>5.0688000000000004</v>
      </c>
      <c r="U28" s="284">
        <v>4.0000000000000001E-3</v>
      </c>
      <c r="W28" s="168">
        <v>45419</v>
      </c>
      <c r="X28" s="288">
        <v>129210</v>
      </c>
      <c r="Y28" s="288">
        <v>128466</v>
      </c>
      <c r="Z28" s="288">
        <v>129745</v>
      </c>
      <c r="AA28" s="288">
        <v>128464</v>
      </c>
      <c r="AB28" s="284" t="s">
        <v>2674</v>
      </c>
      <c r="AC28" s="290">
        <v>5.7999999999999996E-3</v>
      </c>
      <c r="AE28" s="168" t="s">
        <v>2673</v>
      </c>
      <c r="AF28" s="286">
        <v>5.6299999999999996E-2</v>
      </c>
      <c r="AG28" s="286">
        <v>5.7500000000000002E-2</v>
      </c>
      <c r="AH28" s="286">
        <v>4508.42</v>
      </c>
      <c r="AI28" s="286">
        <v>4432.32</v>
      </c>
      <c r="AJ28" s="284">
        <v>4432.32</v>
      </c>
    </row>
    <row r="29" spans="1:36" x14ac:dyDescent="0.3">
      <c r="A29" s="167">
        <v>45419</v>
      </c>
      <c r="B29" s="171">
        <v>47.17</v>
      </c>
      <c r="C29" s="171">
        <v>47.02</v>
      </c>
      <c r="D29" s="171">
        <v>47.46</v>
      </c>
      <c r="E29" s="171">
        <v>46.65</v>
      </c>
      <c r="F29" s="171" t="s">
        <v>2462</v>
      </c>
      <c r="G29" s="283">
        <v>-4.0000000000000002E-4</v>
      </c>
      <c r="I29" s="167">
        <v>45419</v>
      </c>
      <c r="J29" s="285">
        <v>3401.77</v>
      </c>
      <c r="K29" s="285">
        <v>3390.65</v>
      </c>
      <c r="L29" s="285">
        <v>3406.66</v>
      </c>
      <c r="M29" s="285">
        <v>3389.26</v>
      </c>
      <c r="N29" s="283" t="s">
        <v>1569</v>
      </c>
      <c r="P29" s="167">
        <v>45419</v>
      </c>
      <c r="Q29" s="285">
        <v>5.0707000000000004</v>
      </c>
      <c r="R29" s="285">
        <v>5.077</v>
      </c>
      <c r="S29" s="285">
        <v>5.0846999999999998</v>
      </c>
      <c r="T29" s="285">
        <v>5.0484</v>
      </c>
      <c r="U29" s="283">
        <v>-1E-3</v>
      </c>
      <c r="W29" s="167">
        <v>45418</v>
      </c>
      <c r="X29" s="287">
        <v>128466</v>
      </c>
      <c r="Y29" s="287">
        <v>128506</v>
      </c>
      <c r="Z29" s="287">
        <v>129181</v>
      </c>
      <c r="AA29" s="287">
        <v>128294</v>
      </c>
      <c r="AB29" s="283" t="s">
        <v>1414</v>
      </c>
      <c r="AC29" s="289">
        <v>-2.9999999999999997E-4</v>
      </c>
      <c r="AE29" s="167" t="s">
        <v>2672</v>
      </c>
      <c r="AF29" s="285">
        <v>5.6299999999999996E-2</v>
      </c>
      <c r="AG29" s="285">
        <v>5.7500000000000002E-2</v>
      </c>
      <c r="AH29" s="285">
        <v>4509.95</v>
      </c>
      <c r="AI29" s="285">
        <v>4433.84</v>
      </c>
      <c r="AJ29" s="283">
        <v>4433.84</v>
      </c>
    </row>
    <row r="30" spans="1:36" x14ac:dyDescent="0.3">
      <c r="A30" s="168">
        <v>45418</v>
      </c>
      <c r="B30" s="83">
        <v>47.19</v>
      </c>
      <c r="C30" s="83">
        <v>47.09</v>
      </c>
      <c r="D30" s="83">
        <v>47.78</v>
      </c>
      <c r="E30" s="83">
        <v>46.58</v>
      </c>
      <c r="F30" s="83" t="s">
        <v>1723</v>
      </c>
      <c r="G30" s="284">
        <v>9.4000000000000004E-3</v>
      </c>
      <c r="I30" s="168">
        <v>45418</v>
      </c>
      <c r="J30" s="286">
        <v>3391.13</v>
      </c>
      <c r="K30" s="286">
        <v>3359.79</v>
      </c>
      <c r="L30" s="286">
        <v>3391.13</v>
      </c>
      <c r="M30" s="286">
        <v>3359.63</v>
      </c>
      <c r="N30" s="284" t="s">
        <v>1806</v>
      </c>
      <c r="P30" s="168">
        <v>45418</v>
      </c>
      <c r="Q30" s="286">
        <v>5.0758000000000001</v>
      </c>
      <c r="R30" s="286">
        <v>5.0724999999999998</v>
      </c>
      <c r="S30" s="286">
        <v>5.0917000000000003</v>
      </c>
      <c r="T30" s="286">
        <v>5.0602</v>
      </c>
      <c r="U30" s="284">
        <v>6.9999999999999999E-4</v>
      </c>
      <c r="W30" s="168">
        <v>45415</v>
      </c>
      <c r="X30" s="288">
        <v>128509</v>
      </c>
      <c r="Y30" s="288">
        <v>127130</v>
      </c>
      <c r="Z30" s="288">
        <v>128787</v>
      </c>
      <c r="AA30" s="288">
        <v>127130</v>
      </c>
      <c r="AB30" s="284" t="s">
        <v>2256</v>
      </c>
      <c r="AC30" s="290">
        <v>1.09E-2</v>
      </c>
      <c r="AE30" s="168" t="s">
        <v>2671</v>
      </c>
      <c r="AF30" s="286">
        <v>5.67E-2</v>
      </c>
      <c r="AG30" s="286">
        <v>5.79E-2</v>
      </c>
      <c r="AH30" s="286">
        <v>4487.84</v>
      </c>
      <c r="AI30" s="286">
        <v>4412.3100000000004</v>
      </c>
      <c r="AJ30" s="284">
        <v>4412.3100000000004</v>
      </c>
    </row>
    <row r="31" spans="1:36" x14ac:dyDescent="0.3">
      <c r="A31" s="167">
        <v>45415</v>
      </c>
      <c r="B31" s="171">
        <v>46.75</v>
      </c>
      <c r="C31" s="171">
        <v>47.75</v>
      </c>
      <c r="D31" s="171">
        <v>47.79</v>
      </c>
      <c r="E31" s="171">
        <v>46.28</v>
      </c>
      <c r="F31" s="171" t="s">
        <v>2310</v>
      </c>
      <c r="G31" s="283">
        <v>-1.41E-2</v>
      </c>
      <c r="I31" s="167">
        <v>45415</v>
      </c>
      <c r="J31" s="285">
        <v>3361.41</v>
      </c>
      <c r="K31" s="285">
        <v>3326.07</v>
      </c>
      <c r="L31" s="285">
        <v>3369.62</v>
      </c>
      <c r="M31" s="285">
        <v>3325.53</v>
      </c>
      <c r="N31" s="283" t="s">
        <v>2098</v>
      </c>
      <c r="P31" s="167">
        <v>45415</v>
      </c>
      <c r="Q31" s="285">
        <v>5.0721999999999996</v>
      </c>
      <c r="R31" s="285">
        <v>5.1109999999999998</v>
      </c>
      <c r="S31" s="285">
        <v>5.1163999999999996</v>
      </c>
      <c r="T31" s="285">
        <v>5.0437000000000003</v>
      </c>
      <c r="U31" s="283">
        <v>-7.6E-3</v>
      </c>
      <c r="W31" s="167">
        <v>45414</v>
      </c>
      <c r="X31" s="287">
        <v>127122</v>
      </c>
      <c r="Y31" s="287">
        <v>125926</v>
      </c>
      <c r="Z31" s="287">
        <v>127670</v>
      </c>
      <c r="AA31" s="287">
        <v>125926</v>
      </c>
      <c r="AB31" s="283" t="s">
        <v>2294</v>
      </c>
      <c r="AC31" s="289">
        <v>9.4999999999999998E-3</v>
      </c>
      <c r="AE31" s="167" t="s">
        <v>2670</v>
      </c>
      <c r="AF31" s="285">
        <v>5.6500000000000002E-2</v>
      </c>
      <c r="AG31" s="285">
        <v>5.7699999999999994E-2</v>
      </c>
      <c r="AH31" s="285">
        <v>4504.3900000000003</v>
      </c>
      <c r="AI31" s="285">
        <v>4426.08</v>
      </c>
      <c r="AJ31" s="283">
        <v>4426.08</v>
      </c>
    </row>
    <row r="32" spans="1:36" x14ac:dyDescent="0.3">
      <c r="A32" s="168">
        <v>45414</v>
      </c>
      <c r="B32" s="83">
        <v>47.42</v>
      </c>
      <c r="C32" s="83">
        <v>48.05</v>
      </c>
      <c r="D32" s="83">
        <v>48.08</v>
      </c>
      <c r="E32" s="83">
        <v>47.26</v>
      </c>
      <c r="F32" s="83" t="s">
        <v>2669</v>
      </c>
      <c r="G32" s="284">
        <v>-1.21E-2</v>
      </c>
      <c r="I32" s="168">
        <v>45414</v>
      </c>
      <c r="J32" s="286">
        <v>3321.81</v>
      </c>
      <c r="K32" s="286">
        <v>3298.42</v>
      </c>
      <c r="L32" s="286">
        <v>3330.11</v>
      </c>
      <c r="M32" s="286">
        <v>3294.37</v>
      </c>
      <c r="N32" s="284" t="s">
        <v>2114</v>
      </c>
      <c r="P32" s="168">
        <v>45414</v>
      </c>
      <c r="Q32" s="286">
        <v>5.1113</v>
      </c>
      <c r="R32" s="286">
        <v>5.194</v>
      </c>
      <c r="S32" s="286">
        <v>5.194</v>
      </c>
      <c r="T32" s="286">
        <v>5.0994999999999999</v>
      </c>
      <c r="U32" s="284">
        <v>-1.5800000000000002E-2</v>
      </c>
      <c r="W32" s="168">
        <v>45412</v>
      </c>
      <c r="X32" s="288">
        <v>125924</v>
      </c>
      <c r="Y32" s="288">
        <v>127352</v>
      </c>
      <c r="Z32" s="288">
        <v>127352</v>
      </c>
      <c r="AA32" s="288">
        <v>125856</v>
      </c>
      <c r="AB32" s="284" t="s">
        <v>1945</v>
      </c>
      <c r="AC32" s="290">
        <v>-1.12E-2</v>
      </c>
      <c r="AE32" s="168" t="s">
        <v>2668</v>
      </c>
      <c r="AF32" s="286">
        <v>5.6799999999999996E-2</v>
      </c>
      <c r="AG32" s="286">
        <v>5.7999999999999996E-2</v>
      </c>
      <c r="AH32" s="286">
        <v>4487.21</v>
      </c>
      <c r="AI32" s="286">
        <v>4411.78</v>
      </c>
      <c r="AJ32" s="284">
        <v>4411.78</v>
      </c>
    </row>
    <row r="33" spans="1:36" x14ac:dyDescent="0.3">
      <c r="A33" s="167">
        <v>45412</v>
      </c>
      <c r="B33" s="171">
        <v>48</v>
      </c>
      <c r="C33" s="171">
        <v>49.21</v>
      </c>
      <c r="D33" s="171">
        <v>49.43</v>
      </c>
      <c r="E33" s="171">
        <v>47.98</v>
      </c>
      <c r="F33" s="171" t="s">
        <v>2583</v>
      </c>
      <c r="G33" s="283">
        <v>-3.15E-2</v>
      </c>
      <c r="I33" s="167">
        <v>45413</v>
      </c>
      <c r="J33" s="285">
        <v>3294.01</v>
      </c>
      <c r="K33" s="285">
        <v>3301.5</v>
      </c>
      <c r="L33" s="285">
        <v>3334.48</v>
      </c>
      <c r="M33" s="285">
        <v>3290.58</v>
      </c>
      <c r="N33" s="283" t="s">
        <v>1573</v>
      </c>
      <c r="P33" s="167">
        <v>45413</v>
      </c>
      <c r="Q33" s="285">
        <v>5.1936</v>
      </c>
      <c r="R33" s="285">
        <v>5.194</v>
      </c>
      <c r="S33" s="285">
        <v>5.1999000000000004</v>
      </c>
      <c r="T33" s="285">
        <v>5.1928999999999998</v>
      </c>
      <c r="U33" s="283">
        <v>0</v>
      </c>
      <c r="W33" s="167">
        <v>45411</v>
      </c>
      <c r="X33" s="287">
        <v>127352</v>
      </c>
      <c r="Y33" s="287">
        <v>126527</v>
      </c>
      <c r="Z33" s="287">
        <v>127352</v>
      </c>
      <c r="AA33" s="287">
        <v>126467</v>
      </c>
      <c r="AB33" s="283" t="s">
        <v>2660</v>
      </c>
      <c r="AC33" s="289">
        <v>6.4999999999999997E-3</v>
      </c>
      <c r="AE33" s="167" t="s">
        <v>2667</v>
      </c>
      <c r="AF33" s="285">
        <v>5.6299999999999996E-2</v>
      </c>
      <c r="AG33" s="285">
        <v>5.7500000000000002E-2</v>
      </c>
      <c r="AH33" s="285">
        <v>4520.71</v>
      </c>
      <c r="AI33" s="285">
        <v>4443.8999999999996</v>
      </c>
      <c r="AJ33" s="283">
        <v>4443.8999999999996</v>
      </c>
    </row>
    <row r="34" spans="1:36" x14ac:dyDescent="0.3">
      <c r="A34" s="168">
        <v>45411</v>
      </c>
      <c r="B34" s="83">
        <v>49.56</v>
      </c>
      <c r="C34" s="83">
        <v>49.2</v>
      </c>
      <c r="D34" s="83">
        <v>49.56</v>
      </c>
      <c r="E34" s="83">
        <v>48.83</v>
      </c>
      <c r="F34" s="83" t="s">
        <v>2451</v>
      </c>
      <c r="G34" s="284">
        <v>6.3E-3</v>
      </c>
      <c r="I34" s="168">
        <v>45412</v>
      </c>
      <c r="J34" s="286">
        <v>3305.3</v>
      </c>
      <c r="K34" s="286">
        <v>3348.7</v>
      </c>
      <c r="L34" s="286">
        <v>3351.81</v>
      </c>
      <c r="M34" s="286">
        <v>3303.11</v>
      </c>
      <c r="N34" s="284" t="s">
        <v>1743</v>
      </c>
      <c r="P34" s="168">
        <v>45412</v>
      </c>
      <c r="Q34" s="286">
        <v>5.1933999999999996</v>
      </c>
      <c r="R34" s="286">
        <v>5.1189999999999998</v>
      </c>
      <c r="S34" s="286">
        <v>5.1974999999999998</v>
      </c>
      <c r="T34" s="286">
        <v>5.1132999999999997</v>
      </c>
      <c r="U34" s="284">
        <v>1.46E-2</v>
      </c>
      <c r="W34" s="168">
        <v>45408</v>
      </c>
      <c r="X34" s="288">
        <v>126526</v>
      </c>
      <c r="Y34" s="288">
        <v>124651</v>
      </c>
      <c r="Z34" s="288">
        <v>126826</v>
      </c>
      <c r="AA34" s="288">
        <v>124651</v>
      </c>
      <c r="AB34" s="284" t="s">
        <v>2609</v>
      </c>
      <c r="AC34" s="290">
        <v>1.5100000000000001E-2</v>
      </c>
      <c r="AE34" s="168" t="s">
        <v>2666</v>
      </c>
      <c r="AF34" s="286">
        <v>5.6399999999999999E-2</v>
      </c>
      <c r="AG34" s="286">
        <v>5.7599999999999998E-2</v>
      </c>
      <c r="AH34" s="286">
        <v>4518.88</v>
      </c>
      <c r="AI34" s="286">
        <v>4439.8900000000003</v>
      </c>
      <c r="AJ34" s="284">
        <v>4439.8900000000003</v>
      </c>
    </row>
    <row r="35" spans="1:36" x14ac:dyDescent="0.3">
      <c r="A35" s="167">
        <v>45408</v>
      </c>
      <c r="B35" s="171">
        <v>49.25</v>
      </c>
      <c r="C35" s="171">
        <v>49.6</v>
      </c>
      <c r="D35" s="171">
        <v>49.95</v>
      </c>
      <c r="E35" s="171">
        <v>48.95</v>
      </c>
      <c r="F35" s="171" t="s">
        <v>2665</v>
      </c>
      <c r="G35" s="283">
        <v>-2.8E-3</v>
      </c>
      <c r="I35" s="167">
        <v>45411</v>
      </c>
      <c r="J35" s="285">
        <v>3347.04</v>
      </c>
      <c r="K35" s="285">
        <v>3335.84</v>
      </c>
      <c r="L35" s="285">
        <v>3350.77</v>
      </c>
      <c r="M35" s="285">
        <v>3334.46</v>
      </c>
      <c r="N35" s="283" t="s">
        <v>1433</v>
      </c>
      <c r="P35" s="167">
        <v>45411</v>
      </c>
      <c r="Q35" s="285">
        <v>5.1189</v>
      </c>
      <c r="R35" s="285">
        <v>5.117</v>
      </c>
      <c r="S35" s="285">
        <v>5.1227</v>
      </c>
      <c r="T35" s="285">
        <v>5.1020000000000003</v>
      </c>
      <c r="U35" s="283">
        <v>6.9999999999999999E-4</v>
      </c>
      <c r="W35" s="167">
        <v>45407</v>
      </c>
      <c r="X35" s="287">
        <v>124646</v>
      </c>
      <c r="Y35" s="287">
        <v>124718</v>
      </c>
      <c r="Z35" s="287">
        <v>124732</v>
      </c>
      <c r="AA35" s="287">
        <v>123703</v>
      </c>
      <c r="AB35" s="283" t="s">
        <v>2360</v>
      </c>
      <c r="AC35" s="289">
        <v>-8.0000000000000004E-4</v>
      </c>
      <c r="AE35" s="167" t="s">
        <v>2664</v>
      </c>
      <c r="AF35" s="285">
        <v>5.6600000000000004E-2</v>
      </c>
      <c r="AG35" s="285">
        <v>5.7800000000000004E-2</v>
      </c>
      <c r="AH35" s="285">
        <v>4508.46</v>
      </c>
      <c r="AI35" s="285">
        <v>4432.08</v>
      </c>
      <c r="AJ35" s="283">
        <v>4432.08</v>
      </c>
    </row>
    <row r="36" spans="1:36" x14ac:dyDescent="0.3">
      <c r="A36" s="168">
        <v>45407</v>
      </c>
      <c r="B36" s="83">
        <v>49.39</v>
      </c>
      <c r="C36" s="83">
        <v>48.32</v>
      </c>
      <c r="D36" s="83">
        <v>49.56</v>
      </c>
      <c r="E36" s="83">
        <v>47.75</v>
      </c>
      <c r="F36" s="83" t="s">
        <v>2191</v>
      </c>
      <c r="G36" s="284">
        <v>1.9800000000000002E-2</v>
      </c>
      <c r="I36" s="168">
        <v>45408</v>
      </c>
      <c r="J36" s="286">
        <v>3335.08</v>
      </c>
      <c r="K36" s="286">
        <v>3307.66</v>
      </c>
      <c r="L36" s="286">
        <v>3342.22</v>
      </c>
      <c r="M36" s="286">
        <v>3306.34</v>
      </c>
      <c r="N36" s="284" t="s">
        <v>1774</v>
      </c>
      <c r="P36" s="168">
        <v>45408</v>
      </c>
      <c r="Q36" s="286">
        <v>5.1151</v>
      </c>
      <c r="R36" s="286">
        <v>5.1615000000000002</v>
      </c>
      <c r="S36" s="286">
        <v>5.1673</v>
      </c>
      <c r="T36" s="286">
        <v>5.1085000000000003</v>
      </c>
      <c r="U36" s="284">
        <v>-8.6999999999999994E-3</v>
      </c>
      <c r="W36" s="168">
        <v>45406</v>
      </c>
      <c r="X36" s="288">
        <v>124741</v>
      </c>
      <c r="Y36" s="288">
        <v>125149</v>
      </c>
      <c r="Z36" s="288">
        <v>125473</v>
      </c>
      <c r="AA36" s="288">
        <v>124556</v>
      </c>
      <c r="AB36" s="284" t="s">
        <v>2461</v>
      </c>
      <c r="AC36" s="290">
        <v>-3.3E-3</v>
      </c>
      <c r="AE36" s="168" t="s">
        <v>2663</v>
      </c>
      <c r="AF36" s="286">
        <v>5.6500000000000002E-2</v>
      </c>
      <c r="AG36" s="286">
        <v>5.7699999999999994E-2</v>
      </c>
      <c r="AH36" s="286">
        <v>4516.8900000000003</v>
      </c>
      <c r="AI36" s="286">
        <v>4440.32</v>
      </c>
      <c r="AJ36" s="284">
        <v>4440.32</v>
      </c>
    </row>
    <row r="37" spans="1:36" x14ac:dyDescent="0.3">
      <c r="A37" s="167">
        <v>45406</v>
      </c>
      <c r="B37" s="171">
        <v>48.43</v>
      </c>
      <c r="C37" s="171">
        <v>49</v>
      </c>
      <c r="D37" s="171">
        <v>49.33</v>
      </c>
      <c r="E37" s="171">
        <v>48.12</v>
      </c>
      <c r="F37" s="171" t="s">
        <v>2481</v>
      </c>
      <c r="G37" s="283">
        <v>-1.5299999999999999E-2</v>
      </c>
      <c r="I37" s="167">
        <v>45407</v>
      </c>
      <c r="J37" s="285">
        <v>3306.68</v>
      </c>
      <c r="K37" s="285">
        <v>3322.78</v>
      </c>
      <c r="L37" s="285">
        <v>3323.3</v>
      </c>
      <c r="M37" s="285">
        <v>3273.66</v>
      </c>
      <c r="N37" s="283" t="s">
        <v>1558</v>
      </c>
      <c r="P37" s="167">
        <v>45407</v>
      </c>
      <c r="Q37" s="285">
        <v>5.1601999999999997</v>
      </c>
      <c r="R37" s="285">
        <v>5.1471999999999998</v>
      </c>
      <c r="S37" s="285">
        <v>5.1935000000000002</v>
      </c>
      <c r="T37" s="285">
        <v>5.1098999999999997</v>
      </c>
      <c r="U37" s="283">
        <v>2.8E-3</v>
      </c>
      <c r="W37" s="167">
        <v>45405</v>
      </c>
      <c r="X37" s="287">
        <v>125148</v>
      </c>
      <c r="Y37" s="287">
        <v>125572</v>
      </c>
      <c r="Z37" s="287">
        <v>125826</v>
      </c>
      <c r="AA37" s="287">
        <v>124310</v>
      </c>
      <c r="AB37" s="283" t="s">
        <v>2662</v>
      </c>
      <c r="AC37" s="289">
        <v>-3.3999999999999998E-3</v>
      </c>
      <c r="AE37" s="167" t="s">
        <v>2661</v>
      </c>
      <c r="AF37" s="285">
        <v>5.62E-2</v>
      </c>
      <c r="AG37" s="285">
        <v>5.74E-2</v>
      </c>
      <c r="AH37" s="285">
        <v>4537.96</v>
      </c>
      <c r="AI37" s="285">
        <v>4460.88</v>
      </c>
      <c r="AJ37" s="283">
        <v>4460.88</v>
      </c>
    </row>
    <row r="38" spans="1:36" x14ac:dyDescent="0.3">
      <c r="A38" s="168">
        <v>45405</v>
      </c>
      <c r="B38" s="83">
        <v>49.18</v>
      </c>
      <c r="C38" s="83">
        <v>47.5</v>
      </c>
      <c r="D38" s="83">
        <v>49.18</v>
      </c>
      <c r="E38" s="83">
        <v>47.35</v>
      </c>
      <c r="F38" s="83" t="s">
        <v>2660</v>
      </c>
      <c r="G38" s="284">
        <v>2.46E-2</v>
      </c>
      <c r="I38" s="168">
        <v>45406</v>
      </c>
      <c r="J38" s="286">
        <v>3323.29</v>
      </c>
      <c r="K38" s="286">
        <v>3323.59</v>
      </c>
      <c r="L38" s="286">
        <v>3335.57</v>
      </c>
      <c r="M38" s="286">
        <v>3311.46</v>
      </c>
      <c r="N38" s="284" t="s">
        <v>1514</v>
      </c>
      <c r="P38" s="168">
        <v>45406</v>
      </c>
      <c r="Q38" s="286">
        <v>5.1456999999999997</v>
      </c>
      <c r="R38" s="286">
        <v>5.1262999999999996</v>
      </c>
      <c r="S38" s="286">
        <v>5.1719999999999997</v>
      </c>
      <c r="T38" s="286">
        <v>5.1238000000000001</v>
      </c>
      <c r="U38" s="284">
        <v>3.8E-3</v>
      </c>
      <c r="W38" s="168">
        <v>45404</v>
      </c>
      <c r="X38" s="288">
        <v>125573</v>
      </c>
      <c r="Y38" s="288">
        <v>125124</v>
      </c>
      <c r="Z38" s="288">
        <v>126081</v>
      </c>
      <c r="AA38" s="288">
        <v>124633</v>
      </c>
      <c r="AB38" s="284" t="s">
        <v>1830</v>
      </c>
      <c r="AC38" s="290">
        <v>3.5999999999999999E-3</v>
      </c>
      <c r="AE38" s="168" t="s">
        <v>2659</v>
      </c>
      <c r="AF38" s="286">
        <v>5.6399999999999999E-2</v>
      </c>
      <c r="AG38" s="286">
        <v>5.7599999999999998E-2</v>
      </c>
      <c r="AH38" s="286">
        <v>4527.49</v>
      </c>
      <c r="AI38" s="286">
        <v>4450.72</v>
      </c>
      <c r="AJ38" s="284">
        <v>4450.72</v>
      </c>
    </row>
    <row r="39" spans="1:36" x14ac:dyDescent="0.3">
      <c r="A39" s="167">
        <v>45404</v>
      </c>
      <c r="B39" s="171">
        <v>48</v>
      </c>
      <c r="C39" s="171">
        <v>48.4</v>
      </c>
      <c r="D39" s="171">
        <v>48.82</v>
      </c>
      <c r="E39" s="171">
        <v>47.69</v>
      </c>
      <c r="F39" s="171" t="s">
        <v>2488</v>
      </c>
      <c r="G39" s="283">
        <v>-1.6400000000000001E-2</v>
      </c>
      <c r="I39" s="167">
        <v>45405</v>
      </c>
      <c r="J39" s="285">
        <v>3322.54</v>
      </c>
      <c r="K39" s="285">
        <v>3284.08</v>
      </c>
      <c r="L39" s="285">
        <v>3326.05</v>
      </c>
      <c r="M39" s="285">
        <v>3283.13</v>
      </c>
      <c r="N39" s="283" t="s">
        <v>2658</v>
      </c>
      <c r="P39" s="167">
        <v>45405</v>
      </c>
      <c r="Q39" s="285">
        <v>5.1260000000000003</v>
      </c>
      <c r="R39" s="285">
        <v>5.1673999999999998</v>
      </c>
      <c r="S39" s="285">
        <v>5.1894</v>
      </c>
      <c r="T39" s="285">
        <v>5.1181999999999999</v>
      </c>
      <c r="U39" s="283">
        <v>-8.0999999999999996E-3</v>
      </c>
      <c r="W39" s="167">
        <v>45401</v>
      </c>
      <c r="X39" s="287">
        <v>125124</v>
      </c>
      <c r="Y39" s="287">
        <v>124197</v>
      </c>
      <c r="Z39" s="287">
        <v>125509</v>
      </c>
      <c r="AA39" s="287">
        <v>124056</v>
      </c>
      <c r="AB39" s="283" t="s">
        <v>2657</v>
      </c>
      <c r="AC39" s="289">
        <v>7.4999999999999997E-3</v>
      </c>
      <c r="AE39" s="167" t="s">
        <v>2656</v>
      </c>
      <c r="AF39" s="285">
        <v>5.6600000000000004E-2</v>
      </c>
      <c r="AG39" s="285">
        <v>5.7800000000000004E-2</v>
      </c>
      <c r="AH39" s="285">
        <v>4519.3900000000003</v>
      </c>
      <c r="AI39" s="285">
        <v>4440.6099999999997</v>
      </c>
      <c r="AJ39" s="283">
        <v>4440.6099999999997</v>
      </c>
    </row>
    <row r="40" spans="1:36" x14ac:dyDescent="0.3">
      <c r="A40" s="168">
        <v>45401</v>
      </c>
      <c r="B40" s="83">
        <v>48.8</v>
      </c>
      <c r="C40" s="83">
        <v>49.29</v>
      </c>
      <c r="D40" s="83">
        <v>49.47</v>
      </c>
      <c r="E40" s="83">
        <v>48.12</v>
      </c>
      <c r="F40" s="83" t="s">
        <v>2655</v>
      </c>
      <c r="G40" s="284">
        <v>-8.8999999999999999E-3</v>
      </c>
      <c r="I40" s="168">
        <v>45404</v>
      </c>
      <c r="J40" s="286">
        <v>3282.09</v>
      </c>
      <c r="K40" s="286">
        <v>3256.14</v>
      </c>
      <c r="L40" s="286">
        <v>3296.63</v>
      </c>
      <c r="M40" s="286">
        <v>3256.14</v>
      </c>
      <c r="N40" s="284" t="s">
        <v>1219</v>
      </c>
      <c r="P40" s="168">
        <v>45404</v>
      </c>
      <c r="Q40" s="286">
        <v>5.1680000000000001</v>
      </c>
      <c r="R40" s="286">
        <v>5.2020999999999997</v>
      </c>
      <c r="S40" s="286">
        <v>5.2188999999999997</v>
      </c>
      <c r="T40" s="286">
        <v>5.1632999999999996</v>
      </c>
      <c r="U40" s="284">
        <v>-6.7000000000000002E-3</v>
      </c>
      <c r="W40" s="168">
        <v>45400</v>
      </c>
      <c r="X40" s="288">
        <v>124196</v>
      </c>
      <c r="Y40" s="288">
        <v>124171</v>
      </c>
      <c r="Z40" s="288">
        <v>125140</v>
      </c>
      <c r="AA40" s="288">
        <v>123397</v>
      </c>
      <c r="AB40" s="284" t="s">
        <v>1401</v>
      </c>
      <c r="AC40" s="290">
        <v>2.0000000000000001E-4</v>
      </c>
      <c r="AE40" s="168" t="s">
        <v>2654</v>
      </c>
      <c r="AF40" s="286">
        <v>5.67E-2</v>
      </c>
      <c r="AG40" s="286">
        <v>5.79E-2</v>
      </c>
      <c r="AH40" s="286">
        <v>4515.2700000000004</v>
      </c>
      <c r="AI40" s="286">
        <v>4438.92</v>
      </c>
      <c r="AJ40" s="284">
        <v>4438.92</v>
      </c>
    </row>
    <row r="41" spans="1:36" x14ac:dyDescent="0.3">
      <c r="A41" s="167">
        <v>45400</v>
      </c>
      <c r="B41" s="171">
        <v>49.24</v>
      </c>
      <c r="C41" s="171">
        <v>48.83</v>
      </c>
      <c r="D41" s="171">
        <v>49.84</v>
      </c>
      <c r="E41" s="171">
        <v>48.75</v>
      </c>
      <c r="F41" s="171" t="s">
        <v>2191</v>
      </c>
      <c r="G41" s="283">
        <v>1.0500000000000001E-2</v>
      </c>
      <c r="I41" s="167">
        <v>45401</v>
      </c>
      <c r="J41" s="285">
        <v>3255.62</v>
      </c>
      <c r="K41" s="285">
        <v>3278.34</v>
      </c>
      <c r="L41" s="285">
        <v>3280.14</v>
      </c>
      <c r="M41" s="285">
        <v>3247.6</v>
      </c>
      <c r="N41" s="283" t="s">
        <v>1726</v>
      </c>
      <c r="P41" s="167">
        <v>45401</v>
      </c>
      <c r="Q41" s="285">
        <v>5.2027000000000001</v>
      </c>
      <c r="R41" s="285">
        <v>5.2484999999999999</v>
      </c>
      <c r="S41" s="285">
        <v>5.2778</v>
      </c>
      <c r="T41" s="285">
        <v>5.1848999999999998</v>
      </c>
      <c r="U41" s="283">
        <v>-8.6999999999999994E-3</v>
      </c>
      <c r="W41" s="167">
        <v>45399</v>
      </c>
      <c r="X41" s="287">
        <v>124171</v>
      </c>
      <c r="Y41" s="287">
        <v>124389</v>
      </c>
      <c r="Z41" s="287">
        <v>125301</v>
      </c>
      <c r="AA41" s="287">
        <v>123642</v>
      </c>
      <c r="AB41" s="283" t="s">
        <v>1682</v>
      </c>
      <c r="AC41" s="289">
        <v>-1.6999999999999999E-3</v>
      </c>
      <c r="AE41" s="167" t="s">
        <v>2653</v>
      </c>
      <c r="AF41" s="285">
        <v>5.6799999999999996E-2</v>
      </c>
      <c r="AG41" s="285">
        <v>5.7999999999999996E-2</v>
      </c>
      <c r="AH41" s="285">
        <v>4511.16</v>
      </c>
      <c r="AI41" s="285">
        <v>4434.97</v>
      </c>
      <c r="AJ41" s="283">
        <v>4434.97</v>
      </c>
    </row>
    <row r="42" spans="1:36" x14ac:dyDescent="0.3">
      <c r="A42" s="168">
        <v>45399</v>
      </c>
      <c r="B42" s="83">
        <v>48.73</v>
      </c>
      <c r="C42" s="83">
        <v>49.78</v>
      </c>
      <c r="D42" s="83">
        <v>49.78</v>
      </c>
      <c r="E42" s="83">
        <v>48.4</v>
      </c>
      <c r="F42" s="83" t="s">
        <v>2365</v>
      </c>
      <c r="G42" s="284">
        <v>-2.1499999999999998E-2</v>
      </c>
      <c r="I42" s="168">
        <v>45400</v>
      </c>
      <c r="J42" s="286">
        <v>3280.1</v>
      </c>
      <c r="K42" s="286">
        <v>3282.71</v>
      </c>
      <c r="L42" s="286">
        <v>3302.85</v>
      </c>
      <c r="M42" s="286">
        <v>3274.83</v>
      </c>
      <c r="N42" s="284" t="s">
        <v>1405</v>
      </c>
      <c r="P42" s="168">
        <v>45400</v>
      </c>
      <c r="Q42" s="286">
        <v>5.2481999999999998</v>
      </c>
      <c r="R42" s="286">
        <v>5.2420999999999998</v>
      </c>
      <c r="S42" s="286">
        <v>5.2789000000000001</v>
      </c>
      <c r="T42" s="286">
        <v>5.2283999999999997</v>
      </c>
      <c r="U42" s="284">
        <v>1.1999999999999999E-3</v>
      </c>
      <c r="W42" s="168">
        <v>45398</v>
      </c>
      <c r="X42" s="288">
        <v>124389</v>
      </c>
      <c r="Y42" s="288">
        <v>125316</v>
      </c>
      <c r="Z42" s="288">
        <v>125316</v>
      </c>
      <c r="AA42" s="288">
        <v>123756</v>
      </c>
      <c r="AB42" s="284" t="s">
        <v>2216</v>
      </c>
      <c r="AC42" s="290">
        <v>-7.4999999999999997E-3</v>
      </c>
      <c r="AE42" s="168" t="s">
        <v>2652</v>
      </c>
      <c r="AF42" s="286">
        <v>5.6799999999999996E-2</v>
      </c>
      <c r="AG42" s="286">
        <v>5.7999999999999996E-2</v>
      </c>
      <c r="AH42" s="286">
        <v>4514.3900000000003</v>
      </c>
      <c r="AI42" s="286">
        <v>4438.09</v>
      </c>
      <c r="AJ42" s="284">
        <v>4438.09</v>
      </c>
    </row>
    <row r="43" spans="1:36" x14ac:dyDescent="0.3">
      <c r="A43" s="167">
        <v>45398</v>
      </c>
      <c r="B43" s="171">
        <v>49.8</v>
      </c>
      <c r="C43" s="171">
        <v>49.92</v>
      </c>
      <c r="D43" s="171">
        <v>50.31</v>
      </c>
      <c r="E43" s="171">
        <v>49.22</v>
      </c>
      <c r="F43" s="171" t="s">
        <v>2424</v>
      </c>
      <c r="G43" s="283">
        <v>-6.0000000000000001E-3</v>
      </c>
      <c r="I43" s="167">
        <v>45399</v>
      </c>
      <c r="J43" s="285">
        <v>3281.11</v>
      </c>
      <c r="K43" s="285">
        <v>3297.32</v>
      </c>
      <c r="L43" s="285">
        <v>3312.69</v>
      </c>
      <c r="M43" s="285">
        <v>3274.86</v>
      </c>
      <c r="N43" s="283" t="s">
        <v>1488</v>
      </c>
      <c r="P43" s="167">
        <v>45399</v>
      </c>
      <c r="Q43" s="285">
        <v>5.242</v>
      </c>
      <c r="R43" s="285">
        <v>5.2828999999999997</v>
      </c>
      <c r="S43" s="285">
        <v>5.2915999999999999</v>
      </c>
      <c r="T43" s="285">
        <v>5.2194000000000003</v>
      </c>
      <c r="U43" s="283">
        <v>-7.7000000000000002E-3</v>
      </c>
      <c r="W43" s="167">
        <v>45397</v>
      </c>
      <c r="X43" s="287">
        <v>125334</v>
      </c>
      <c r="Y43" s="287">
        <v>125946</v>
      </c>
      <c r="Z43" s="287">
        <v>126250</v>
      </c>
      <c r="AA43" s="287">
        <v>125034</v>
      </c>
      <c r="AB43" s="283" t="s">
        <v>2344</v>
      </c>
      <c r="AC43" s="289">
        <v>-4.8999999999999998E-3</v>
      </c>
      <c r="AE43" s="167" t="s">
        <v>2651</v>
      </c>
      <c r="AF43" s="285">
        <v>5.7099999999999998E-2</v>
      </c>
      <c r="AG43" s="285">
        <v>5.8299999999999998E-2</v>
      </c>
      <c r="AH43" s="285">
        <v>4497.91</v>
      </c>
      <c r="AI43" s="285">
        <v>4422.08</v>
      </c>
      <c r="AJ43" s="283">
        <v>4422.08</v>
      </c>
    </row>
    <row r="44" spans="1:36" x14ac:dyDescent="0.3">
      <c r="A44" s="168">
        <v>45397</v>
      </c>
      <c r="B44" s="83">
        <v>50.1</v>
      </c>
      <c r="C44" s="83">
        <v>50.98</v>
      </c>
      <c r="D44" s="83">
        <v>50.98</v>
      </c>
      <c r="E44" s="83">
        <v>49.89</v>
      </c>
      <c r="F44" s="83" t="s">
        <v>1728</v>
      </c>
      <c r="G44" s="284">
        <v>-1.49E-2</v>
      </c>
      <c r="I44" s="168">
        <v>45398</v>
      </c>
      <c r="J44" s="286">
        <v>3297.14</v>
      </c>
      <c r="K44" s="286">
        <v>3316.13</v>
      </c>
      <c r="L44" s="286">
        <v>3316.17</v>
      </c>
      <c r="M44" s="286">
        <v>3290.15</v>
      </c>
      <c r="N44" s="284" t="s">
        <v>1491</v>
      </c>
      <c r="P44" s="168">
        <v>45398</v>
      </c>
      <c r="Q44" s="286">
        <v>5.2826000000000004</v>
      </c>
      <c r="R44" s="286">
        <v>5.1851000000000003</v>
      </c>
      <c r="S44" s="286">
        <v>5.2873000000000001</v>
      </c>
      <c r="T44" s="286">
        <v>5.1817000000000002</v>
      </c>
      <c r="U44" s="284">
        <v>1.89E-2</v>
      </c>
      <c r="W44" s="168">
        <v>45394</v>
      </c>
      <c r="X44" s="288">
        <v>125946</v>
      </c>
      <c r="Y44" s="288">
        <v>127396</v>
      </c>
      <c r="Z44" s="288">
        <v>127640</v>
      </c>
      <c r="AA44" s="288">
        <v>125635</v>
      </c>
      <c r="AB44" s="284" t="s">
        <v>2155</v>
      </c>
      <c r="AC44" s="290">
        <v>-1.14E-2</v>
      </c>
      <c r="AE44" s="168" t="s">
        <v>2650</v>
      </c>
      <c r="AF44" s="286">
        <v>5.6900000000000006E-2</v>
      </c>
      <c r="AG44" s="286">
        <v>5.8099999999999999E-2</v>
      </c>
      <c r="AH44" s="286">
        <v>4515.08</v>
      </c>
      <c r="AI44" s="286">
        <v>4436.43</v>
      </c>
      <c r="AJ44" s="284">
        <v>4436.43</v>
      </c>
    </row>
    <row r="45" spans="1:36" x14ac:dyDescent="0.3">
      <c r="A45" s="167">
        <v>45394</v>
      </c>
      <c r="B45" s="171">
        <v>50.86</v>
      </c>
      <c r="C45" s="171">
        <v>51.61</v>
      </c>
      <c r="D45" s="171">
        <v>52.13</v>
      </c>
      <c r="E45" s="171">
        <v>50.44</v>
      </c>
      <c r="F45" s="171" t="s">
        <v>2014</v>
      </c>
      <c r="G45" s="283">
        <v>2.1299999999999999E-2</v>
      </c>
      <c r="I45" s="167">
        <v>45397</v>
      </c>
      <c r="J45" s="285">
        <v>3317.68</v>
      </c>
      <c r="K45" s="285">
        <v>3349.5</v>
      </c>
      <c r="L45" s="285">
        <v>3374.53</v>
      </c>
      <c r="M45" s="285">
        <v>3312.95</v>
      </c>
      <c r="N45" s="283" t="s">
        <v>1615</v>
      </c>
      <c r="P45" s="167">
        <v>45397</v>
      </c>
      <c r="Q45" s="285">
        <v>5.1845999999999997</v>
      </c>
      <c r="R45" s="285">
        <v>5.1148999999999996</v>
      </c>
      <c r="S45" s="285">
        <v>5.2153</v>
      </c>
      <c r="T45" s="285">
        <v>5.1031000000000004</v>
      </c>
      <c r="U45" s="283">
        <v>1.3100000000000001E-2</v>
      </c>
      <c r="W45" s="167">
        <v>45393</v>
      </c>
      <c r="X45" s="287">
        <v>127396</v>
      </c>
      <c r="Y45" s="287">
        <v>128051</v>
      </c>
      <c r="Z45" s="287">
        <v>128051</v>
      </c>
      <c r="AA45" s="287">
        <v>127069</v>
      </c>
      <c r="AB45" s="283" t="s">
        <v>1557</v>
      </c>
      <c r="AC45" s="289">
        <v>-5.1000000000000004E-3</v>
      </c>
      <c r="AE45" s="167" t="s">
        <v>2649</v>
      </c>
      <c r="AF45" s="285">
        <v>5.7200000000000001E-2</v>
      </c>
      <c r="AG45" s="285">
        <v>5.8400000000000001E-2</v>
      </c>
      <c r="AH45" s="285">
        <v>4498.63</v>
      </c>
      <c r="AI45" s="285">
        <v>4422.8900000000003</v>
      </c>
      <c r="AJ45" s="283">
        <v>4422.8900000000003</v>
      </c>
    </row>
    <row r="46" spans="1:36" x14ac:dyDescent="0.3">
      <c r="A46" s="168">
        <v>45393</v>
      </c>
      <c r="B46" s="83">
        <v>49.8</v>
      </c>
      <c r="C46" s="83">
        <v>50.06</v>
      </c>
      <c r="D46" s="83">
        <v>50.49</v>
      </c>
      <c r="E46" s="83">
        <v>49.5</v>
      </c>
      <c r="F46" s="83" t="s">
        <v>2648</v>
      </c>
      <c r="G46" s="284">
        <v>-7.7999999999999996E-3</v>
      </c>
      <c r="I46" s="168">
        <v>45394</v>
      </c>
      <c r="J46" s="286">
        <v>3351.01</v>
      </c>
      <c r="K46" s="286">
        <v>3393.57</v>
      </c>
      <c r="L46" s="286">
        <v>3396.75</v>
      </c>
      <c r="M46" s="286">
        <v>3343.1</v>
      </c>
      <c r="N46" s="284" t="s">
        <v>1820</v>
      </c>
      <c r="P46" s="168">
        <v>45394</v>
      </c>
      <c r="Q46" s="286">
        <v>5.1174999999999997</v>
      </c>
      <c r="R46" s="286">
        <v>5.0922000000000001</v>
      </c>
      <c r="S46" s="286">
        <v>5.1486999999999998</v>
      </c>
      <c r="T46" s="286">
        <v>5.0890000000000004</v>
      </c>
      <c r="U46" s="284">
        <v>5.1000000000000004E-3</v>
      </c>
      <c r="W46" s="168">
        <v>45392</v>
      </c>
      <c r="X46" s="288">
        <v>128054</v>
      </c>
      <c r="Y46" s="288">
        <v>129872</v>
      </c>
      <c r="Z46" s="288">
        <v>129872</v>
      </c>
      <c r="AA46" s="288">
        <v>127732</v>
      </c>
      <c r="AB46" s="284" t="s">
        <v>2068</v>
      </c>
      <c r="AC46" s="290">
        <v>-1.41E-2</v>
      </c>
      <c r="AE46" s="168" t="s">
        <v>2647</v>
      </c>
      <c r="AF46" s="286">
        <v>5.7200000000000001E-2</v>
      </c>
      <c r="AG46" s="286">
        <v>5.8400000000000001E-2</v>
      </c>
      <c r="AH46" s="286">
        <v>4500.8500000000004</v>
      </c>
      <c r="AI46" s="286">
        <v>4425.1000000000004</v>
      </c>
      <c r="AJ46" s="284">
        <v>4425.1000000000004</v>
      </c>
    </row>
    <row r="47" spans="1:36" x14ac:dyDescent="0.3">
      <c r="A47" s="167">
        <v>45392</v>
      </c>
      <c r="B47" s="171">
        <v>50.19</v>
      </c>
      <c r="C47" s="171">
        <v>49.76</v>
      </c>
      <c r="D47" s="171">
        <v>50.6</v>
      </c>
      <c r="E47" s="171">
        <v>49.35</v>
      </c>
      <c r="F47" s="171" t="s">
        <v>2251</v>
      </c>
      <c r="G47" s="283">
        <v>7.0000000000000001E-3</v>
      </c>
      <c r="I47" s="167">
        <v>45393</v>
      </c>
      <c r="J47" s="285">
        <v>3391.01</v>
      </c>
      <c r="K47" s="285">
        <v>3376.82</v>
      </c>
      <c r="L47" s="285">
        <v>3399.04</v>
      </c>
      <c r="M47" s="285">
        <v>3361.4</v>
      </c>
      <c r="N47" s="283" t="s">
        <v>1502</v>
      </c>
      <c r="P47" s="167">
        <v>45393</v>
      </c>
      <c r="Q47" s="285">
        <v>5.0917000000000003</v>
      </c>
      <c r="R47" s="285">
        <v>5.0735000000000001</v>
      </c>
      <c r="S47" s="285">
        <v>5.0930999999999997</v>
      </c>
      <c r="T47" s="285">
        <v>5.0579999999999998</v>
      </c>
      <c r="U47" s="283">
        <v>3.3999999999999998E-3</v>
      </c>
      <c r="W47" s="167">
        <v>45391</v>
      </c>
      <c r="X47" s="287">
        <v>129890</v>
      </c>
      <c r="Y47" s="287">
        <v>128858</v>
      </c>
      <c r="Z47" s="287">
        <v>129956</v>
      </c>
      <c r="AA47" s="287">
        <v>128826</v>
      </c>
      <c r="AB47" s="283" t="s">
        <v>2646</v>
      </c>
      <c r="AC47" s="289">
        <v>8.0000000000000002E-3</v>
      </c>
      <c r="AE47" s="167" t="s">
        <v>2645</v>
      </c>
      <c r="AF47" s="285">
        <v>5.74E-2</v>
      </c>
      <c r="AG47" s="285">
        <v>5.8600000000000006E-2</v>
      </c>
      <c r="AH47" s="285">
        <v>4490.6899999999996</v>
      </c>
      <c r="AI47" s="285">
        <v>4415.24</v>
      </c>
      <c r="AJ47" s="283">
        <v>4415.24</v>
      </c>
    </row>
    <row r="48" spans="1:36" x14ac:dyDescent="0.3">
      <c r="A48" s="168">
        <v>45391</v>
      </c>
      <c r="B48" s="83">
        <v>49.84</v>
      </c>
      <c r="C48" s="83">
        <v>49.7</v>
      </c>
      <c r="D48" s="83">
        <v>49.96</v>
      </c>
      <c r="E48" s="83">
        <v>48.9</v>
      </c>
      <c r="F48" s="83" t="s">
        <v>2644</v>
      </c>
      <c r="G48" s="284">
        <v>3.5999999999999999E-3</v>
      </c>
      <c r="I48" s="168">
        <v>45392</v>
      </c>
      <c r="J48" s="286">
        <v>3379.72</v>
      </c>
      <c r="K48" s="286">
        <v>3411.41</v>
      </c>
      <c r="L48" s="286">
        <v>3415.7</v>
      </c>
      <c r="M48" s="286">
        <v>3367.46</v>
      </c>
      <c r="N48" s="284" t="s">
        <v>2276</v>
      </c>
      <c r="P48" s="168">
        <v>45392</v>
      </c>
      <c r="Q48" s="286">
        <v>5.0746000000000002</v>
      </c>
      <c r="R48" s="286">
        <v>5.0091999999999999</v>
      </c>
      <c r="S48" s="286">
        <v>5.0862999999999996</v>
      </c>
      <c r="T48" s="286">
        <v>4.9969999999999999</v>
      </c>
      <c r="U48" s="284">
        <v>1.3100000000000001E-2</v>
      </c>
      <c r="W48" s="168">
        <v>45390</v>
      </c>
      <c r="X48" s="288">
        <v>128857</v>
      </c>
      <c r="Y48" s="288">
        <v>126796</v>
      </c>
      <c r="Z48" s="288">
        <v>129178</v>
      </c>
      <c r="AA48" s="288">
        <v>126796</v>
      </c>
      <c r="AB48" s="284" t="s">
        <v>2271</v>
      </c>
      <c r="AC48" s="290">
        <v>1.6299999999999999E-2</v>
      </c>
      <c r="AE48" s="168" t="s">
        <v>2643</v>
      </c>
      <c r="AF48" s="286">
        <v>5.7099999999999998E-2</v>
      </c>
      <c r="AG48" s="286">
        <v>5.8299999999999998E-2</v>
      </c>
      <c r="AH48" s="286">
        <v>4511.54</v>
      </c>
      <c r="AI48" s="286">
        <v>4435.58</v>
      </c>
      <c r="AJ48" s="284">
        <v>4435.58</v>
      </c>
    </row>
    <row r="49" spans="1:36" x14ac:dyDescent="0.3">
      <c r="A49" s="167">
        <v>45390</v>
      </c>
      <c r="B49" s="171">
        <v>49.66</v>
      </c>
      <c r="C49" s="171">
        <v>50.49</v>
      </c>
      <c r="D49" s="171">
        <v>50.62</v>
      </c>
      <c r="E49" s="171">
        <v>49.38</v>
      </c>
      <c r="F49" s="171" t="s">
        <v>2628</v>
      </c>
      <c r="G49" s="283">
        <v>-1.5699999999999999E-2</v>
      </c>
      <c r="I49" s="167">
        <v>45391</v>
      </c>
      <c r="J49" s="285">
        <v>3412.09</v>
      </c>
      <c r="K49" s="285">
        <v>3410.19</v>
      </c>
      <c r="L49" s="285">
        <v>3423.43</v>
      </c>
      <c r="M49" s="285">
        <v>3387.7</v>
      </c>
      <c r="N49" s="283" t="s">
        <v>1220</v>
      </c>
      <c r="P49" s="167">
        <v>45391</v>
      </c>
      <c r="Q49" s="285">
        <v>5.0090000000000003</v>
      </c>
      <c r="R49" s="285">
        <v>5.0281000000000002</v>
      </c>
      <c r="S49" s="285">
        <v>5.0309999999999997</v>
      </c>
      <c r="T49" s="285">
        <v>4.9995000000000003</v>
      </c>
      <c r="U49" s="283">
        <v>-3.5000000000000001E-3</v>
      </c>
      <c r="W49" s="167">
        <v>45387</v>
      </c>
      <c r="X49" s="287">
        <v>126795</v>
      </c>
      <c r="Y49" s="287">
        <v>127422</v>
      </c>
      <c r="Z49" s="287">
        <v>127432</v>
      </c>
      <c r="AA49" s="287">
        <v>126394</v>
      </c>
      <c r="AB49" s="283" t="s">
        <v>1543</v>
      </c>
      <c r="AC49" s="289">
        <v>-5.0000000000000001E-3</v>
      </c>
      <c r="AE49" s="167" t="s">
        <v>2642</v>
      </c>
      <c r="AF49" s="285">
        <v>5.7699999999999994E-2</v>
      </c>
      <c r="AG49" s="285">
        <v>5.8899999999999994E-2</v>
      </c>
      <c r="AH49" s="285">
        <v>4479.1099999999997</v>
      </c>
      <c r="AI49" s="285">
        <v>4401.6499999999996</v>
      </c>
      <c r="AJ49" s="283">
        <v>4401.6499999999996</v>
      </c>
    </row>
    <row r="50" spans="1:36" x14ac:dyDescent="0.3">
      <c r="A50" s="168">
        <v>45387</v>
      </c>
      <c r="B50" s="83">
        <v>50.45</v>
      </c>
      <c r="C50" s="83">
        <v>50.23</v>
      </c>
      <c r="D50" s="83">
        <v>51</v>
      </c>
      <c r="E50" s="83">
        <v>49.11</v>
      </c>
      <c r="F50" s="83" t="s">
        <v>1424</v>
      </c>
      <c r="G50" s="284">
        <v>8.0000000000000002E-3</v>
      </c>
      <c r="I50" s="168">
        <v>45390</v>
      </c>
      <c r="J50" s="286">
        <v>3408.57</v>
      </c>
      <c r="K50" s="286">
        <v>3403.62</v>
      </c>
      <c r="L50" s="286">
        <v>3416.06</v>
      </c>
      <c r="M50" s="286">
        <v>3403.5</v>
      </c>
      <c r="N50" s="284" t="s">
        <v>1572</v>
      </c>
      <c r="P50" s="168">
        <v>45390</v>
      </c>
      <c r="Q50" s="286">
        <v>5.0267999999999997</v>
      </c>
      <c r="R50" s="286">
        <v>5.0664999999999996</v>
      </c>
      <c r="S50" s="286">
        <v>5.0758999999999999</v>
      </c>
      <c r="T50" s="286">
        <v>5.0247000000000002</v>
      </c>
      <c r="U50" s="284">
        <v>-7.6E-3</v>
      </c>
      <c r="W50" s="168">
        <v>45386</v>
      </c>
      <c r="X50" s="288">
        <v>127428</v>
      </c>
      <c r="Y50" s="288">
        <v>127313</v>
      </c>
      <c r="Z50" s="288">
        <v>129627</v>
      </c>
      <c r="AA50" s="288">
        <v>127178</v>
      </c>
      <c r="AB50" s="284" t="s">
        <v>2307</v>
      </c>
      <c r="AC50" s="290">
        <v>8.9999999999999998E-4</v>
      </c>
      <c r="AE50" s="168" t="s">
        <v>2641</v>
      </c>
      <c r="AF50" s="286">
        <v>5.7599999999999998E-2</v>
      </c>
      <c r="AG50" s="286">
        <v>5.8799999999999998E-2</v>
      </c>
      <c r="AH50" s="286">
        <v>4487.5</v>
      </c>
      <c r="AI50" s="286">
        <v>4412.28</v>
      </c>
      <c r="AJ50" s="284">
        <v>4412.28</v>
      </c>
    </row>
    <row r="51" spans="1:36" x14ac:dyDescent="0.3">
      <c r="A51" s="167">
        <v>45386</v>
      </c>
      <c r="B51" s="171">
        <v>50.05</v>
      </c>
      <c r="C51" s="171">
        <v>49.27</v>
      </c>
      <c r="D51" s="171">
        <v>50.88</v>
      </c>
      <c r="E51" s="171">
        <v>49.12</v>
      </c>
      <c r="F51" s="171" t="s">
        <v>2066</v>
      </c>
      <c r="G51" s="283">
        <v>1.34E-2</v>
      </c>
      <c r="I51" s="167">
        <v>45387</v>
      </c>
      <c r="J51" s="285">
        <v>3402.36</v>
      </c>
      <c r="K51" s="285">
        <v>3384.72</v>
      </c>
      <c r="L51" s="285">
        <v>3411.77</v>
      </c>
      <c r="M51" s="285">
        <v>3370.64</v>
      </c>
      <c r="N51" s="283" t="s">
        <v>1229</v>
      </c>
      <c r="P51" s="167">
        <v>45387</v>
      </c>
      <c r="Q51" s="285">
        <v>5.0655000000000001</v>
      </c>
      <c r="R51" s="285">
        <v>5.0548999999999999</v>
      </c>
      <c r="S51" s="285">
        <v>5.0746000000000002</v>
      </c>
      <c r="T51" s="285">
        <v>5.0279999999999996</v>
      </c>
      <c r="U51" s="283">
        <v>2.3E-3</v>
      </c>
      <c r="W51" s="167">
        <v>45385</v>
      </c>
      <c r="X51" s="287">
        <v>127318</v>
      </c>
      <c r="Y51" s="287">
        <v>127546</v>
      </c>
      <c r="Z51" s="287">
        <v>127694</v>
      </c>
      <c r="AA51" s="287">
        <v>126181</v>
      </c>
      <c r="AB51" s="283" t="s">
        <v>2186</v>
      </c>
      <c r="AC51" s="289">
        <v>-1.8E-3</v>
      </c>
      <c r="AE51" s="167" t="s">
        <v>2640</v>
      </c>
      <c r="AF51" s="285">
        <v>5.7200000000000001E-2</v>
      </c>
      <c r="AG51" s="285">
        <v>5.8400000000000001E-2</v>
      </c>
      <c r="AH51" s="285">
        <v>4515.75</v>
      </c>
      <c r="AI51" s="285">
        <v>4439.8</v>
      </c>
      <c r="AJ51" s="283">
        <v>4439.8</v>
      </c>
    </row>
    <row r="52" spans="1:36" x14ac:dyDescent="0.3">
      <c r="A52" s="168">
        <v>45385</v>
      </c>
      <c r="B52" s="83">
        <v>49.39</v>
      </c>
      <c r="C52" s="83">
        <v>49.4</v>
      </c>
      <c r="D52" s="83">
        <v>49.72</v>
      </c>
      <c r="E52" s="83">
        <v>48.92</v>
      </c>
      <c r="F52" s="83" t="s">
        <v>2425</v>
      </c>
      <c r="G52" s="284">
        <v>6.8999999999999999E-3</v>
      </c>
      <c r="I52" s="168">
        <v>45386</v>
      </c>
      <c r="J52" s="286">
        <v>3386.31</v>
      </c>
      <c r="K52" s="286">
        <v>3411.18</v>
      </c>
      <c r="L52" s="286">
        <v>3437.94</v>
      </c>
      <c r="M52" s="286">
        <v>3384.15</v>
      </c>
      <c r="N52" s="284" t="s">
        <v>2103</v>
      </c>
      <c r="P52" s="168">
        <v>45386</v>
      </c>
      <c r="Q52" s="286">
        <v>5.0537999999999998</v>
      </c>
      <c r="R52" s="286">
        <v>5.0392000000000001</v>
      </c>
      <c r="S52" s="286">
        <v>5.0574000000000003</v>
      </c>
      <c r="T52" s="286">
        <v>5.0042999999999997</v>
      </c>
      <c r="U52" s="284">
        <v>2.8999999999999998E-3</v>
      </c>
      <c r="W52" s="168">
        <v>45384</v>
      </c>
      <c r="X52" s="288">
        <v>127549</v>
      </c>
      <c r="Y52" s="288">
        <v>126990</v>
      </c>
      <c r="Z52" s="288">
        <v>127654</v>
      </c>
      <c r="AA52" s="288">
        <v>126669</v>
      </c>
      <c r="AB52" s="284" t="s">
        <v>1601</v>
      </c>
      <c r="AC52" s="290">
        <v>4.4000000000000003E-3</v>
      </c>
      <c r="AE52" s="168" t="s">
        <v>2639</v>
      </c>
      <c r="AF52" s="286">
        <v>5.7300000000000004E-2</v>
      </c>
      <c r="AG52" s="286">
        <v>5.8499999999999996E-2</v>
      </c>
      <c r="AH52" s="286">
        <v>4511.82</v>
      </c>
      <c r="AI52" s="286">
        <v>4436.01</v>
      </c>
      <c r="AJ52" s="284">
        <v>4436.01</v>
      </c>
    </row>
    <row r="53" spans="1:36" x14ac:dyDescent="0.3">
      <c r="A53" s="167">
        <v>45384</v>
      </c>
      <c r="B53" s="171">
        <v>49.05</v>
      </c>
      <c r="C53" s="171">
        <v>48.69</v>
      </c>
      <c r="D53" s="171">
        <v>49.3</v>
      </c>
      <c r="E53" s="171">
        <v>48.6</v>
      </c>
      <c r="F53" s="171" t="s">
        <v>1297</v>
      </c>
      <c r="G53" s="283">
        <v>1.3599999999999999E-2</v>
      </c>
      <c r="I53" s="167">
        <v>45385</v>
      </c>
      <c r="J53" s="285">
        <v>3409.62</v>
      </c>
      <c r="K53" s="285">
        <v>3403.56</v>
      </c>
      <c r="L53" s="285">
        <v>3418.42</v>
      </c>
      <c r="M53" s="285">
        <v>3397.23</v>
      </c>
      <c r="N53" s="283" t="s">
        <v>1572</v>
      </c>
      <c r="P53" s="167">
        <v>45385</v>
      </c>
      <c r="Q53" s="285">
        <v>5.0392999999999999</v>
      </c>
      <c r="R53" s="285">
        <v>5.0583999999999998</v>
      </c>
      <c r="S53" s="285">
        <v>5.0921000000000003</v>
      </c>
      <c r="T53" s="285">
        <v>5.0349000000000004</v>
      </c>
      <c r="U53" s="283">
        <v>-3.5999999999999999E-3</v>
      </c>
      <c r="W53" s="167">
        <v>45383</v>
      </c>
      <c r="X53" s="287">
        <v>126990</v>
      </c>
      <c r="Y53" s="287">
        <v>128106</v>
      </c>
      <c r="Z53" s="287">
        <v>128659</v>
      </c>
      <c r="AA53" s="287">
        <v>126772</v>
      </c>
      <c r="AB53" s="283" t="s">
        <v>1277</v>
      </c>
      <c r="AC53" s="289">
        <v>-8.6999999999999994E-3</v>
      </c>
      <c r="AE53" s="167" t="s">
        <v>2638</v>
      </c>
      <c r="AF53" s="285">
        <v>5.7500000000000002E-2</v>
      </c>
      <c r="AG53" s="285">
        <v>5.8700000000000002E-2</v>
      </c>
      <c r="AH53" s="285">
        <v>4501.7</v>
      </c>
      <c r="AI53" s="285">
        <v>4426.21</v>
      </c>
      <c r="AJ53" s="283">
        <v>4426.21</v>
      </c>
    </row>
    <row r="54" spans="1:36" x14ac:dyDescent="0.3">
      <c r="A54" s="168">
        <v>45383</v>
      </c>
      <c r="B54" s="83">
        <v>48.39</v>
      </c>
      <c r="C54" s="83">
        <v>48.92</v>
      </c>
      <c r="D54" s="83">
        <v>48.94</v>
      </c>
      <c r="E54" s="83">
        <v>48.21</v>
      </c>
      <c r="F54" s="83" t="s">
        <v>2637</v>
      </c>
      <c r="G54" s="284">
        <v>-7.1999999999999998E-3</v>
      </c>
      <c r="I54" s="168">
        <v>45384</v>
      </c>
      <c r="J54" s="286">
        <v>3403.4</v>
      </c>
      <c r="K54" s="286">
        <v>3424.42</v>
      </c>
      <c r="L54" s="286">
        <v>3427.85</v>
      </c>
      <c r="M54" s="286">
        <v>3393.25</v>
      </c>
      <c r="N54" s="284" t="s">
        <v>1491</v>
      </c>
      <c r="P54" s="168">
        <v>45384</v>
      </c>
      <c r="Q54" s="286">
        <v>5.0575999999999999</v>
      </c>
      <c r="R54" s="286">
        <v>5.0551000000000004</v>
      </c>
      <c r="S54" s="286">
        <v>5.0631000000000004</v>
      </c>
      <c r="T54" s="286">
        <v>5.0216000000000003</v>
      </c>
      <c r="U54" s="284">
        <v>6.9999999999999999E-4</v>
      </c>
      <c r="W54" s="168">
        <v>45379</v>
      </c>
      <c r="X54" s="288">
        <v>128106</v>
      </c>
      <c r="Y54" s="288">
        <v>127689</v>
      </c>
      <c r="Z54" s="288">
        <v>128364</v>
      </c>
      <c r="AA54" s="288">
        <v>127270</v>
      </c>
      <c r="AB54" s="284" t="s">
        <v>1989</v>
      </c>
      <c r="AC54" s="290">
        <v>3.3E-3</v>
      </c>
      <c r="AE54" s="168" t="s">
        <v>2636</v>
      </c>
      <c r="AF54" s="286">
        <v>5.7699999999999994E-2</v>
      </c>
      <c r="AG54" s="286">
        <v>5.8899999999999994E-2</v>
      </c>
      <c r="AH54" s="286">
        <v>4491.2299999999996</v>
      </c>
      <c r="AI54" s="286">
        <v>4416.45</v>
      </c>
      <c r="AJ54" s="284">
        <v>4416.45</v>
      </c>
    </row>
    <row r="55" spans="1:36" x14ac:dyDescent="0.3">
      <c r="A55" s="167">
        <v>45379</v>
      </c>
      <c r="B55" s="171">
        <v>48.74</v>
      </c>
      <c r="C55" s="171">
        <v>47.62</v>
      </c>
      <c r="D55" s="171">
        <v>49.09</v>
      </c>
      <c r="E55" s="171">
        <v>47.52</v>
      </c>
      <c r="F55" s="171" t="s">
        <v>2635</v>
      </c>
      <c r="G55" s="283">
        <v>3.5299999999999998E-2</v>
      </c>
      <c r="I55" s="167">
        <v>45383</v>
      </c>
      <c r="J55" s="285">
        <v>3424.73</v>
      </c>
      <c r="K55" s="285">
        <v>3438.75</v>
      </c>
      <c r="L55" s="285">
        <v>3438.8</v>
      </c>
      <c r="M55" s="285">
        <v>3416.86</v>
      </c>
      <c r="N55" s="283" t="s">
        <v>1576</v>
      </c>
      <c r="P55" s="167">
        <v>45383</v>
      </c>
      <c r="Q55" s="285">
        <v>5.0542999999999996</v>
      </c>
      <c r="R55" s="285">
        <v>5.0147000000000004</v>
      </c>
      <c r="S55" s="285">
        <v>5.0708000000000002</v>
      </c>
      <c r="T55" s="285">
        <v>5.0092999999999996</v>
      </c>
      <c r="U55" s="283">
        <v>7.7999999999999996E-3</v>
      </c>
      <c r="W55" s="167">
        <v>45378</v>
      </c>
      <c r="X55" s="287">
        <v>127691</v>
      </c>
      <c r="Y55" s="287">
        <v>126863</v>
      </c>
      <c r="Z55" s="287">
        <v>127756</v>
      </c>
      <c r="AA55" s="287">
        <v>126223</v>
      </c>
      <c r="AB55" s="283" t="s">
        <v>1375</v>
      </c>
      <c r="AC55" s="289">
        <v>6.4999999999999997E-3</v>
      </c>
      <c r="AE55" s="167" t="s">
        <v>2634</v>
      </c>
      <c r="AF55" s="285">
        <v>5.79E-2</v>
      </c>
      <c r="AG55" s="285">
        <v>5.91E-2</v>
      </c>
      <c r="AH55" s="285">
        <v>4480.2299999999996</v>
      </c>
      <c r="AI55" s="285">
        <v>4406.34</v>
      </c>
      <c r="AJ55" s="283">
        <v>4406.34</v>
      </c>
    </row>
    <row r="56" spans="1:36" x14ac:dyDescent="0.3">
      <c r="A56" s="168">
        <v>45378</v>
      </c>
      <c r="B56" s="83">
        <v>47.08</v>
      </c>
      <c r="C56" s="83">
        <v>46.99</v>
      </c>
      <c r="D56" s="83">
        <v>47.44</v>
      </c>
      <c r="E56" s="83">
        <v>46.62</v>
      </c>
      <c r="F56" s="83" t="s">
        <v>2633</v>
      </c>
      <c r="G56" s="284">
        <v>-4.4000000000000003E-3</v>
      </c>
      <c r="I56" s="168">
        <v>45380</v>
      </c>
      <c r="J56" s="286">
        <v>3437.76</v>
      </c>
      <c r="K56" s="286">
        <v>3436.82</v>
      </c>
      <c r="L56" s="286">
        <v>3437.76</v>
      </c>
      <c r="M56" s="286">
        <v>3436.13</v>
      </c>
      <c r="N56" s="284" t="s">
        <v>1399</v>
      </c>
      <c r="P56" s="168">
        <v>45380</v>
      </c>
      <c r="Q56" s="286">
        <v>5.0152999999999999</v>
      </c>
      <c r="R56" s="286">
        <v>5.0155000000000003</v>
      </c>
      <c r="S56" s="286">
        <v>5.0163000000000002</v>
      </c>
      <c r="T56" s="286">
        <v>5.0138999999999996</v>
      </c>
      <c r="U56" s="284">
        <v>5.0000000000000001E-4</v>
      </c>
      <c r="W56" s="168">
        <v>45377</v>
      </c>
      <c r="X56" s="288">
        <v>126863</v>
      </c>
      <c r="Y56" s="288">
        <v>126931</v>
      </c>
      <c r="Z56" s="288">
        <v>127193</v>
      </c>
      <c r="AA56" s="288">
        <v>126591</v>
      </c>
      <c r="AB56" s="284" t="s">
        <v>2470</v>
      </c>
      <c r="AC56" s="290">
        <v>-5.0000000000000001E-4</v>
      </c>
      <c r="AE56" s="168" t="s">
        <v>2632</v>
      </c>
      <c r="AF56" s="286">
        <v>5.8700000000000002E-2</v>
      </c>
      <c r="AG56" s="286">
        <v>5.9900000000000002E-2</v>
      </c>
      <c r="AH56" s="286">
        <v>4432.8999999999996</v>
      </c>
      <c r="AI56" s="286">
        <v>4360.2700000000004</v>
      </c>
      <c r="AJ56" s="284">
        <v>4360.2700000000004</v>
      </c>
    </row>
    <row r="57" spans="1:36" x14ac:dyDescent="0.3">
      <c r="A57" s="167">
        <v>45377</v>
      </c>
      <c r="B57" s="171">
        <v>47.29</v>
      </c>
      <c r="C57" s="171">
        <v>48.1</v>
      </c>
      <c r="D57" s="171">
        <v>48.55</v>
      </c>
      <c r="E57" s="171">
        <v>47.14</v>
      </c>
      <c r="F57" s="171" t="s">
        <v>2631</v>
      </c>
      <c r="G57" s="283">
        <v>-8.0000000000000002E-3</v>
      </c>
      <c r="I57" s="167">
        <v>45379</v>
      </c>
      <c r="J57" s="285">
        <v>3436.78</v>
      </c>
      <c r="K57" s="285">
        <v>3436.78</v>
      </c>
      <c r="L57" s="285">
        <v>3440.85</v>
      </c>
      <c r="M57" s="285">
        <v>3432</v>
      </c>
      <c r="N57" s="283" t="s">
        <v>1621</v>
      </c>
      <c r="P57" s="167">
        <v>45379</v>
      </c>
      <c r="Q57" s="285">
        <v>5.0129000000000001</v>
      </c>
      <c r="R57" s="285">
        <v>4.9870999999999999</v>
      </c>
      <c r="S57" s="285">
        <v>5.0183999999999997</v>
      </c>
      <c r="T57" s="285">
        <v>4.9787999999999997</v>
      </c>
      <c r="U57" s="283">
        <v>5.3E-3</v>
      </c>
      <c r="W57" s="167">
        <v>45376</v>
      </c>
      <c r="X57" s="287">
        <v>126931</v>
      </c>
      <c r="Y57" s="287">
        <v>127027</v>
      </c>
      <c r="Z57" s="287">
        <v>127224</v>
      </c>
      <c r="AA57" s="287">
        <v>126750</v>
      </c>
      <c r="AB57" s="283" t="s">
        <v>2630</v>
      </c>
      <c r="AC57" s="289">
        <v>-8.0000000000000004E-4</v>
      </c>
      <c r="AE57" s="167" t="s">
        <v>2629</v>
      </c>
      <c r="AF57" s="285">
        <v>5.8499999999999996E-2</v>
      </c>
      <c r="AG57" s="285">
        <v>5.9699999999999996E-2</v>
      </c>
      <c r="AH57" s="285">
        <v>4446.2700000000004</v>
      </c>
      <c r="AI57" s="285">
        <v>4373.32</v>
      </c>
      <c r="AJ57" s="283">
        <v>4373.32</v>
      </c>
    </row>
    <row r="58" spans="1:36" x14ac:dyDescent="0.3">
      <c r="A58" s="168">
        <v>45376</v>
      </c>
      <c r="B58" s="83">
        <v>47.67</v>
      </c>
      <c r="C58" s="83">
        <v>46.9</v>
      </c>
      <c r="D58" s="83">
        <v>48.11</v>
      </c>
      <c r="E58" s="83">
        <v>46.34</v>
      </c>
      <c r="F58" s="83" t="s">
        <v>2628</v>
      </c>
      <c r="G58" s="284">
        <v>1.9699999999999999E-2</v>
      </c>
      <c r="I58" s="168">
        <v>45378</v>
      </c>
      <c r="J58" s="286">
        <v>3436.98</v>
      </c>
      <c r="K58" s="286">
        <v>3415.26</v>
      </c>
      <c r="L58" s="286">
        <v>3437.91</v>
      </c>
      <c r="M58" s="286">
        <v>3414.61</v>
      </c>
      <c r="N58" s="284" t="s">
        <v>1517</v>
      </c>
      <c r="P58" s="168">
        <v>45378</v>
      </c>
      <c r="Q58" s="286">
        <v>4.9866000000000001</v>
      </c>
      <c r="R58" s="286">
        <v>4.9816000000000003</v>
      </c>
      <c r="S58" s="286">
        <v>4.9942000000000002</v>
      </c>
      <c r="T58" s="286">
        <v>4.9715999999999996</v>
      </c>
      <c r="U58" s="284">
        <v>1.1999999999999999E-3</v>
      </c>
      <c r="W58" s="168">
        <v>45373</v>
      </c>
      <c r="X58" s="288">
        <v>127027</v>
      </c>
      <c r="Y58" s="288">
        <v>128159</v>
      </c>
      <c r="Z58" s="288">
        <v>128159</v>
      </c>
      <c r="AA58" s="288">
        <v>126879</v>
      </c>
      <c r="AB58" s="284" t="s">
        <v>1277</v>
      </c>
      <c r="AC58" s="290">
        <v>-8.8000000000000005E-3</v>
      </c>
      <c r="AE58" s="168" t="s">
        <v>2627</v>
      </c>
      <c r="AF58" s="286">
        <v>5.79E-2</v>
      </c>
      <c r="AG58" s="286">
        <v>5.91E-2</v>
      </c>
      <c r="AH58" s="286">
        <v>4484.1000000000004</v>
      </c>
      <c r="AI58" s="286">
        <v>4410.2</v>
      </c>
      <c r="AJ58" s="284">
        <v>4410.2</v>
      </c>
    </row>
    <row r="59" spans="1:36" x14ac:dyDescent="0.3">
      <c r="A59" s="167">
        <v>45374</v>
      </c>
      <c r="B59" s="171">
        <v>46.75</v>
      </c>
      <c r="C59" s="171">
        <v>46.75</v>
      </c>
      <c r="D59" s="171">
        <v>46.75</v>
      </c>
      <c r="E59" s="171">
        <v>46.75</v>
      </c>
      <c r="F59" s="171"/>
      <c r="G59" s="283">
        <v>1.2999999999999999E-3</v>
      </c>
      <c r="I59" s="167">
        <v>45377</v>
      </c>
      <c r="J59" s="285">
        <v>3414.29</v>
      </c>
      <c r="K59" s="285">
        <v>3419.87</v>
      </c>
      <c r="L59" s="285">
        <v>3430.44</v>
      </c>
      <c r="M59" s="285">
        <v>3413.79</v>
      </c>
      <c r="N59" s="283" t="s">
        <v>1430</v>
      </c>
      <c r="P59" s="167">
        <v>45377</v>
      </c>
      <c r="Q59" s="285">
        <v>4.9808000000000003</v>
      </c>
      <c r="R59" s="285">
        <v>4.9752000000000001</v>
      </c>
      <c r="S59" s="285">
        <v>4.9942000000000002</v>
      </c>
      <c r="T59" s="285">
        <v>4.9650999999999996</v>
      </c>
      <c r="U59" s="283">
        <v>1.1000000000000001E-3</v>
      </c>
      <c r="W59" s="167">
        <v>45372</v>
      </c>
      <c r="X59" s="287">
        <v>128159</v>
      </c>
      <c r="Y59" s="287">
        <v>129125</v>
      </c>
      <c r="Z59" s="287">
        <v>129556</v>
      </c>
      <c r="AA59" s="287">
        <v>128093</v>
      </c>
      <c r="AB59" s="283" t="s">
        <v>2325</v>
      </c>
      <c r="AC59" s="289">
        <v>-7.4999999999999997E-3</v>
      </c>
      <c r="AE59" s="167" t="s">
        <v>2626</v>
      </c>
      <c r="AF59" s="285">
        <v>5.8499999999999996E-2</v>
      </c>
      <c r="AG59" s="285">
        <v>5.9699999999999996E-2</v>
      </c>
      <c r="AH59" s="285">
        <v>4449.42</v>
      </c>
      <c r="AI59" s="285">
        <v>4375.8900000000003</v>
      </c>
      <c r="AJ59" s="283">
        <v>4375.8900000000003</v>
      </c>
    </row>
    <row r="60" spans="1:36" x14ac:dyDescent="0.3">
      <c r="A60" s="168">
        <v>45373</v>
      </c>
      <c r="B60" s="83">
        <v>46.69</v>
      </c>
      <c r="C60" s="83">
        <v>47.38</v>
      </c>
      <c r="D60" s="83">
        <v>47.45</v>
      </c>
      <c r="E60" s="83">
        <v>46.43</v>
      </c>
      <c r="F60" s="83" t="s">
        <v>2625</v>
      </c>
      <c r="G60" s="284">
        <v>-8.6999999999999994E-3</v>
      </c>
      <c r="I60" s="168">
        <v>45376</v>
      </c>
      <c r="J60" s="286">
        <v>3420.18</v>
      </c>
      <c r="K60" s="286">
        <v>3427.94</v>
      </c>
      <c r="L60" s="286">
        <v>3428.65</v>
      </c>
      <c r="M60" s="286">
        <v>3417.56</v>
      </c>
      <c r="N60" s="284" t="s">
        <v>1295</v>
      </c>
      <c r="P60" s="168">
        <v>45376</v>
      </c>
      <c r="Q60" s="286">
        <v>4.9751000000000003</v>
      </c>
      <c r="R60" s="286">
        <v>5.0023</v>
      </c>
      <c r="S60" s="286">
        <v>5.0065</v>
      </c>
      <c r="T60" s="286">
        <v>4.9718</v>
      </c>
      <c r="U60" s="284">
        <v>-4.8999999999999998E-3</v>
      </c>
      <c r="W60" s="168">
        <v>45371</v>
      </c>
      <c r="X60" s="288">
        <v>129125</v>
      </c>
      <c r="Y60" s="288">
        <v>127534</v>
      </c>
      <c r="Z60" s="288">
        <v>129210</v>
      </c>
      <c r="AA60" s="288">
        <v>127349</v>
      </c>
      <c r="AB60" s="284" t="s">
        <v>2624</v>
      </c>
      <c r="AC60" s="290">
        <v>1.2500000000000001E-2</v>
      </c>
      <c r="AE60" s="168" t="s">
        <v>2623</v>
      </c>
      <c r="AF60" s="286">
        <v>5.8299999999999998E-2</v>
      </c>
      <c r="AG60" s="286">
        <v>5.9500000000000004E-2</v>
      </c>
      <c r="AH60" s="286">
        <v>4462.84</v>
      </c>
      <c r="AI60" s="286">
        <v>4389.5600000000004</v>
      </c>
      <c r="AJ60" s="284">
        <v>4389.5600000000004</v>
      </c>
    </row>
    <row r="61" spans="1:36" x14ac:dyDescent="0.3">
      <c r="A61" s="167">
        <v>45372</v>
      </c>
      <c r="B61" s="171">
        <v>47.1</v>
      </c>
      <c r="C61" s="171">
        <v>47.49</v>
      </c>
      <c r="D61" s="171">
        <v>48.3</v>
      </c>
      <c r="E61" s="171">
        <v>47</v>
      </c>
      <c r="F61" s="171" t="s">
        <v>2622</v>
      </c>
      <c r="G61" s="283">
        <v>-7.4000000000000003E-3</v>
      </c>
      <c r="I61" s="167">
        <v>45373</v>
      </c>
      <c r="J61" s="285">
        <v>3428.12</v>
      </c>
      <c r="K61" s="285">
        <v>3434.88</v>
      </c>
      <c r="L61" s="285">
        <v>3436.82</v>
      </c>
      <c r="M61" s="285">
        <v>3425.75</v>
      </c>
      <c r="N61" s="283" t="s">
        <v>1390</v>
      </c>
      <c r="P61" s="167">
        <v>45373</v>
      </c>
      <c r="Q61" s="285">
        <v>4.9996999999999998</v>
      </c>
      <c r="R61" s="285">
        <v>4.9781000000000004</v>
      </c>
      <c r="S61" s="285">
        <v>5.0099</v>
      </c>
      <c r="T61" s="285">
        <v>4.9739000000000004</v>
      </c>
      <c r="U61" s="283">
        <v>4.3E-3</v>
      </c>
      <c r="W61" s="167">
        <v>45370</v>
      </c>
      <c r="X61" s="287">
        <v>127529</v>
      </c>
      <c r="Y61" s="287">
        <v>126955</v>
      </c>
      <c r="Z61" s="287">
        <v>128000</v>
      </c>
      <c r="AA61" s="287">
        <v>126955</v>
      </c>
      <c r="AB61" s="283" t="s">
        <v>2298</v>
      </c>
      <c r="AC61" s="289">
        <v>4.4999999999999997E-3</v>
      </c>
      <c r="AE61" s="167" t="s">
        <v>2621</v>
      </c>
      <c r="AF61" s="285">
        <v>5.8799999999999998E-2</v>
      </c>
      <c r="AG61" s="285">
        <v>0.06</v>
      </c>
      <c r="AH61" s="285">
        <v>4433.91</v>
      </c>
      <c r="AI61" s="285">
        <v>4361.41</v>
      </c>
      <c r="AJ61" s="283">
        <v>4361.41</v>
      </c>
    </row>
    <row r="62" spans="1:36" x14ac:dyDescent="0.3">
      <c r="A62" s="168">
        <v>45371</v>
      </c>
      <c r="B62" s="83">
        <v>47.45</v>
      </c>
      <c r="C62" s="83">
        <v>48.93</v>
      </c>
      <c r="D62" s="83">
        <v>49.17</v>
      </c>
      <c r="E62" s="83">
        <v>46.95</v>
      </c>
      <c r="F62" s="83" t="s">
        <v>2620</v>
      </c>
      <c r="G62" s="284">
        <v>-3.5799999999999998E-2</v>
      </c>
      <c r="I62" s="168">
        <v>45372</v>
      </c>
      <c r="J62" s="286">
        <v>3434.69</v>
      </c>
      <c r="K62" s="286">
        <v>3421.34</v>
      </c>
      <c r="L62" s="286">
        <v>3445.72</v>
      </c>
      <c r="M62" s="286">
        <v>3421.34</v>
      </c>
      <c r="N62" s="284" t="s">
        <v>1815</v>
      </c>
      <c r="P62" s="168">
        <v>45372</v>
      </c>
      <c r="Q62" s="286">
        <v>4.9781000000000004</v>
      </c>
      <c r="R62" s="286">
        <v>4.9687999999999999</v>
      </c>
      <c r="S62" s="286">
        <v>4.9865000000000004</v>
      </c>
      <c r="T62" s="286">
        <v>4.9504000000000001</v>
      </c>
      <c r="U62" s="284">
        <v>1.8E-3</v>
      </c>
      <c r="W62" s="168">
        <v>45369</v>
      </c>
      <c r="X62" s="288">
        <v>126954</v>
      </c>
      <c r="Y62" s="288">
        <v>126758</v>
      </c>
      <c r="Z62" s="288">
        <v>127540</v>
      </c>
      <c r="AA62" s="288">
        <v>126272</v>
      </c>
      <c r="AB62" s="284" t="s">
        <v>1534</v>
      </c>
      <c r="AC62" s="290">
        <v>1.6999999999999999E-3</v>
      </c>
      <c r="AE62" s="168" t="s">
        <v>2619</v>
      </c>
      <c r="AF62" s="286">
        <v>5.8700000000000002E-2</v>
      </c>
      <c r="AG62" s="286">
        <v>5.9900000000000002E-2</v>
      </c>
      <c r="AH62" s="286">
        <v>4441.78</v>
      </c>
      <c r="AI62" s="286">
        <v>4369.07</v>
      </c>
      <c r="AJ62" s="284">
        <v>4369.07</v>
      </c>
    </row>
    <row r="63" spans="1:36" x14ac:dyDescent="0.3">
      <c r="A63" s="167">
        <v>45370</v>
      </c>
      <c r="B63" s="171">
        <v>49.21</v>
      </c>
      <c r="C63" s="171">
        <v>47.99</v>
      </c>
      <c r="D63" s="171">
        <v>49.73</v>
      </c>
      <c r="E63" s="171">
        <v>47.52</v>
      </c>
      <c r="F63" s="171" t="s">
        <v>2618</v>
      </c>
      <c r="G63" s="283">
        <v>3.04E-2</v>
      </c>
      <c r="I63" s="167">
        <v>45371</v>
      </c>
      <c r="J63" s="285">
        <v>3414.89</v>
      </c>
      <c r="K63" s="285">
        <v>3393.69</v>
      </c>
      <c r="L63" s="285">
        <v>3421.19</v>
      </c>
      <c r="M63" s="285">
        <v>3387.78</v>
      </c>
      <c r="N63" s="283" t="s">
        <v>2201</v>
      </c>
      <c r="P63" s="167">
        <v>45371</v>
      </c>
      <c r="Q63" s="285">
        <v>4.9691000000000001</v>
      </c>
      <c r="R63" s="285">
        <v>5.0312999999999999</v>
      </c>
      <c r="S63" s="285">
        <v>5.0354000000000001</v>
      </c>
      <c r="T63" s="285">
        <v>4.9649000000000001</v>
      </c>
      <c r="U63" s="283">
        <v>-1.21E-2</v>
      </c>
      <c r="W63" s="167">
        <v>45366</v>
      </c>
      <c r="X63" s="287">
        <v>126742</v>
      </c>
      <c r="Y63" s="287">
        <v>127682</v>
      </c>
      <c r="Z63" s="287">
        <v>127957</v>
      </c>
      <c r="AA63" s="287">
        <v>126502</v>
      </c>
      <c r="AB63" s="283" t="s">
        <v>2617</v>
      </c>
      <c r="AC63" s="289">
        <v>-7.4000000000000003E-3</v>
      </c>
      <c r="AE63" s="167" t="s">
        <v>2616</v>
      </c>
      <c r="AF63" s="285">
        <v>5.8400000000000001E-2</v>
      </c>
      <c r="AG63" s="285">
        <v>5.96E-2</v>
      </c>
      <c r="AH63" s="285">
        <v>4462.24</v>
      </c>
      <c r="AI63" s="285">
        <v>4388.07</v>
      </c>
      <c r="AJ63" s="283">
        <v>4388.07</v>
      </c>
    </row>
    <row r="64" spans="1:36" x14ac:dyDescent="0.3">
      <c r="A64" s="168">
        <v>45369</v>
      </c>
      <c r="B64" s="83">
        <v>47.76</v>
      </c>
      <c r="C64" s="83">
        <v>48.16</v>
      </c>
      <c r="D64" s="83">
        <v>48.19</v>
      </c>
      <c r="E64" s="83">
        <v>46.92</v>
      </c>
      <c r="F64" s="83" t="s">
        <v>2611</v>
      </c>
      <c r="G64" s="284">
        <v>-8.0000000000000004E-4</v>
      </c>
      <c r="I64" s="168">
        <v>45370</v>
      </c>
      <c r="J64" s="286">
        <v>3393.37</v>
      </c>
      <c r="K64" s="286">
        <v>3380.32</v>
      </c>
      <c r="L64" s="286">
        <v>3394.35</v>
      </c>
      <c r="M64" s="286">
        <v>3369.22</v>
      </c>
      <c r="N64" s="284" t="s">
        <v>1224</v>
      </c>
      <c r="P64" s="168">
        <v>45370</v>
      </c>
      <c r="Q64" s="286">
        <v>5.0301</v>
      </c>
      <c r="R64" s="286">
        <v>5.0260999999999996</v>
      </c>
      <c r="S64" s="286">
        <v>5.0556999999999999</v>
      </c>
      <c r="T64" s="286">
        <v>5.01</v>
      </c>
      <c r="U64" s="284">
        <v>1E-3</v>
      </c>
      <c r="W64" s="168">
        <v>45365</v>
      </c>
      <c r="X64" s="288">
        <v>127690</v>
      </c>
      <c r="Y64" s="288">
        <v>127992</v>
      </c>
      <c r="Z64" s="288">
        <v>128256</v>
      </c>
      <c r="AA64" s="288">
        <v>127192</v>
      </c>
      <c r="AB64" s="284" t="s">
        <v>1546</v>
      </c>
      <c r="AC64" s="290">
        <v>-2.5000000000000001E-3</v>
      </c>
      <c r="AE64" s="168" t="s">
        <v>2615</v>
      </c>
      <c r="AF64" s="286">
        <v>5.8700000000000002E-2</v>
      </c>
      <c r="AG64" s="286">
        <v>5.9900000000000002E-2</v>
      </c>
      <c r="AH64" s="286">
        <v>4445.43</v>
      </c>
      <c r="AI64" s="286">
        <v>4372.71</v>
      </c>
      <c r="AJ64" s="284">
        <v>4372.71</v>
      </c>
    </row>
    <row r="65" spans="1:36" x14ac:dyDescent="0.3">
      <c r="A65" s="167">
        <v>45366</v>
      </c>
      <c r="B65" s="171">
        <v>47.8</v>
      </c>
      <c r="C65" s="171">
        <v>48.33</v>
      </c>
      <c r="D65" s="171">
        <v>48.7</v>
      </c>
      <c r="E65" s="171">
        <v>46.94</v>
      </c>
      <c r="F65" s="171" t="s">
        <v>2340</v>
      </c>
      <c r="G65" s="283">
        <v>-1.6500000000000001E-2</v>
      </c>
      <c r="I65" s="167">
        <v>45369</v>
      </c>
      <c r="J65" s="285">
        <v>3380.67</v>
      </c>
      <c r="K65" s="285">
        <v>3363.03</v>
      </c>
      <c r="L65" s="285">
        <v>3392.88</v>
      </c>
      <c r="M65" s="285">
        <v>3362.57</v>
      </c>
      <c r="N65" s="283" t="s">
        <v>1264</v>
      </c>
      <c r="P65" s="167">
        <v>45369</v>
      </c>
      <c r="Q65" s="285">
        <v>5.0252999999999997</v>
      </c>
      <c r="R65" s="285">
        <v>4.9960000000000004</v>
      </c>
      <c r="S65" s="285">
        <v>5.0324</v>
      </c>
      <c r="T65" s="285">
        <v>4.9833999999999996</v>
      </c>
      <c r="U65" s="283">
        <v>6.1000000000000004E-3</v>
      </c>
      <c r="W65" s="167">
        <v>45364</v>
      </c>
      <c r="X65" s="287">
        <v>128006</v>
      </c>
      <c r="Y65" s="287">
        <v>127668</v>
      </c>
      <c r="Z65" s="287">
        <v>128530</v>
      </c>
      <c r="AA65" s="287">
        <v>127439</v>
      </c>
      <c r="AB65" s="283" t="s">
        <v>2614</v>
      </c>
      <c r="AC65" s="289">
        <v>2.5999999999999999E-3</v>
      </c>
      <c r="AE65" s="167" t="s">
        <v>2613</v>
      </c>
      <c r="AF65" s="285">
        <v>5.9000000000000004E-2</v>
      </c>
      <c r="AG65" s="285">
        <v>6.0199999999999997E-2</v>
      </c>
      <c r="AH65" s="285">
        <v>4428.74</v>
      </c>
      <c r="AI65" s="285">
        <v>4356.4799999999996</v>
      </c>
      <c r="AJ65" s="283">
        <v>4356.4799999999996</v>
      </c>
    </row>
    <row r="66" spans="1:36" x14ac:dyDescent="0.3">
      <c r="A66" s="168">
        <v>45365</v>
      </c>
      <c r="B66" s="83">
        <v>48.6</v>
      </c>
      <c r="C66" s="83">
        <v>48.97</v>
      </c>
      <c r="D66" s="83">
        <v>49.7</v>
      </c>
      <c r="E66" s="83">
        <v>48.41</v>
      </c>
      <c r="F66" s="83" t="s">
        <v>1682</v>
      </c>
      <c r="G66" s="284">
        <v>-6.4999999999999997E-3</v>
      </c>
      <c r="I66" s="168">
        <v>45366</v>
      </c>
      <c r="J66" s="286">
        <v>3363.03</v>
      </c>
      <c r="K66" s="286">
        <v>3381.8</v>
      </c>
      <c r="L66" s="286">
        <v>3384.21</v>
      </c>
      <c r="M66" s="286">
        <v>3357.32</v>
      </c>
      <c r="N66" s="284" t="s">
        <v>2612</v>
      </c>
      <c r="P66" s="168">
        <v>45366</v>
      </c>
      <c r="Q66" s="286">
        <v>4.9949000000000003</v>
      </c>
      <c r="R66" s="286">
        <v>4.9897</v>
      </c>
      <c r="S66" s="286">
        <v>5.0022000000000002</v>
      </c>
      <c r="T66" s="286">
        <v>4.9812000000000003</v>
      </c>
      <c r="U66" s="284">
        <v>1.1000000000000001E-3</v>
      </c>
      <c r="W66" s="168">
        <v>45363</v>
      </c>
      <c r="X66" s="288">
        <v>127668</v>
      </c>
      <c r="Y66" s="288">
        <v>126124</v>
      </c>
      <c r="Z66" s="288">
        <v>128039</v>
      </c>
      <c r="AA66" s="288">
        <v>126121</v>
      </c>
      <c r="AB66" s="284" t="s">
        <v>2611</v>
      </c>
      <c r="AC66" s="290">
        <v>1.2200000000000001E-2</v>
      </c>
      <c r="AE66" s="168" t="s">
        <v>2610</v>
      </c>
      <c r="AF66" s="286">
        <v>5.8700000000000002E-2</v>
      </c>
      <c r="AG66" s="286">
        <v>5.9900000000000002E-2</v>
      </c>
      <c r="AH66" s="286">
        <v>4448.1000000000004</v>
      </c>
      <c r="AI66" s="286">
        <v>4375.38</v>
      </c>
      <c r="AJ66" s="284">
        <v>4375.38</v>
      </c>
    </row>
    <row r="67" spans="1:36" x14ac:dyDescent="0.3">
      <c r="A67" s="167">
        <v>45364</v>
      </c>
      <c r="B67" s="171">
        <v>48.92</v>
      </c>
      <c r="C67" s="171">
        <v>47.75</v>
      </c>
      <c r="D67" s="171">
        <v>49.17</v>
      </c>
      <c r="E67" s="171">
        <v>47.6</v>
      </c>
      <c r="F67" s="171" t="s">
        <v>2249</v>
      </c>
      <c r="G67" s="283">
        <v>2.9899999999999999E-2</v>
      </c>
      <c r="I67" s="167">
        <v>45365</v>
      </c>
      <c r="J67" s="285">
        <v>3382.48</v>
      </c>
      <c r="K67" s="285">
        <v>3396.39</v>
      </c>
      <c r="L67" s="285">
        <v>3400.38</v>
      </c>
      <c r="M67" s="285">
        <v>3368.55</v>
      </c>
      <c r="N67" s="283" t="s">
        <v>1446</v>
      </c>
      <c r="P67" s="167">
        <v>45365</v>
      </c>
      <c r="Q67" s="285">
        <v>4.9894999999999996</v>
      </c>
      <c r="R67" s="285">
        <v>4.9705000000000004</v>
      </c>
      <c r="S67" s="285">
        <v>4.9945000000000004</v>
      </c>
      <c r="T67" s="285">
        <v>4.9530000000000003</v>
      </c>
      <c r="U67" s="283">
        <v>3.8999999999999998E-3</v>
      </c>
      <c r="W67" s="167">
        <v>45362</v>
      </c>
      <c r="X67" s="287">
        <v>126124</v>
      </c>
      <c r="Y67" s="287">
        <v>127068</v>
      </c>
      <c r="Z67" s="287">
        <v>127068</v>
      </c>
      <c r="AA67" s="287">
        <v>126065</v>
      </c>
      <c r="AB67" s="283" t="s">
        <v>2609</v>
      </c>
      <c r="AC67" s="289">
        <v>-7.4999999999999997E-3</v>
      </c>
      <c r="AE67" s="167" t="s">
        <v>2608</v>
      </c>
      <c r="AF67" s="285">
        <v>5.9000000000000004E-2</v>
      </c>
      <c r="AG67" s="285">
        <v>6.0199999999999997E-2</v>
      </c>
      <c r="AH67" s="285">
        <v>4431.42</v>
      </c>
      <c r="AI67" s="285">
        <v>4359.1499999999996</v>
      </c>
      <c r="AJ67" s="283">
        <v>4359.1499999999996</v>
      </c>
    </row>
    <row r="68" spans="1:36" x14ac:dyDescent="0.3">
      <c r="A68" s="168">
        <v>45363</v>
      </c>
      <c r="B68" s="83">
        <v>47.5</v>
      </c>
      <c r="C68" s="83">
        <v>45.35</v>
      </c>
      <c r="D68" s="83">
        <v>47.97</v>
      </c>
      <c r="E68" s="83">
        <v>45.17</v>
      </c>
      <c r="F68" s="83" t="s">
        <v>2607</v>
      </c>
      <c r="G68" s="284">
        <v>5.79E-2</v>
      </c>
      <c r="I68" s="168">
        <v>45364</v>
      </c>
      <c r="J68" s="286">
        <v>3396.19</v>
      </c>
      <c r="K68" s="286">
        <v>3397.99</v>
      </c>
      <c r="L68" s="286">
        <v>3404.08</v>
      </c>
      <c r="M68" s="286">
        <v>3390.72</v>
      </c>
      <c r="N68" s="284" t="s">
        <v>1405</v>
      </c>
      <c r="P68" s="168">
        <v>45364</v>
      </c>
      <c r="Q68" s="286">
        <v>4.97</v>
      </c>
      <c r="R68" s="286">
        <v>4.9720000000000004</v>
      </c>
      <c r="S68" s="286">
        <v>4.9886999999999997</v>
      </c>
      <c r="T68" s="286">
        <v>4.9621000000000004</v>
      </c>
      <c r="U68" s="284">
        <v>-4.0000000000000002E-4</v>
      </c>
      <c r="W68" s="168">
        <v>45359</v>
      </c>
      <c r="X68" s="288">
        <v>127071</v>
      </c>
      <c r="Y68" s="288">
        <v>128335</v>
      </c>
      <c r="Z68" s="288">
        <v>128338</v>
      </c>
      <c r="AA68" s="288">
        <v>125802</v>
      </c>
      <c r="AB68" s="284" t="s">
        <v>1986</v>
      </c>
      <c r="AC68" s="290">
        <v>-9.9000000000000008E-3</v>
      </c>
      <c r="AE68" s="168" t="s">
        <v>2606</v>
      </c>
      <c r="AF68" s="286">
        <v>5.9200000000000003E-2</v>
      </c>
      <c r="AG68" s="286">
        <v>6.0400000000000002E-2</v>
      </c>
      <c r="AH68" s="286">
        <v>4421.46</v>
      </c>
      <c r="AI68" s="286">
        <v>4348.84</v>
      </c>
      <c r="AJ68" s="284">
        <v>4348.84</v>
      </c>
    </row>
    <row r="69" spans="1:36" x14ac:dyDescent="0.3">
      <c r="A69" s="167">
        <v>45362</v>
      </c>
      <c r="B69" s="171">
        <v>44.9</v>
      </c>
      <c r="C69" s="171">
        <v>44.49</v>
      </c>
      <c r="D69" s="171">
        <v>45.6</v>
      </c>
      <c r="E69" s="171">
        <v>43.65</v>
      </c>
      <c r="F69" s="171" t="s">
        <v>1429</v>
      </c>
      <c r="G69" s="283">
        <v>4.4999999999999997E-3</v>
      </c>
      <c r="I69" s="167">
        <v>45363</v>
      </c>
      <c r="J69" s="285">
        <v>3397.25</v>
      </c>
      <c r="K69" s="285">
        <v>3367.08</v>
      </c>
      <c r="L69" s="285">
        <v>3399.77</v>
      </c>
      <c r="M69" s="285">
        <v>3363.24</v>
      </c>
      <c r="N69" s="283" t="s">
        <v>1803</v>
      </c>
      <c r="P69" s="167">
        <v>45363</v>
      </c>
      <c r="Q69" s="285">
        <v>4.9718</v>
      </c>
      <c r="R69" s="285">
        <v>4.9779999999999998</v>
      </c>
      <c r="S69" s="285">
        <v>4.9957000000000003</v>
      </c>
      <c r="T69" s="285">
        <v>4.9581</v>
      </c>
      <c r="U69" s="283">
        <v>-1.1000000000000001E-3</v>
      </c>
      <c r="W69" s="167">
        <v>45358</v>
      </c>
      <c r="X69" s="287">
        <v>128340</v>
      </c>
      <c r="Y69" s="287">
        <v>128890</v>
      </c>
      <c r="Z69" s="287">
        <v>129188</v>
      </c>
      <c r="AA69" s="287">
        <v>128033</v>
      </c>
      <c r="AB69" s="283" t="s">
        <v>2605</v>
      </c>
      <c r="AC69" s="289">
        <v>-4.3E-3</v>
      </c>
      <c r="AE69" s="167" t="s">
        <v>2604</v>
      </c>
      <c r="AF69" s="285">
        <v>5.96E-2</v>
      </c>
      <c r="AG69" s="285">
        <v>6.08E-2</v>
      </c>
      <c r="AH69" s="285">
        <v>4399.05</v>
      </c>
      <c r="AI69" s="285">
        <v>4327.68</v>
      </c>
      <c r="AJ69" s="283">
        <v>4327.68</v>
      </c>
    </row>
    <row r="70" spans="1:36" x14ac:dyDescent="0.3">
      <c r="A70" s="168">
        <v>45359</v>
      </c>
      <c r="B70" s="83">
        <v>44.7</v>
      </c>
      <c r="C70" s="83">
        <v>43.3</v>
      </c>
      <c r="D70" s="83">
        <v>45.46</v>
      </c>
      <c r="E70" s="83">
        <v>43.28</v>
      </c>
      <c r="F70" s="83" t="s">
        <v>1999</v>
      </c>
      <c r="G70" s="284">
        <v>3.1099999999999999E-2</v>
      </c>
      <c r="I70" s="168">
        <v>45362</v>
      </c>
      <c r="J70" s="286">
        <v>3367.08</v>
      </c>
      <c r="K70" s="286">
        <v>3378.14</v>
      </c>
      <c r="L70" s="286">
        <v>3378.29</v>
      </c>
      <c r="M70" s="286">
        <v>3351.66</v>
      </c>
      <c r="N70" s="284" t="s">
        <v>2295</v>
      </c>
      <c r="P70" s="168">
        <v>45362</v>
      </c>
      <c r="Q70" s="286">
        <v>4.9771000000000001</v>
      </c>
      <c r="R70" s="286">
        <v>4.9835000000000003</v>
      </c>
      <c r="S70" s="286">
        <v>5.0004</v>
      </c>
      <c r="T70" s="286">
        <v>4.9598000000000004</v>
      </c>
      <c r="U70" s="284">
        <v>-6.9999999999999999E-4</v>
      </c>
      <c r="W70" s="168">
        <v>45357</v>
      </c>
      <c r="X70" s="288">
        <v>128890</v>
      </c>
      <c r="Y70" s="288">
        <v>128099</v>
      </c>
      <c r="Z70" s="288">
        <v>129323</v>
      </c>
      <c r="AA70" s="288">
        <v>128099</v>
      </c>
      <c r="AB70" s="284" t="s">
        <v>2413</v>
      </c>
      <c r="AC70" s="290">
        <v>6.1999999999999998E-3</v>
      </c>
      <c r="AE70" s="168" t="s">
        <v>2603</v>
      </c>
      <c r="AF70" s="286">
        <v>5.9000000000000004E-2</v>
      </c>
      <c r="AG70" s="286">
        <v>6.0199999999999997E-2</v>
      </c>
      <c r="AH70" s="286">
        <v>4436.09</v>
      </c>
      <c r="AI70" s="286">
        <v>4363.8</v>
      </c>
      <c r="AJ70" s="284">
        <v>4363.8</v>
      </c>
    </row>
    <row r="71" spans="1:36" x14ac:dyDescent="0.3">
      <c r="A71" s="167">
        <v>45358</v>
      </c>
      <c r="B71" s="171">
        <v>43.35</v>
      </c>
      <c r="C71" s="171">
        <v>43.63</v>
      </c>
      <c r="D71" s="171">
        <v>43.98</v>
      </c>
      <c r="E71" s="171">
        <v>43.35</v>
      </c>
      <c r="F71" s="171" t="s">
        <v>2602</v>
      </c>
      <c r="G71" s="283">
        <v>-6.6E-3</v>
      </c>
      <c r="I71" s="167">
        <v>45359</v>
      </c>
      <c r="J71" s="285">
        <v>3380.14</v>
      </c>
      <c r="K71" s="285">
        <v>3393.38</v>
      </c>
      <c r="L71" s="285">
        <v>3412.86</v>
      </c>
      <c r="M71" s="285">
        <v>3375.1</v>
      </c>
      <c r="N71" s="283" t="s">
        <v>2107</v>
      </c>
      <c r="P71" s="167">
        <v>45359</v>
      </c>
      <c r="Q71" s="285">
        <v>4.9805999999999999</v>
      </c>
      <c r="R71" s="285">
        <v>4.9344999999999999</v>
      </c>
      <c r="S71" s="285">
        <v>4.9923000000000002</v>
      </c>
      <c r="T71" s="285">
        <v>4.9340999999999999</v>
      </c>
      <c r="U71" s="283">
        <v>9.1999999999999998E-3</v>
      </c>
      <c r="W71" s="167">
        <v>45356</v>
      </c>
      <c r="X71" s="287">
        <v>128098</v>
      </c>
      <c r="Y71" s="287">
        <v>128336</v>
      </c>
      <c r="Z71" s="287">
        <v>128989</v>
      </c>
      <c r="AA71" s="287">
        <v>127823</v>
      </c>
      <c r="AB71" s="283" t="s">
        <v>2601</v>
      </c>
      <c r="AC71" s="289">
        <v>-1.9E-3</v>
      </c>
      <c r="AE71" s="167" t="s">
        <v>2600</v>
      </c>
      <c r="AF71" s="285">
        <v>5.8899999999999994E-2</v>
      </c>
      <c r="AG71" s="285">
        <v>6.0100000000000001E-2</v>
      </c>
      <c r="AH71" s="285">
        <v>4440.72</v>
      </c>
      <c r="AI71" s="285">
        <v>4368.42</v>
      </c>
      <c r="AJ71" s="283">
        <v>4368.42</v>
      </c>
    </row>
    <row r="72" spans="1:36" x14ac:dyDescent="0.3">
      <c r="A72" s="168">
        <v>45357</v>
      </c>
      <c r="B72" s="83">
        <v>43.64</v>
      </c>
      <c r="C72" s="83">
        <v>44.25</v>
      </c>
      <c r="D72" s="83">
        <v>44.79</v>
      </c>
      <c r="E72" s="83">
        <v>43.24</v>
      </c>
      <c r="F72" s="83" t="s">
        <v>1867</v>
      </c>
      <c r="G72" s="284">
        <v>-1.5299999999999999E-2</v>
      </c>
      <c r="I72" s="168">
        <v>45358</v>
      </c>
      <c r="J72" s="286">
        <v>3391.26</v>
      </c>
      <c r="K72" s="286">
        <v>3356.41</v>
      </c>
      <c r="L72" s="286">
        <v>3395.64</v>
      </c>
      <c r="M72" s="286">
        <v>3354.63</v>
      </c>
      <c r="N72" s="284" t="s">
        <v>1480</v>
      </c>
      <c r="P72" s="168">
        <v>45358</v>
      </c>
      <c r="Q72" s="286">
        <v>4.9349999999999996</v>
      </c>
      <c r="R72" s="286">
        <v>4.9451000000000001</v>
      </c>
      <c r="S72" s="286">
        <v>4.9473000000000003</v>
      </c>
      <c r="T72" s="286">
        <v>4.9310999999999998</v>
      </c>
      <c r="U72" s="284">
        <v>-1.9E-3</v>
      </c>
      <c r="W72" s="168">
        <v>45355</v>
      </c>
      <c r="X72" s="288">
        <v>128341</v>
      </c>
      <c r="Y72" s="288">
        <v>129176</v>
      </c>
      <c r="Z72" s="288">
        <v>129307</v>
      </c>
      <c r="AA72" s="288">
        <v>128278</v>
      </c>
      <c r="AB72" s="284" t="s">
        <v>2599</v>
      </c>
      <c r="AC72" s="290">
        <v>-6.4999999999999997E-3</v>
      </c>
      <c r="AE72" s="168" t="s">
        <v>2598</v>
      </c>
      <c r="AF72" s="286">
        <v>6.0299999999999999E-2</v>
      </c>
      <c r="AG72" s="286">
        <v>6.1500000000000006E-2</v>
      </c>
      <c r="AH72" s="286">
        <v>4359.2299999999996</v>
      </c>
      <c r="AI72" s="286">
        <v>4289.0600000000004</v>
      </c>
      <c r="AJ72" s="284">
        <v>4289.0600000000004</v>
      </c>
    </row>
    <row r="73" spans="1:36" x14ac:dyDescent="0.3">
      <c r="A73" s="167">
        <v>45356</v>
      </c>
      <c r="B73" s="171">
        <v>44.32</v>
      </c>
      <c r="C73" s="171">
        <v>44.01</v>
      </c>
      <c r="D73" s="171">
        <v>44.41</v>
      </c>
      <c r="E73" s="171">
        <v>43.8</v>
      </c>
      <c r="F73" s="171" t="s">
        <v>2597</v>
      </c>
      <c r="G73" s="283">
        <v>4.7999999999999996E-3</v>
      </c>
      <c r="I73" s="167">
        <v>45357</v>
      </c>
      <c r="J73" s="285">
        <v>3357.03</v>
      </c>
      <c r="K73" s="285">
        <v>3335.9</v>
      </c>
      <c r="L73" s="285">
        <v>3368.44</v>
      </c>
      <c r="M73" s="285">
        <v>3334.44</v>
      </c>
      <c r="N73" s="283" t="s">
        <v>1338</v>
      </c>
      <c r="P73" s="167">
        <v>45357</v>
      </c>
      <c r="Q73" s="285">
        <v>4.9446000000000003</v>
      </c>
      <c r="R73" s="285">
        <v>4.9585999999999997</v>
      </c>
      <c r="S73" s="285">
        <v>4.9611000000000001</v>
      </c>
      <c r="T73" s="285">
        <v>4.9328000000000003</v>
      </c>
      <c r="U73" s="283">
        <v>-2.7000000000000001E-3</v>
      </c>
      <c r="W73" s="167">
        <v>45352</v>
      </c>
      <c r="X73" s="287">
        <v>129180</v>
      </c>
      <c r="Y73" s="287">
        <v>129026</v>
      </c>
      <c r="Z73" s="287">
        <v>129716</v>
      </c>
      <c r="AA73" s="287">
        <v>128717</v>
      </c>
      <c r="AB73" s="283" t="s">
        <v>2596</v>
      </c>
      <c r="AC73" s="289">
        <v>1.1999999999999999E-3</v>
      </c>
      <c r="AE73" s="167" t="s">
        <v>2595</v>
      </c>
      <c r="AF73" s="285">
        <v>5.96E-2</v>
      </c>
      <c r="AG73" s="285">
        <v>6.08E-2</v>
      </c>
      <c r="AH73" s="285">
        <v>4401.97</v>
      </c>
      <c r="AI73" s="285">
        <v>4330.29</v>
      </c>
      <c r="AJ73" s="283">
        <v>4330.29</v>
      </c>
    </row>
    <row r="74" spans="1:36" x14ac:dyDescent="0.3">
      <c r="A74" s="168">
        <v>45355</v>
      </c>
      <c r="B74" s="83">
        <v>44.11</v>
      </c>
      <c r="C74" s="83">
        <v>44.3</v>
      </c>
      <c r="D74" s="83">
        <v>44.68</v>
      </c>
      <c r="E74" s="83">
        <v>44.11</v>
      </c>
      <c r="F74" s="83" t="s">
        <v>2594</v>
      </c>
      <c r="G74" s="284">
        <v>-5.4000000000000003E-3</v>
      </c>
      <c r="I74" s="168">
        <v>45356</v>
      </c>
      <c r="J74" s="286">
        <v>3337.2</v>
      </c>
      <c r="K74" s="286">
        <v>3361.88</v>
      </c>
      <c r="L74" s="286">
        <v>3362.26</v>
      </c>
      <c r="M74" s="286">
        <v>3325.4</v>
      </c>
      <c r="N74" s="284" t="s">
        <v>1726</v>
      </c>
      <c r="P74" s="168">
        <v>45356</v>
      </c>
      <c r="Q74" s="286">
        <v>4.9581</v>
      </c>
      <c r="R74" s="286">
        <v>4.9470999999999998</v>
      </c>
      <c r="S74" s="286">
        <v>4.9622000000000002</v>
      </c>
      <c r="T74" s="286">
        <v>4.9398</v>
      </c>
      <c r="U74" s="284">
        <v>2.5000000000000001E-3</v>
      </c>
      <c r="W74" s="168">
        <v>45351</v>
      </c>
      <c r="X74" s="288">
        <v>129020</v>
      </c>
      <c r="Y74" s="288">
        <v>130155</v>
      </c>
      <c r="Z74" s="288">
        <v>130155</v>
      </c>
      <c r="AA74" s="288">
        <v>128669</v>
      </c>
      <c r="AB74" s="284" t="s">
        <v>2593</v>
      </c>
      <c r="AC74" s="290">
        <v>-8.6999999999999994E-3</v>
      </c>
      <c r="AE74" s="168" t="s">
        <v>2592</v>
      </c>
      <c r="AF74" s="286">
        <v>6.0199999999999997E-2</v>
      </c>
      <c r="AG74" s="286">
        <v>6.1399999999999996E-2</v>
      </c>
      <c r="AH74" s="286">
        <v>4368.26</v>
      </c>
      <c r="AI74" s="286">
        <v>4297.66</v>
      </c>
      <c r="AJ74" s="284">
        <v>4297.66</v>
      </c>
    </row>
    <row r="75" spans="1:36" x14ac:dyDescent="0.3">
      <c r="A75" s="167">
        <v>45352</v>
      </c>
      <c r="B75" s="171">
        <v>44.35</v>
      </c>
      <c r="C75" s="171">
        <v>44.06</v>
      </c>
      <c r="D75" s="171">
        <v>45.09</v>
      </c>
      <c r="E75" s="171">
        <v>44.03</v>
      </c>
      <c r="F75" s="171" t="s">
        <v>2591</v>
      </c>
      <c r="G75" s="283">
        <v>1.46E-2</v>
      </c>
      <c r="I75" s="167">
        <v>45355</v>
      </c>
      <c r="J75" s="285">
        <v>3362.28</v>
      </c>
      <c r="K75" s="285">
        <v>3364.37</v>
      </c>
      <c r="L75" s="285">
        <v>3370.77</v>
      </c>
      <c r="M75" s="285">
        <v>3358.65</v>
      </c>
      <c r="N75" s="283" t="s">
        <v>1206</v>
      </c>
      <c r="P75" s="167">
        <v>45355</v>
      </c>
      <c r="Q75" s="285">
        <v>4.9458000000000002</v>
      </c>
      <c r="R75" s="285">
        <v>4.9545000000000003</v>
      </c>
      <c r="S75" s="285">
        <v>4.9588000000000001</v>
      </c>
      <c r="T75" s="285">
        <v>4.9404000000000003</v>
      </c>
      <c r="U75" s="283">
        <v>-1.6999999999999999E-3</v>
      </c>
      <c r="W75" s="167">
        <v>45350</v>
      </c>
      <c r="X75" s="287">
        <v>130155</v>
      </c>
      <c r="Y75" s="287">
        <v>131685</v>
      </c>
      <c r="Z75" s="287">
        <v>131685</v>
      </c>
      <c r="AA75" s="287">
        <v>129771</v>
      </c>
      <c r="AB75" s="283" t="s">
        <v>2300</v>
      </c>
      <c r="AC75" s="289">
        <v>-1.1599999999999999E-2</v>
      </c>
      <c r="AE75" s="167" t="s">
        <v>2590</v>
      </c>
      <c r="AF75" s="285">
        <v>6.0899999999999996E-2</v>
      </c>
      <c r="AG75" s="285">
        <v>6.2100000000000002E-2</v>
      </c>
      <c r="AH75" s="285">
        <v>4329.26</v>
      </c>
      <c r="AI75" s="285">
        <v>4259.6899999999996</v>
      </c>
      <c r="AJ75" s="283">
        <v>4259.6899999999996</v>
      </c>
    </row>
    <row r="76" spans="1:36" x14ac:dyDescent="0.3">
      <c r="A76" s="168">
        <v>45351</v>
      </c>
      <c r="B76" s="83">
        <v>43.71</v>
      </c>
      <c r="C76" s="83">
        <v>44.37</v>
      </c>
      <c r="D76" s="83">
        <v>44.45</v>
      </c>
      <c r="E76" s="83">
        <v>43.7</v>
      </c>
      <c r="F76" s="83" t="s">
        <v>1448</v>
      </c>
      <c r="G76" s="284">
        <v>-1.78E-2</v>
      </c>
      <c r="I76" s="168">
        <v>45352</v>
      </c>
      <c r="J76" s="286">
        <v>3364.04</v>
      </c>
      <c r="K76" s="286">
        <v>3335.53</v>
      </c>
      <c r="L76" s="286">
        <v>3365.89</v>
      </c>
      <c r="M76" s="286">
        <v>3335.33</v>
      </c>
      <c r="N76" s="284" t="s">
        <v>1897</v>
      </c>
      <c r="P76" s="168">
        <v>45352</v>
      </c>
      <c r="Q76" s="286">
        <v>4.9541000000000004</v>
      </c>
      <c r="R76" s="286">
        <v>4.9707999999999997</v>
      </c>
      <c r="S76" s="286">
        <v>4.9749999999999996</v>
      </c>
      <c r="T76" s="286">
        <v>4.9458000000000002</v>
      </c>
      <c r="U76" s="284">
        <v>-3.5000000000000001E-3</v>
      </c>
      <c r="W76" s="168">
        <v>45349</v>
      </c>
      <c r="X76" s="288">
        <v>131689</v>
      </c>
      <c r="Y76" s="288">
        <v>129613</v>
      </c>
      <c r="Z76" s="288">
        <v>131696</v>
      </c>
      <c r="AA76" s="288">
        <v>129613</v>
      </c>
      <c r="AB76" s="284" t="s">
        <v>2034</v>
      </c>
      <c r="AC76" s="290">
        <v>1.61E-2</v>
      </c>
      <c r="AE76" s="168" t="s">
        <v>2589</v>
      </c>
      <c r="AF76" s="286">
        <v>6.0999999999999999E-2</v>
      </c>
      <c r="AG76" s="286">
        <v>6.2199999999999998E-2</v>
      </c>
      <c r="AH76" s="286">
        <v>4325.04</v>
      </c>
      <c r="AI76" s="286">
        <v>4255.6099999999997</v>
      </c>
      <c r="AJ76" s="284">
        <v>4255.6099999999997</v>
      </c>
    </row>
    <row r="77" spans="1:36" x14ac:dyDescent="0.3">
      <c r="A77" s="167">
        <v>45350</v>
      </c>
      <c r="B77" s="171">
        <v>44.5</v>
      </c>
      <c r="C77" s="171">
        <v>45</v>
      </c>
      <c r="D77" s="171">
        <v>45.17</v>
      </c>
      <c r="E77" s="171">
        <v>44.02</v>
      </c>
      <c r="F77" s="171" t="s">
        <v>2353</v>
      </c>
      <c r="G77" s="283">
        <v>-1.9800000000000002E-2</v>
      </c>
      <c r="I77" s="167">
        <v>45351</v>
      </c>
      <c r="J77" s="285">
        <v>3337.2</v>
      </c>
      <c r="K77" s="285">
        <v>3323.17</v>
      </c>
      <c r="L77" s="285">
        <v>3340.79</v>
      </c>
      <c r="M77" s="285">
        <v>3320.15</v>
      </c>
      <c r="N77" s="283" t="s">
        <v>2126</v>
      </c>
      <c r="P77" s="167">
        <v>45351</v>
      </c>
      <c r="Q77" s="285">
        <v>4.9715999999999996</v>
      </c>
      <c r="R77" s="285">
        <v>4.9688999999999997</v>
      </c>
      <c r="S77" s="285">
        <v>4.9992999999999999</v>
      </c>
      <c r="T77" s="285">
        <v>4.9619</v>
      </c>
      <c r="U77" s="283">
        <v>8.0000000000000004E-4</v>
      </c>
      <c r="W77" s="167">
        <v>45348</v>
      </c>
      <c r="X77" s="287">
        <v>129609</v>
      </c>
      <c r="Y77" s="287">
        <v>129417</v>
      </c>
      <c r="Z77" s="287">
        <v>129978</v>
      </c>
      <c r="AA77" s="287">
        <v>129077</v>
      </c>
      <c r="AB77" s="283" t="s">
        <v>2588</v>
      </c>
      <c r="AC77" s="289">
        <v>1.5E-3</v>
      </c>
      <c r="AE77" s="167" t="s">
        <v>2587</v>
      </c>
      <c r="AF77" s="285">
        <v>6.0599999999999994E-2</v>
      </c>
      <c r="AG77" s="285">
        <v>6.1799999999999994E-2</v>
      </c>
      <c r="AH77" s="285">
        <v>4349.6000000000004</v>
      </c>
      <c r="AI77" s="285">
        <v>4279.57</v>
      </c>
      <c r="AJ77" s="283">
        <v>4279.57</v>
      </c>
    </row>
    <row r="78" spans="1:36" x14ac:dyDescent="0.3">
      <c r="A78" s="168">
        <v>45349</v>
      </c>
      <c r="B78" s="83">
        <v>45.4</v>
      </c>
      <c r="C78" s="83">
        <v>45.87</v>
      </c>
      <c r="D78" s="83">
        <v>46.18</v>
      </c>
      <c r="E78" s="83">
        <v>44.77</v>
      </c>
      <c r="F78" s="83" t="s">
        <v>1471</v>
      </c>
      <c r="G78" s="284">
        <v>-0.01</v>
      </c>
      <c r="I78" s="168">
        <v>45350</v>
      </c>
      <c r="J78" s="286">
        <v>3322.64</v>
      </c>
      <c r="K78" s="286">
        <v>3331.71</v>
      </c>
      <c r="L78" s="286">
        <v>3331.83</v>
      </c>
      <c r="M78" s="286">
        <v>3316.95</v>
      </c>
      <c r="N78" s="284" t="s">
        <v>1686</v>
      </c>
      <c r="P78" s="168">
        <v>45350</v>
      </c>
      <c r="Q78" s="286">
        <v>4.9675000000000002</v>
      </c>
      <c r="R78" s="286">
        <v>4.9337999999999997</v>
      </c>
      <c r="S78" s="286">
        <v>4.9763999999999999</v>
      </c>
      <c r="T78" s="286">
        <v>4.9316000000000004</v>
      </c>
      <c r="U78" s="284">
        <v>6.8999999999999999E-3</v>
      </c>
      <c r="W78" s="168">
        <v>45345</v>
      </c>
      <c r="X78" s="288">
        <v>129419</v>
      </c>
      <c r="Y78" s="288">
        <v>130240</v>
      </c>
      <c r="Z78" s="288">
        <v>130624</v>
      </c>
      <c r="AA78" s="288">
        <v>129077</v>
      </c>
      <c r="AB78" s="284" t="s">
        <v>2586</v>
      </c>
      <c r="AC78" s="290">
        <v>-6.3E-3</v>
      </c>
      <c r="AE78" s="168" t="s">
        <v>2585</v>
      </c>
      <c r="AF78" s="286">
        <v>0.06</v>
      </c>
      <c r="AG78" s="286">
        <v>6.1200000000000004E-2</v>
      </c>
      <c r="AH78" s="286">
        <v>4387.07</v>
      </c>
      <c r="AI78" s="286">
        <v>4315.12</v>
      </c>
      <c r="AJ78" s="284">
        <v>4315.12</v>
      </c>
    </row>
    <row r="79" spans="1:36" x14ac:dyDescent="0.3">
      <c r="A79" s="167">
        <v>45348</v>
      </c>
      <c r="B79" s="171">
        <v>45.86</v>
      </c>
      <c r="C79" s="171">
        <v>45.56</v>
      </c>
      <c r="D79" s="171">
        <v>46.5</v>
      </c>
      <c r="E79" s="171">
        <v>45.32</v>
      </c>
      <c r="F79" s="171" t="s">
        <v>2584</v>
      </c>
      <c r="G79" s="283">
        <v>1.2999999999999999E-3</v>
      </c>
      <c r="I79" s="167">
        <v>45349</v>
      </c>
      <c r="J79" s="285">
        <v>3331.88</v>
      </c>
      <c r="K79" s="285">
        <v>3325.94</v>
      </c>
      <c r="L79" s="285">
        <v>3332.58</v>
      </c>
      <c r="M79" s="285">
        <v>3322.16</v>
      </c>
      <c r="N79" s="283" t="s">
        <v>1572</v>
      </c>
      <c r="P79" s="167">
        <v>45349</v>
      </c>
      <c r="Q79" s="285">
        <v>4.9335000000000004</v>
      </c>
      <c r="R79" s="285">
        <v>4.9802</v>
      </c>
      <c r="S79" s="285">
        <v>4.9839000000000002</v>
      </c>
      <c r="T79" s="285">
        <v>4.9280999999999997</v>
      </c>
      <c r="U79" s="283">
        <v>-9.2999999999999992E-3</v>
      </c>
      <c r="W79" s="167">
        <v>45344</v>
      </c>
      <c r="X79" s="287">
        <v>130241</v>
      </c>
      <c r="Y79" s="287">
        <v>130035</v>
      </c>
      <c r="Z79" s="287">
        <v>130829</v>
      </c>
      <c r="AA79" s="287">
        <v>129971</v>
      </c>
      <c r="AB79" s="283" t="s">
        <v>2583</v>
      </c>
      <c r="AC79" s="289">
        <v>1.6000000000000001E-3</v>
      </c>
      <c r="AE79" s="167" t="s">
        <v>2582</v>
      </c>
      <c r="AF79" s="285">
        <v>6.0400000000000002E-2</v>
      </c>
      <c r="AG79" s="285">
        <v>6.1600000000000002E-2</v>
      </c>
      <c r="AH79" s="285">
        <v>4365.25</v>
      </c>
      <c r="AI79" s="285">
        <v>4294.8999999999996</v>
      </c>
      <c r="AJ79" s="283">
        <v>4294.8999999999996</v>
      </c>
    </row>
    <row r="80" spans="1:36" x14ac:dyDescent="0.3">
      <c r="A80" s="168">
        <v>45345</v>
      </c>
      <c r="B80" s="83">
        <v>45.8</v>
      </c>
      <c r="C80" s="83">
        <v>46.56</v>
      </c>
      <c r="D80" s="83">
        <v>46.94</v>
      </c>
      <c r="E80" s="83">
        <v>45.4</v>
      </c>
      <c r="F80" s="83" t="s">
        <v>1830</v>
      </c>
      <c r="G80" s="284">
        <v>-2.4500000000000001E-2</v>
      </c>
      <c r="I80" s="168">
        <v>45348</v>
      </c>
      <c r="J80" s="286">
        <v>3325.79</v>
      </c>
      <c r="K80" s="286">
        <v>3335.03</v>
      </c>
      <c r="L80" s="286">
        <v>3338.37</v>
      </c>
      <c r="M80" s="286">
        <v>3325.34</v>
      </c>
      <c r="N80" s="284" t="s">
        <v>1739</v>
      </c>
      <c r="P80" s="168">
        <v>45348</v>
      </c>
      <c r="Q80" s="286">
        <v>4.9798999999999998</v>
      </c>
      <c r="R80" s="286">
        <v>4.9943</v>
      </c>
      <c r="S80" s="286">
        <v>4.9962999999999997</v>
      </c>
      <c r="T80" s="286">
        <v>4.9702999999999999</v>
      </c>
      <c r="U80" s="284">
        <v>-3.0000000000000001E-3</v>
      </c>
      <c r="W80" s="168">
        <v>45343</v>
      </c>
      <c r="X80" s="288">
        <v>130032</v>
      </c>
      <c r="Y80" s="288">
        <v>129916</v>
      </c>
      <c r="Z80" s="288">
        <v>130034</v>
      </c>
      <c r="AA80" s="288">
        <v>129359</v>
      </c>
      <c r="AB80" s="284" t="s">
        <v>1742</v>
      </c>
      <c r="AC80" s="290">
        <v>8.9999999999999998E-4</v>
      </c>
      <c r="AE80" s="168" t="s">
        <v>2581</v>
      </c>
      <c r="AF80" s="286">
        <v>6.0700000000000004E-2</v>
      </c>
      <c r="AG80" s="286">
        <v>6.1900000000000004E-2</v>
      </c>
      <c r="AH80" s="286">
        <v>4349.3999999999996</v>
      </c>
      <c r="AI80" s="286">
        <v>4279.49</v>
      </c>
      <c r="AJ80" s="284">
        <v>4279.49</v>
      </c>
    </row>
    <row r="81" spans="1:36" x14ac:dyDescent="0.3">
      <c r="A81" s="167">
        <v>45344</v>
      </c>
      <c r="B81" s="171">
        <v>46.95</v>
      </c>
      <c r="C81" s="171">
        <v>47.3</v>
      </c>
      <c r="D81" s="171">
        <v>47.78</v>
      </c>
      <c r="E81" s="171">
        <v>46.61</v>
      </c>
      <c r="F81" s="171" t="s">
        <v>1458</v>
      </c>
      <c r="G81" s="283">
        <v>-1.1000000000000001E-3</v>
      </c>
      <c r="I81" s="167">
        <v>45345</v>
      </c>
      <c r="J81" s="285">
        <v>3334.04</v>
      </c>
      <c r="K81" s="285">
        <v>3331.64</v>
      </c>
      <c r="L81" s="285">
        <v>3344.4</v>
      </c>
      <c r="M81" s="285">
        <v>3329.11</v>
      </c>
      <c r="N81" s="283" t="s">
        <v>1227</v>
      </c>
      <c r="P81" s="167">
        <v>45345</v>
      </c>
      <c r="Q81" s="285">
        <v>4.9950999999999999</v>
      </c>
      <c r="R81" s="285">
        <v>4.9610000000000003</v>
      </c>
      <c r="S81" s="285">
        <v>4.9977999999999998</v>
      </c>
      <c r="T81" s="285">
        <v>4.9595000000000002</v>
      </c>
      <c r="U81" s="283">
        <v>7.0000000000000001E-3</v>
      </c>
      <c r="W81" s="167">
        <v>45342</v>
      </c>
      <c r="X81" s="287">
        <v>129916</v>
      </c>
      <c r="Y81" s="287">
        <v>129033</v>
      </c>
      <c r="Z81" s="287">
        <v>129916</v>
      </c>
      <c r="AA81" s="287">
        <v>128326</v>
      </c>
      <c r="AB81" s="283" t="s">
        <v>2472</v>
      </c>
      <c r="AC81" s="289">
        <v>6.7999999999999996E-3</v>
      </c>
      <c r="AE81" s="167" t="s">
        <v>2580</v>
      </c>
      <c r="AF81" s="285">
        <v>6.08E-2</v>
      </c>
      <c r="AG81" s="285">
        <v>6.2E-2</v>
      </c>
      <c r="AH81" s="285">
        <v>4345.1499999999996</v>
      </c>
      <c r="AI81" s="285">
        <v>4275.3900000000003</v>
      </c>
      <c r="AJ81" s="283">
        <v>4275.3900000000003</v>
      </c>
    </row>
    <row r="82" spans="1:36" x14ac:dyDescent="0.3">
      <c r="A82" s="168">
        <v>45343</v>
      </c>
      <c r="B82" s="83">
        <v>47</v>
      </c>
      <c r="C82" s="83">
        <v>46.1</v>
      </c>
      <c r="D82" s="83">
        <v>47.38</v>
      </c>
      <c r="E82" s="83">
        <v>45.65</v>
      </c>
      <c r="F82" s="83" t="s">
        <v>2579</v>
      </c>
      <c r="G82" s="284">
        <v>1.9099999999999999E-2</v>
      </c>
      <c r="I82" s="168">
        <v>45344</v>
      </c>
      <c r="J82" s="286">
        <v>3329.86</v>
      </c>
      <c r="K82" s="286">
        <v>3273.11</v>
      </c>
      <c r="L82" s="286">
        <v>3334.16</v>
      </c>
      <c r="M82" s="286">
        <v>3272.84</v>
      </c>
      <c r="N82" s="284" t="s">
        <v>2578</v>
      </c>
      <c r="P82" s="168">
        <v>45344</v>
      </c>
      <c r="Q82" s="286">
        <v>4.9604999999999997</v>
      </c>
      <c r="R82" s="286">
        <v>4.9382000000000001</v>
      </c>
      <c r="S82" s="286">
        <v>4.9659000000000004</v>
      </c>
      <c r="T82" s="286">
        <v>4.9185999999999996</v>
      </c>
      <c r="U82" s="284">
        <v>5.0000000000000001E-3</v>
      </c>
      <c r="W82" s="168">
        <v>45341</v>
      </c>
      <c r="X82" s="288">
        <v>129036</v>
      </c>
      <c r="Y82" s="288">
        <v>128720</v>
      </c>
      <c r="Z82" s="288">
        <v>129036</v>
      </c>
      <c r="AA82" s="288">
        <v>128097</v>
      </c>
      <c r="AB82" s="284" t="s">
        <v>2577</v>
      </c>
      <c r="AC82" s="290">
        <v>2.3999999999999998E-3</v>
      </c>
      <c r="AE82" s="168" t="s">
        <v>2576</v>
      </c>
      <c r="AF82" s="286">
        <v>6.0599999999999994E-2</v>
      </c>
      <c r="AG82" s="286">
        <v>6.1799999999999994E-2</v>
      </c>
      <c r="AH82" s="286">
        <v>4358.2299999999996</v>
      </c>
      <c r="AI82" s="286">
        <v>4288.16</v>
      </c>
      <c r="AJ82" s="284">
        <v>4288.16</v>
      </c>
    </row>
    <row r="83" spans="1:36" x14ac:dyDescent="0.3">
      <c r="A83" s="167">
        <v>45342</v>
      </c>
      <c r="B83" s="171">
        <v>46.12</v>
      </c>
      <c r="C83" s="171">
        <v>45.59</v>
      </c>
      <c r="D83" s="171">
        <v>46.87</v>
      </c>
      <c r="E83" s="171">
        <v>45.32</v>
      </c>
      <c r="F83" s="171" t="s">
        <v>1482</v>
      </c>
      <c r="G83" s="283">
        <v>5.0000000000000001E-3</v>
      </c>
      <c r="I83" s="167">
        <v>45343</v>
      </c>
      <c r="J83" s="285">
        <v>3272.19</v>
      </c>
      <c r="K83" s="285">
        <v>3272.76</v>
      </c>
      <c r="L83" s="285">
        <v>3273.72</v>
      </c>
      <c r="M83" s="285">
        <v>3255.96</v>
      </c>
      <c r="N83" s="283" t="s">
        <v>1812</v>
      </c>
      <c r="P83" s="167">
        <v>45343</v>
      </c>
      <c r="Q83" s="285">
        <v>4.9358000000000004</v>
      </c>
      <c r="R83" s="285">
        <v>4.9278000000000004</v>
      </c>
      <c r="S83" s="285">
        <v>4.9467999999999996</v>
      </c>
      <c r="T83" s="285">
        <v>4.9194000000000004</v>
      </c>
      <c r="U83" s="283">
        <v>1.6999999999999999E-3</v>
      </c>
      <c r="W83" s="167">
        <v>45338</v>
      </c>
      <c r="X83" s="287">
        <v>128726</v>
      </c>
      <c r="Y83" s="287">
        <v>127809</v>
      </c>
      <c r="Z83" s="287">
        <v>129069</v>
      </c>
      <c r="AA83" s="287">
        <v>127653</v>
      </c>
      <c r="AB83" s="283" t="s">
        <v>2105</v>
      </c>
      <c r="AC83" s="289">
        <v>7.1999999999999998E-3</v>
      </c>
      <c r="AE83" s="167" t="s">
        <v>2575</v>
      </c>
      <c r="AF83" s="285">
        <v>6.0599999999999994E-2</v>
      </c>
      <c r="AG83" s="285">
        <v>6.1799999999999994E-2</v>
      </c>
      <c r="AH83" s="285">
        <v>4360.7700000000004</v>
      </c>
      <c r="AI83" s="285">
        <v>4289.68</v>
      </c>
      <c r="AJ83" s="283">
        <v>4289.68</v>
      </c>
    </row>
    <row r="84" spans="1:36" x14ac:dyDescent="0.3">
      <c r="A84" s="168">
        <v>45341</v>
      </c>
      <c r="B84" s="83">
        <v>45.89</v>
      </c>
      <c r="C84" s="83">
        <v>45.53</v>
      </c>
      <c r="D84" s="83">
        <v>45.96</v>
      </c>
      <c r="E84" s="83">
        <v>44.86</v>
      </c>
      <c r="F84" s="83" t="s">
        <v>2574</v>
      </c>
      <c r="G84" s="284">
        <v>1.0800000000000001E-2</v>
      </c>
      <c r="I84" s="168">
        <v>45342</v>
      </c>
      <c r="J84" s="286">
        <v>3274.33</v>
      </c>
      <c r="K84" s="286">
        <v>3287.43</v>
      </c>
      <c r="L84" s="286">
        <v>3289.64</v>
      </c>
      <c r="M84" s="286">
        <v>3263.21</v>
      </c>
      <c r="N84" s="284" t="s">
        <v>1576</v>
      </c>
      <c r="P84" s="168">
        <v>45342</v>
      </c>
      <c r="Q84" s="286">
        <v>4.9275000000000002</v>
      </c>
      <c r="R84" s="286">
        <v>4.9569999999999999</v>
      </c>
      <c r="S84" s="286">
        <v>4.9653999999999998</v>
      </c>
      <c r="T84" s="286">
        <v>4.9245999999999999</v>
      </c>
      <c r="U84" s="284">
        <v>-5.7999999999999996E-3</v>
      </c>
      <c r="W84" s="168">
        <v>45337</v>
      </c>
      <c r="X84" s="288">
        <v>127804</v>
      </c>
      <c r="Y84" s="288">
        <v>127018</v>
      </c>
      <c r="Z84" s="288">
        <v>127824</v>
      </c>
      <c r="AA84" s="288">
        <v>126932</v>
      </c>
      <c r="AB84" s="284" t="s">
        <v>2562</v>
      </c>
      <c r="AC84" s="290">
        <v>6.1999999999999998E-3</v>
      </c>
      <c r="AE84" s="168" t="s">
        <v>2573</v>
      </c>
      <c r="AF84" s="286">
        <v>6.0599999999999994E-2</v>
      </c>
      <c r="AG84" s="286">
        <v>6.1799999999999994E-2</v>
      </c>
      <c r="AH84" s="286">
        <v>4362.08</v>
      </c>
      <c r="AI84" s="286">
        <v>4292</v>
      </c>
      <c r="AJ84" s="284">
        <v>4292</v>
      </c>
    </row>
    <row r="85" spans="1:36" x14ac:dyDescent="0.3">
      <c r="A85" s="167">
        <v>45338</v>
      </c>
      <c r="B85" s="171">
        <v>45.4</v>
      </c>
      <c r="C85" s="171">
        <v>44.57</v>
      </c>
      <c r="D85" s="171">
        <v>45.7</v>
      </c>
      <c r="E85" s="171">
        <v>44.37</v>
      </c>
      <c r="F85" s="171" t="s">
        <v>1585</v>
      </c>
      <c r="G85" s="283">
        <v>1.8599999999999998E-2</v>
      </c>
      <c r="I85" s="167">
        <v>45341</v>
      </c>
      <c r="J85" s="285">
        <v>3286.86</v>
      </c>
      <c r="K85" s="285">
        <v>3285.78</v>
      </c>
      <c r="L85" s="285">
        <v>3287.67</v>
      </c>
      <c r="M85" s="285">
        <v>3285.68</v>
      </c>
      <c r="N85" s="283" t="s">
        <v>1756</v>
      </c>
      <c r="P85" s="167">
        <v>45341</v>
      </c>
      <c r="Q85" s="285">
        <v>4.9564000000000004</v>
      </c>
      <c r="R85" s="285">
        <v>4.9686000000000003</v>
      </c>
      <c r="S85" s="285">
        <v>4.9713000000000003</v>
      </c>
      <c r="T85" s="285">
        <v>4.9513999999999996</v>
      </c>
      <c r="U85" s="283">
        <v>-2E-3</v>
      </c>
      <c r="W85" s="167">
        <v>45336</v>
      </c>
      <c r="X85" s="287">
        <v>127018</v>
      </c>
      <c r="Y85" s="287">
        <v>128026</v>
      </c>
      <c r="Z85" s="287">
        <v>128026</v>
      </c>
      <c r="AA85" s="287">
        <v>126663</v>
      </c>
      <c r="AB85" s="283" t="s">
        <v>1519</v>
      </c>
      <c r="AC85" s="289">
        <v>-7.9000000000000008E-3</v>
      </c>
      <c r="AE85" s="167" t="s">
        <v>2572</v>
      </c>
      <c r="AF85" s="285">
        <v>6.0700000000000004E-2</v>
      </c>
      <c r="AG85" s="285">
        <v>6.1900000000000004E-2</v>
      </c>
      <c r="AH85" s="285">
        <v>4358.3</v>
      </c>
      <c r="AI85" s="285">
        <v>4287.87</v>
      </c>
      <c r="AJ85" s="283">
        <v>4287.87</v>
      </c>
    </row>
    <row r="86" spans="1:36" x14ac:dyDescent="0.3">
      <c r="A86" s="168">
        <v>45337</v>
      </c>
      <c r="B86" s="83">
        <v>44.57</v>
      </c>
      <c r="C86" s="83">
        <v>42.84</v>
      </c>
      <c r="D86" s="83">
        <v>44.72</v>
      </c>
      <c r="E86" s="83">
        <v>41.88</v>
      </c>
      <c r="F86" s="83" t="s">
        <v>2571</v>
      </c>
      <c r="G86" s="284">
        <v>4.7500000000000001E-2</v>
      </c>
      <c r="I86" s="168">
        <v>45338</v>
      </c>
      <c r="J86" s="286">
        <v>3285.12</v>
      </c>
      <c r="K86" s="286">
        <v>3290.97</v>
      </c>
      <c r="L86" s="286">
        <v>3302.45</v>
      </c>
      <c r="M86" s="286">
        <v>3279.53</v>
      </c>
      <c r="N86" s="284" t="s">
        <v>1349</v>
      </c>
      <c r="P86" s="168">
        <v>45338</v>
      </c>
      <c r="Q86" s="286">
        <v>4.9664999999999999</v>
      </c>
      <c r="R86" s="286">
        <v>4.9737</v>
      </c>
      <c r="S86" s="286">
        <v>4.9893999999999998</v>
      </c>
      <c r="T86" s="286">
        <v>4.9593999999999996</v>
      </c>
      <c r="U86" s="284">
        <v>-1.2999999999999999E-3</v>
      </c>
      <c r="W86" s="168">
        <v>45331</v>
      </c>
      <c r="X86" s="288">
        <v>128026</v>
      </c>
      <c r="Y86" s="288">
        <v>128216</v>
      </c>
      <c r="Z86" s="288">
        <v>128896</v>
      </c>
      <c r="AA86" s="288">
        <v>127579</v>
      </c>
      <c r="AB86" s="284" t="s">
        <v>1896</v>
      </c>
      <c r="AC86" s="290">
        <v>-1.5E-3</v>
      </c>
      <c r="AE86" s="168" t="s">
        <v>2570</v>
      </c>
      <c r="AF86" s="286">
        <v>6.1200000000000004E-2</v>
      </c>
      <c r="AG86" s="286">
        <v>6.2400000000000004E-2</v>
      </c>
      <c r="AH86" s="286">
        <v>4331.08</v>
      </c>
      <c r="AI86" s="286">
        <v>4261.87</v>
      </c>
      <c r="AJ86" s="284">
        <v>4261.87</v>
      </c>
    </row>
    <row r="87" spans="1:36" x14ac:dyDescent="0.3">
      <c r="A87" s="167">
        <v>45336</v>
      </c>
      <c r="B87" s="171">
        <v>42.55</v>
      </c>
      <c r="C87" s="171">
        <v>42.36</v>
      </c>
      <c r="D87" s="171">
        <v>42.66</v>
      </c>
      <c r="E87" s="171">
        <v>41.9</v>
      </c>
      <c r="F87" s="171" t="s">
        <v>2458</v>
      </c>
      <c r="G87" s="283">
        <v>4.4999999999999997E-3</v>
      </c>
      <c r="I87" s="167">
        <v>45337</v>
      </c>
      <c r="J87" s="285">
        <v>3289.74</v>
      </c>
      <c r="K87" s="285">
        <v>3266.47</v>
      </c>
      <c r="L87" s="285">
        <v>3291.55</v>
      </c>
      <c r="M87" s="285">
        <v>3266.46</v>
      </c>
      <c r="N87" s="283" t="s">
        <v>2213</v>
      </c>
      <c r="P87" s="167">
        <v>45337</v>
      </c>
      <c r="Q87" s="285">
        <v>4.9732000000000003</v>
      </c>
      <c r="R87" s="285">
        <v>4.9740000000000002</v>
      </c>
      <c r="S87" s="285">
        <v>4.9832999999999998</v>
      </c>
      <c r="T87" s="285">
        <v>4.9564000000000004</v>
      </c>
      <c r="U87" s="283">
        <v>8.0000000000000004E-4</v>
      </c>
      <c r="W87" s="167">
        <v>45330</v>
      </c>
      <c r="X87" s="287">
        <v>128217</v>
      </c>
      <c r="Y87" s="287">
        <v>129950</v>
      </c>
      <c r="Z87" s="287">
        <v>130126</v>
      </c>
      <c r="AA87" s="287">
        <v>127912</v>
      </c>
      <c r="AB87" s="283" t="s">
        <v>1847</v>
      </c>
      <c r="AC87" s="289">
        <v>-1.3299999999999999E-2</v>
      </c>
      <c r="AE87" s="167" t="s">
        <v>2569</v>
      </c>
      <c r="AF87" s="285">
        <v>6.1399999999999996E-2</v>
      </c>
      <c r="AG87" s="285">
        <v>6.2600000000000003E-2</v>
      </c>
      <c r="AH87" s="285">
        <v>4322.16</v>
      </c>
      <c r="AI87" s="285">
        <v>4252.26</v>
      </c>
      <c r="AJ87" s="283">
        <v>4252.26</v>
      </c>
    </row>
    <row r="88" spans="1:36" x14ac:dyDescent="0.3">
      <c r="A88" s="168">
        <v>45331</v>
      </c>
      <c r="B88" s="83">
        <v>42.36</v>
      </c>
      <c r="C88" s="83">
        <v>43.34</v>
      </c>
      <c r="D88" s="83">
        <v>43.44</v>
      </c>
      <c r="E88" s="83">
        <v>42.05</v>
      </c>
      <c r="F88" s="83" t="s">
        <v>1566</v>
      </c>
      <c r="G88" s="284">
        <v>-2.4E-2</v>
      </c>
      <c r="I88" s="168">
        <v>45336</v>
      </c>
      <c r="J88" s="286">
        <v>3265.67</v>
      </c>
      <c r="K88" s="286">
        <v>3239.48</v>
      </c>
      <c r="L88" s="286">
        <v>3266.94</v>
      </c>
      <c r="M88" s="286">
        <v>3235.86</v>
      </c>
      <c r="N88" s="284" t="s">
        <v>1618</v>
      </c>
      <c r="P88" s="168">
        <v>45336</v>
      </c>
      <c r="Q88" s="286">
        <v>4.9690000000000003</v>
      </c>
      <c r="R88" s="286">
        <v>4.9537000000000004</v>
      </c>
      <c r="S88" s="286">
        <v>4.9797000000000002</v>
      </c>
      <c r="T88" s="286">
        <v>4.9535</v>
      </c>
      <c r="U88" s="284">
        <v>3.0999999999999999E-3</v>
      </c>
      <c r="W88" s="168">
        <v>45329</v>
      </c>
      <c r="X88" s="288">
        <v>129950</v>
      </c>
      <c r="Y88" s="288">
        <v>130412</v>
      </c>
      <c r="Z88" s="288">
        <v>130552</v>
      </c>
      <c r="AA88" s="288">
        <v>129426</v>
      </c>
      <c r="AB88" s="284" t="s">
        <v>2137</v>
      </c>
      <c r="AC88" s="290">
        <v>-3.5999999999999999E-3</v>
      </c>
      <c r="AE88" s="168" t="s">
        <v>2568</v>
      </c>
      <c r="AF88" s="286">
        <v>6.1200000000000004E-2</v>
      </c>
      <c r="AG88" s="286">
        <v>6.2400000000000004E-2</v>
      </c>
      <c r="AH88" s="286">
        <v>4335.09</v>
      </c>
      <c r="AI88" s="286">
        <v>4265.8500000000004</v>
      </c>
      <c r="AJ88" s="284">
        <v>4265.8500000000004</v>
      </c>
    </row>
    <row r="89" spans="1:36" x14ac:dyDescent="0.3">
      <c r="A89" s="167">
        <v>45330</v>
      </c>
      <c r="B89" s="171">
        <v>43.4</v>
      </c>
      <c r="C89" s="171">
        <v>44.11</v>
      </c>
      <c r="D89" s="171">
        <v>44.24</v>
      </c>
      <c r="E89" s="171">
        <v>42.77</v>
      </c>
      <c r="F89" s="171" t="s">
        <v>2567</v>
      </c>
      <c r="G89" s="283">
        <v>-1.2999999999999999E-2</v>
      </c>
      <c r="I89" s="167">
        <v>45335</v>
      </c>
      <c r="J89" s="285">
        <v>3240.26</v>
      </c>
      <c r="K89" s="285">
        <v>3282.55</v>
      </c>
      <c r="L89" s="285">
        <v>3285.97</v>
      </c>
      <c r="M89" s="285">
        <v>3223.28</v>
      </c>
      <c r="N89" s="283" t="s">
        <v>1987</v>
      </c>
      <c r="P89" s="167">
        <v>45335</v>
      </c>
      <c r="Q89" s="285">
        <v>4.9535999999999998</v>
      </c>
      <c r="R89" s="285">
        <v>4.9537000000000004</v>
      </c>
      <c r="S89" s="285">
        <v>4.9569999999999999</v>
      </c>
      <c r="T89" s="285">
        <v>4.952</v>
      </c>
      <c r="U89" s="283">
        <v>0</v>
      </c>
      <c r="W89" s="167">
        <v>45328</v>
      </c>
      <c r="X89" s="287">
        <v>130416</v>
      </c>
      <c r="Y89" s="287">
        <v>127593</v>
      </c>
      <c r="Z89" s="287">
        <v>130417</v>
      </c>
      <c r="AA89" s="287">
        <v>127593</v>
      </c>
      <c r="AB89" s="283" t="s">
        <v>1489</v>
      </c>
      <c r="AC89" s="289">
        <v>2.2100000000000002E-2</v>
      </c>
      <c r="AE89" s="167" t="s">
        <v>2566</v>
      </c>
      <c r="AF89" s="285">
        <v>6.1699999999999998E-2</v>
      </c>
      <c r="AG89" s="285">
        <v>6.2899999999999998E-2</v>
      </c>
      <c r="AH89" s="285">
        <v>4308.16</v>
      </c>
      <c r="AI89" s="285">
        <v>4239.6499999999996</v>
      </c>
      <c r="AJ89" s="283">
        <v>4239.6499999999996</v>
      </c>
    </row>
    <row r="90" spans="1:36" x14ac:dyDescent="0.3">
      <c r="A90" s="168">
        <v>45329</v>
      </c>
      <c r="B90" s="83">
        <v>43.97</v>
      </c>
      <c r="C90" s="83">
        <v>43.55</v>
      </c>
      <c r="D90" s="83">
        <v>44.4</v>
      </c>
      <c r="E90" s="83">
        <v>43.1</v>
      </c>
      <c r="F90" s="83" t="s">
        <v>1375</v>
      </c>
      <c r="G90" s="284">
        <v>8.5000000000000006E-3</v>
      </c>
      <c r="I90" s="168">
        <v>45334</v>
      </c>
      <c r="J90" s="286">
        <v>3281.01</v>
      </c>
      <c r="K90" s="286">
        <v>3281.39</v>
      </c>
      <c r="L90" s="286">
        <v>3294.92</v>
      </c>
      <c r="M90" s="286">
        <v>3279.47</v>
      </c>
      <c r="N90" s="284" t="s">
        <v>1621</v>
      </c>
      <c r="P90" s="168">
        <v>45334</v>
      </c>
      <c r="Q90" s="286">
        <v>4.9535999999999998</v>
      </c>
      <c r="R90" s="286">
        <v>4.9537000000000004</v>
      </c>
      <c r="S90" s="286">
        <v>4.9569999999999999</v>
      </c>
      <c r="T90" s="286">
        <v>4.9535</v>
      </c>
      <c r="U90" s="284">
        <v>4.0000000000000002E-4</v>
      </c>
      <c r="W90" s="168">
        <v>45327</v>
      </c>
      <c r="X90" s="288">
        <v>127593</v>
      </c>
      <c r="Y90" s="288">
        <v>127182</v>
      </c>
      <c r="Z90" s="288">
        <v>127834</v>
      </c>
      <c r="AA90" s="288">
        <v>126443</v>
      </c>
      <c r="AB90" s="284" t="s">
        <v>2565</v>
      </c>
      <c r="AC90" s="290">
        <v>3.2000000000000002E-3</v>
      </c>
      <c r="AE90" s="168" t="s">
        <v>2564</v>
      </c>
      <c r="AF90" s="286">
        <v>6.1600000000000002E-2</v>
      </c>
      <c r="AG90" s="286">
        <v>6.2800000000000009E-2</v>
      </c>
      <c r="AH90" s="286">
        <v>4315.33</v>
      </c>
      <c r="AI90" s="286">
        <v>4246.67</v>
      </c>
      <c r="AJ90" s="284">
        <v>4246.67</v>
      </c>
    </row>
    <row r="91" spans="1:36" x14ac:dyDescent="0.3">
      <c r="A91" s="167">
        <v>45328</v>
      </c>
      <c r="B91" s="171">
        <v>43.6</v>
      </c>
      <c r="C91" s="171">
        <v>42.2</v>
      </c>
      <c r="D91" s="171">
        <v>43.77</v>
      </c>
      <c r="E91" s="171">
        <v>42.2</v>
      </c>
      <c r="F91" s="171" t="s">
        <v>2563</v>
      </c>
      <c r="G91" s="283">
        <v>3.6900000000000002E-2</v>
      </c>
      <c r="I91" s="167">
        <v>45331</v>
      </c>
      <c r="J91" s="285">
        <v>3281.42</v>
      </c>
      <c r="K91" s="285">
        <v>3267.12</v>
      </c>
      <c r="L91" s="285">
        <v>3283.4</v>
      </c>
      <c r="M91" s="285">
        <v>3266.29</v>
      </c>
      <c r="N91" s="283" t="s">
        <v>1229</v>
      </c>
      <c r="P91" s="167">
        <v>45331</v>
      </c>
      <c r="Q91" s="285">
        <v>4.9516999999999998</v>
      </c>
      <c r="R91" s="285">
        <v>4.9903000000000004</v>
      </c>
      <c r="S91" s="285">
        <v>4.9917999999999996</v>
      </c>
      <c r="T91" s="285">
        <v>4.9497</v>
      </c>
      <c r="U91" s="283">
        <v>-8.0999999999999996E-3</v>
      </c>
      <c r="W91" s="167">
        <v>45324</v>
      </c>
      <c r="X91" s="287">
        <v>127182</v>
      </c>
      <c r="Y91" s="287">
        <v>128471</v>
      </c>
      <c r="Z91" s="287">
        <v>128878</v>
      </c>
      <c r="AA91" s="287">
        <v>126628</v>
      </c>
      <c r="AB91" s="283" t="s">
        <v>2562</v>
      </c>
      <c r="AC91" s="289">
        <v>-1.01E-2</v>
      </c>
      <c r="AE91" s="167" t="s">
        <v>2561</v>
      </c>
      <c r="AF91" s="285">
        <v>6.2800000000000009E-2</v>
      </c>
      <c r="AG91" s="285">
        <v>6.4000000000000001E-2</v>
      </c>
      <c r="AH91" s="285">
        <v>4249.6899999999996</v>
      </c>
      <c r="AI91" s="285">
        <v>4182.7299999999996</v>
      </c>
      <c r="AJ91" s="283">
        <v>4182.7299999999996</v>
      </c>
    </row>
    <row r="92" spans="1:36" x14ac:dyDescent="0.3">
      <c r="A92" s="168">
        <v>45327</v>
      </c>
      <c r="B92" s="83">
        <v>42.05</v>
      </c>
      <c r="C92" s="83">
        <v>42.2</v>
      </c>
      <c r="D92" s="83">
        <v>42.63</v>
      </c>
      <c r="E92" s="83">
        <v>41.87</v>
      </c>
      <c r="F92" s="83" t="s">
        <v>1530</v>
      </c>
      <c r="G92" s="284">
        <v>-9.4000000000000004E-3</v>
      </c>
      <c r="I92" s="168">
        <v>45330</v>
      </c>
      <c r="J92" s="286">
        <v>3266.14</v>
      </c>
      <c r="K92" s="286">
        <v>3265.08</v>
      </c>
      <c r="L92" s="286">
        <v>3268.48</v>
      </c>
      <c r="M92" s="286">
        <v>3260.65</v>
      </c>
      <c r="N92" s="284" t="s">
        <v>1399</v>
      </c>
      <c r="P92" s="168">
        <v>45330</v>
      </c>
      <c r="Q92" s="286">
        <v>4.992</v>
      </c>
      <c r="R92" s="286">
        <v>4.9717000000000002</v>
      </c>
      <c r="S92" s="286">
        <v>5.0016999999999996</v>
      </c>
      <c r="T92" s="286">
        <v>4.9676</v>
      </c>
      <c r="U92" s="284">
        <v>4.7000000000000002E-3</v>
      </c>
      <c r="W92" s="168">
        <v>45323</v>
      </c>
      <c r="X92" s="288">
        <v>128481</v>
      </c>
      <c r="Y92" s="288">
        <v>127752</v>
      </c>
      <c r="Z92" s="288">
        <v>128481</v>
      </c>
      <c r="AA92" s="288">
        <v>127284</v>
      </c>
      <c r="AB92" s="284" t="s">
        <v>2560</v>
      </c>
      <c r="AC92" s="290">
        <v>5.7000000000000002E-3</v>
      </c>
      <c r="AE92" s="168" t="s">
        <v>2559</v>
      </c>
      <c r="AF92" s="286">
        <v>6.0899999999999996E-2</v>
      </c>
      <c r="AG92" s="286">
        <v>6.2100000000000002E-2</v>
      </c>
      <c r="AH92" s="286">
        <v>4360.96</v>
      </c>
      <c r="AI92" s="286">
        <v>4290.08</v>
      </c>
      <c r="AJ92" s="284">
        <v>4290.08</v>
      </c>
    </row>
    <row r="93" spans="1:36" x14ac:dyDescent="0.3">
      <c r="A93" s="167">
        <v>45324</v>
      </c>
      <c r="B93" s="171">
        <v>42.45</v>
      </c>
      <c r="C93" s="171">
        <v>43.15</v>
      </c>
      <c r="D93" s="171">
        <v>43.26</v>
      </c>
      <c r="E93" s="171">
        <v>41.61</v>
      </c>
      <c r="F93" s="171" t="s">
        <v>2558</v>
      </c>
      <c r="G93" s="283">
        <v>-1.6199999999999999E-2</v>
      </c>
      <c r="I93" s="167">
        <v>45329</v>
      </c>
      <c r="J93" s="285">
        <v>3265.07</v>
      </c>
      <c r="K93" s="285">
        <v>3246.4</v>
      </c>
      <c r="L93" s="285">
        <v>3267.41</v>
      </c>
      <c r="M93" s="285">
        <v>3245.34</v>
      </c>
      <c r="N93" s="283" t="s">
        <v>2201</v>
      </c>
      <c r="P93" s="167">
        <v>45329</v>
      </c>
      <c r="Q93" s="285">
        <v>4.9684999999999997</v>
      </c>
      <c r="R93" s="285">
        <v>4.96</v>
      </c>
      <c r="S93" s="285">
        <v>4.9748999999999999</v>
      </c>
      <c r="T93" s="285">
        <v>4.9524999999999997</v>
      </c>
      <c r="U93" s="283">
        <v>1E-3</v>
      </c>
      <c r="W93" s="167">
        <v>45322</v>
      </c>
      <c r="X93" s="287">
        <v>127752</v>
      </c>
      <c r="Y93" s="287">
        <v>127402</v>
      </c>
      <c r="Z93" s="287">
        <v>129558</v>
      </c>
      <c r="AA93" s="287">
        <v>127326</v>
      </c>
      <c r="AB93" s="283" t="s">
        <v>1498</v>
      </c>
      <c r="AC93" s="289">
        <v>2.8E-3</v>
      </c>
      <c r="AE93" s="167" t="s">
        <v>2557</v>
      </c>
      <c r="AF93" s="285">
        <v>6.13E-2</v>
      </c>
      <c r="AG93" s="285">
        <v>6.25E-2</v>
      </c>
      <c r="AH93" s="285">
        <v>4339.59</v>
      </c>
      <c r="AI93" s="285">
        <v>4270.38</v>
      </c>
      <c r="AJ93" s="283">
        <v>4270.38</v>
      </c>
    </row>
    <row r="94" spans="1:36" x14ac:dyDescent="0.3">
      <c r="A94" s="168">
        <v>45323</v>
      </c>
      <c r="B94" s="83">
        <v>43.15</v>
      </c>
      <c r="C94" s="83">
        <v>44.21</v>
      </c>
      <c r="D94" s="83">
        <v>44.33</v>
      </c>
      <c r="E94" s="83">
        <v>42.79</v>
      </c>
      <c r="F94" s="83" t="s">
        <v>2360</v>
      </c>
      <c r="G94" s="284">
        <v>-1.78E-2</v>
      </c>
      <c r="I94" s="168">
        <v>45328</v>
      </c>
      <c r="J94" s="286">
        <v>3244.51</v>
      </c>
      <c r="K94" s="286">
        <v>3233.34</v>
      </c>
      <c r="L94" s="286">
        <v>3246.09</v>
      </c>
      <c r="M94" s="286">
        <v>3232.61</v>
      </c>
      <c r="N94" s="284" t="s">
        <v>1346</v>
      </c>
      <c r="P94" s="168">
        <v>45328</v>
      </c>
      <c r="Q94" s="286">
        <v>4.9634</v>
      </c>
      <c r="R94" s="286">
        <v>4.9878999999999998</v>
      </c>
      <c r="S94" s="286">
        <v>4.9890999999999996</v>
      </c>
      <c r="T94" s="286">
        <v>4.9508000000000001</v>
      </c>
      <c r="U94" s="284">
        <v>-4.4000000000000003E-3</v>
      </c>
      <c r="W94" s="168">
        <v>45321</v>
      </c>
      <c r="X94" s="288">
        <v>127402</v>
      </c>
      <c r="Y94" s="288">
        <v>128492</v>
      </c>
      <c r="Z94" s="288">
        <v>128492</v>
      </c>
      <c r="AA94" s="288">
        <v>127105</v>
      </c>
      <c r="AB94" s="284" t="s">
        <v>2556</v>
      </c>
      <c r="AC94" s="290">
        <v>-8.6E-3</v>
      </c>
      <c r="AE94" s="168" t="s">
        <v>2555</v>
      </c>
      <c r="AF94" s="286">
        <v>6.1100000000000002E-2</v>
      </c>
      <c r="AG94" s="286">
        <v>6.2300000000000001E-2</v>
      </c>
      <c r="AH94" s="286">
        <v>4226.3599999999997</v>
      </c>
      <c r="AI94" s="286">
        <v>4283.1000000000004</v>
      </c>
      <c r="AJ94" s="284">
        <v>4283.1000000000004</v>
      </c>
    </row>
    <row r="95" spans="1:36" x14ac:dyDescent="0.3">
      <c r="A95" s="167">
        <v>45322</v>
      </c>
      <c r="B95" s="171">
        <v>43.93</v>
      </c>
      <c r="C95" s="171">
        <v>44</v>
      </c>
      <c r="D95" s="171">
        <v>44.74</v>
      </c>
      <c r="E95" s="171">
        <v>43.76</v>
      </c>
      <c r="F95" s="171" t="s">
        <v>1811</v>
      </c>
      <c r="G95" s="283">
        <v>-3.5999999999999999E-3</v>
      </c>
      <c r="I95" s="167">
        <v>45327</v>
      </c>
      <c r="J95" s="285">
        <v>3233.53</v>
      </c>
      <c r="K95" s="285">
        <v>3246</v>
      </c>
      <c r="L95" s="285">
        <v>3248.52</v>
      </c>
      <c r="M95" s="285">
        <v>3220.67</v>
      </c>
      <c r="N95" s="283" t="s">
        <v>1225</v>
      </c>
      <c r="P95" s="167">
        <v>45327</v>
      </c>
      <c r="Q95" s="285">
        <v>4.9854000000000003</v>
      </c>
      <c r="R95" s="285">
        <v>4.9663000000000004</v>
      </c>
      <c r="S95" s="285">
        <v>5.0183999999999997</v>
      </c>
      <c r="T95" s="285">
        <v>4.9661</v>
      </c>
      <c r="U95" s="283">
        <v>3.0999999999999999E-3</v>
      </c>
      <c r="W95" s="167">
        <v>45320</v>
      </c>
      <c r="X95" s="287">
        <v>128503</v>
      </c>
      <c r="Y95" s="287">
        <v>128970</v>
      </c>
      <c r="Z95" s="287">
        <v>129068</v>
      </c>
      <c r="AA95" s="287">
        <v>127853</v>
      </c>
      <c r="AB95" s="283" t="s">
        <v>2036</v>
      </c>
      <c r="AC95" s="289">
        <v>-3.5999999999999999E-3</v>
      </c>
      <c r="AE95" s="167" t="s">
        <v>2554</v>
      </c>
      <c r="AF95" s="285">
        <v>6.1600000000000002E-2</v>
      </c>
      <c r="AG95" s="285">
        <v>6.2800000000000009E-2</v>
      </c>
      <c r="AH95" s="285">
        <v>4199.32</v>
      </c>
      <c r="AI95" s="285">
        <v>4130.62</v>
      </c>
      <c r="AJ95" s="283">
        <v>4130.62</v>
      </c>
    </row>
    <row r="96" spans="1:36" x14ac:dyDescent="0.3">
      <c r="A96" s="168">
        <v>45321</v>
      </c>
      <c r="B96" s="83">
        <v>44.09</v>
      </c>
      <c r="C96" s="83">
        <v>44.48</v>
      </c>
      <c r="D96" s="83">
        <v>44.5</v>
      </c>
      <c r="E96" s="83">
        <v>43.51</v>
      </c>
      <c r="F96" s="83" t="s">
        <v>1735</v>
      </c>
      <c r="G96" s="284">
        <v>-1.4999999999999999E-2</v>
      </c>
      <c r="I96" s="168">
        <v>45324</v>
      </c>
      <c r="J96" s="286">
        <v>3247.64</v>
      </c>
      <c r="K96" s="286">
        <v>3229.58</v>
      </c>
      <c r="L96" s="286">
        <v>3254.35</v>
      </c>
      <c r="M96" s="286">
        <v>3218.51</v>
      </c>
      <c r="N96" s="284" t="s">
        <v>1367</v>
      </c>
      <c r="P96" s="168">
        <v>45324</v>
      </c>
      <c r="Q96" s="286">
        <v>4.9699</v>
      </c>
      <c r="R96" s="286">
        <v>4.9166999999999996</v>
      </c>
      <c r="S96" s="286">
        <v>4.9763999999999999</v>
      </c>
      <c r="T96" s="286">
        <v>4.9071999999999996</v>
      </c>
      <c r="U96" s="284">
        <v>1.09E-2</v>
      </c>
      <c r="W96" s="168">
        <v>45317</v>
      </c>
      <c r="X96" s="288">
        <v>128967</v>
      </c>
      <c r="Y96" s="288">
        <v>128196</v>
      </c>
      <c r="Z96" s="288">
        <v>129252</v>
      </c>
      <c r="AA96" s="288">
        <v>127869</v>
      </c>
      <c r="AB96" s="284" t="s">
        <v>2553</v>
      </c>
      <c r="AC96" s="290">
        <v>6.1999999999999998E-3</v>
      </c>
      <c r="AE96" s="168" t="s">
        <v>2552</v>
      </c>
      <c r="AF96" s="286">
        <v>6.1100000000000002E-2</v>
      </c>
      <c r="AG96" s="286">
        <v>6.2300000000000001E-2</v>
      </c>
      <c r="AH96" s="286">
        <v>4229.33</v>
      </c>
      <c r="AI96" s="286">
        <v>4159.8999999999996</v>
      </c>
      <c r="AJ96" s="284">
        <v>4159.8999999999996</v>
      </c>
    </row>
    <row r="97" spans="1:36" x14ac:dyDescent="0.3">
      <c r="A97" s="167">
        <v>45320</v>
      </c>
      <c r="B97" s="171">
        <v>44.76</v>
      </c>
      <c r="C97" s="171">
        <v>45.77</v>
      </c>
      <c r="D97" s="171">
        <v>45.79</v>
      </c>
      <c r="E97" s="171">
        <v>44.21</v>
      </c>
      <c r="F97" s="171" t="s">
        <v>2277</v>
      </c>
      <c r="G97" s="283">
        <v>-2.0400000000000001E-2</v>
      </c>
      <c r="I97" s="167">
        <v>45323</v>
      </c>
      <c r="J97" s="285">
        <v>3226.8</v>
      </c>
      <c r="K97" s="285">
        <v>3200.87</v>
      </c>
      <c r="L97" s="285">
        <v>3229.65</v>
      </c>
      <c r="M97" s="285">
        <v>3193.72</v>
      </c>
      <c r="N97" s="283" t="s">
        <v>2551</v>
      </c>
      <c r="P97" s="167">
        <v>45323</v>
      </c>
      <c r="Q97" s="285">
        <v>4.9162999999999997</v>
      </c>
      <c r="R97" s="285">
        <v>4.9496000000000002</v>
      </c>
      <c r="S97" s="285">
        <v>4.9696999999999996</v>
      </c>
      <c r="T97" s="285">
        <v>4.91</v>
      </c>
      <c r="U97" s="283">
        <v>-7.3000000000000001E-3</v>
      </c>
      <c r="W97" s="167">
        <v>45316</v>
      </c>
      <c r="X97" s="287">
        <v>128169</v>
      </c>
      <c r="Y97" s="287">
        <v>127815</v>
      </c>
      <c r="Z97" s="287">
        <v>128697</v>
      </c>
      <c r="AA97" s="287">
        <v>127803</v>
      </c>
      <c r="AB97" s="283" t="s">
        <v>2036</v>
      </c>
      <c r="AC97" s="289">
        <v>2.8E-3</v>
      </c>
      <c r="AE97" s="167" t="s">
        <v>2550</v>
      </c>
      <c r="AF97" s="285">
        <v>6.1100000000000002E-2</v>
      </c>
      <c r="AG97" s="285">
        <v>6.2300000000000001E-2</v>
      </c>
      <c r="AH97" s="285">
        <v>4231.8</v>
      </c>
      <c r="AI97" s="285">
        <v>4161.38</v>
      </c>
      <c r="AJ97" s="283">
        <v>4161.38</v>
      </c>
    </row>
    <row r="98" spans="1:36" x14ac:dyDescent="0.3">
      <c r="A98" s="168">
        <v>45317</v>
      </c>
      <c r="B98" s="83">
        <v>45.69</v>
      </c>
      <c r="C98" s="83">
        <v>44.6</v>
      </c>
      <c r="D98" s="83">
        <v>45.69</v>
      </c>
      <c r="E98" s="83">
        <v>44.25</v>
      </c>
      <c r="F98" s="83" t="s">
        <v>1439</v>
      </c>
      <c r="G98" s="284">
        <v>1.9900000000000001E-2</v>
      </c>
      <c r="I98" s="168">
        <v>45322</v>
      </c>
      <c r="J98" s="286">
        <v>3205.32</v>
      </c>
      <c r="K98" s="286">
        <v>3238.26</v>
      </c>
      <c r="L98" s="286">
        <v>3243.53</v>
      </c>
      <c r="M98" s="286">
        <v>3199.7</v>
      </c>
      <c r="N98" s="284" t="s">
        <v>2549</v>
      </c>
      <c r="P98" s="168">
        <v>45322</v>
      </c>
      <c r="Q98" s="286">
        <v>4.9526000000000003</v>
      </c>
      <c r="R98" s="286">
        <v>4.9500999999999999</v>
      </c>
      <c r="S98" s="286">
        <v>4.9668000000000001</v>
      </c>
      <c r="T98" s="286">
        <v>4.9249999999999998</v>
      </c>
      <c r="U98" s="284">
        <v>2.0000000000000001E-4</v>
      </c>
      <c r="W98" s="168">
        <v>45315</v>
      </c>
      <c r="X98" s="288">
        <v>127816</v>
      </c>
      <c r="Y98" s="288">
        <v>128275</v>
      </c>
      <c r="Z98" s="288">
        <v>129446</v>
      </c>
      <c r="AA98" s="288">
        <v>127680</v>
      </c>
      <c r="AB98" s="284" t="s">
        <v>2548</v>
      </c>
      <c r="AC98" s="290">
        <v>-3.5000000000000001E-3</v>
      </c>
      <c r="AE98" s="168" t="s">
        <v>2547</v>
      </c>
      <c r="AF98" s="286">
        <v>6.1200000000000004E-2</v>
      </c>
      <c r="AG98" s="286">
        <v>6.2400000000000004E-2</v>
      </c>
      <c r="AH98" s="286">
        <v>4227.5600000000004</v>
      </c>
      <c r="AI98" s="286">
        <v>4158.24</v>
      </c>
      <c r="AJ98" s="284">
        <v>4158.24</v>
      </c>
    </row>
    <row r="99" spans="1:36" x14ac:dyDescent="0.3">
      <c r="A99" s="167">
        <v>45316</v>
      </c>
      <c r="B99" s="171">
        <v>44.8</v>
      </c>
      <c r="C99" s="171">
        <v>44.87</v>
      </c>
      <c r="D99" s="171">
        <v>44.98</v>
      </c>
      <c r="E99" s="171">
        <v>44.3</v>
      </c>
      <c r="F99" s="171" t="s">
        <v>2455</v>
      </c>
      <c r="G99" s="283">
        <v>4.4999999999999997E-3</v>
      </c>
      <c r="I99" s="167">
        <v>45321</v>
      </c>
      <c r="J99" s="285">
        <v>3236.76</v>
      </c>
      <c r="K99" s="285">
        <v>3238.73</v>
      </c>
      <c r="L99" s="285">
        <v>3241.72</v>
      </c>
      <c r="M99" s="285">
        <v>3232.77</v>
      </c>
      <c r="N99" s="283" t="s">
        <v>1463</v>
      </c>
      <c r="P99" s="167">
        <v>45321</v>
      </c>
      <c r="Q99" s="285">
        <v>4.9516</v>
      </c>
      <c r="R99" s="285">
        <v>4.9432999999999998</v>
      </c>
      <c r="S99" s="285">
        <v>4.9819000000000004</v>
      </c>
      <c r="T99" s="285">
        <v>4.9332000000000003</v>
      </c>
      <c r="U99" s="283">
        <v>0</v>
      </c>
      <c r="W99" s="167">
        <v>45314</v>
      </c>
      <c r="X99" s="287">
        <v>128263</v>
      </c>
      <c r="Y99" s="287">
        <v>126612</v>
      </c>
      <c r="Z99" s="287">
        <v>128331</v>
      </c>
      <c r="AA99" s="287">
        <v>126612</v>
      </c>
      <c r="AB99" s="283" t="s">
        <v>1277</v>
      </c>
      <c r="AC99" s="289">
        <v>1.3100000000000001E-2</v>
      </c>
      <c r="AE99" s="167" t="s">
        <v>2546</v>
      </c>
      <c r="AF99" s="285">
        <v>6.0599999999999994E-2</v>
      </c>
      <c r="AG99" s="285">
        <v>6.1799999999999994E-2</v>
      </c>
      <c r="AH99" s="285">
        <v>4263.63</v>
      </c>
      <c r="AI99" s="285">
        <v>4193.41</v>
      </c>
      <c r="AJ99" s="283">
        <v>4193.41</v>
      </c>
    </row>
    <row r="100" spans="1:36" x14ac:dyDescent="0.3">
      <c r="A100" s="168">
        <v>45315</v>
      </c>
      <c r="B100" s="83">
        <v>44.6</v>
      </c>
      <c r="C100" s="83">
        <v>44.4</v>
      </c>
      <c r="D100" s="83">
        <v>45.06</v>
      </c>
      <c r="E100" s="83">
        <v>44.13</v>
      </c>
      <c r="F100" s="83" t="s">
        <v>2545</v>
      </c>
      <c r="G100" s="284">
        <v>6.1000000000000004E-3</v>
      </c>
      <c r="I100" s="168">
        <v>45320</v>
      </c>
      <c r="J100" s="286">
        <v>3236.32</v>
      </c>
      <c r="K100" s="286">
        <v>3215.14</v>
      </c>
      <c r="L100" s="286">
        <v>3239.39</v>
      </c>
      <c r="M100" s="286">
        <v>3214.84</v>
      </c>
      <c r="N100" s="284" t="s">
        <v>2544</v>
      </c>
      <c r="P100" s="168">
        <v>45320</v>
      </c>
      <c r="Q100" s="286">
        <v>4.9518000000000004</v>
      </c>
      <c r="R100" s="286">
        <v>4.9175000000000004</v>
      </c>
      <c r="S100" s="286">
        <v>4.9584999999999999</v>
      </c>
      <c r="T100" s="286">
        <v>4.9055999999999997</v>
      </c>
      <c r="U100" s="284">
        <v>7.1000000000000004E-3</v>
      </c>
      <c r="W100" s="168">
        <v>45313</v>
      </c>
      <c r="X100" s="288">
        <v>126602</v>
      </c>
      <c r="Y100" s="288">
        <v>127636</v>
      </c>
      <c r="Z100" s="288">
        <v>127843</v>
      </c>
      <c r="AA100" s="288">
        <v>125876</v>
      </c>
      <c r="AB100" s="284" t="s">
        <v>2474</v>
      </c>
      <c r="AC100" s="290">
        <v>-8.0999999999999996E-3</v>
      </c>
      <c r="AE100" s="168" t="s">
        <v>2543</v>
      </c>
      <c r="AF100" s="286">
        <v>6.1399999999999996E-2</v>
      </c>
      <c r="AG100" s="286">
        <v>6.2600000000000003E-2</v>
      </c>
      <c r="AH100" s="286">
        <v>4219.1000000000004</v>
      </c>
      <c r="AI100" s="286">
        <v>4150.0600000000004</v>
      </c>
      <c r="AJ100" s="284">
        <v>4150.0600000000004</v>
      </c>
    </row>
    <row r="101" spans="1:36" x14ac:dyDescent="0.3">
      <c r="A101" s="167">
        <v>45314</v>
      </c>
      <c r="B101" s="171">
        <v>44.33</v>
      </c>
      <c r="C101" s="171">
        <v>44.14</v>
      </c>
      <c r="D101" s="171">
        <v>44.54</v>
      </c>
      <c r="E101" s="171">
        <v>44</v>
      </c>
      <c r="F101" s="171" t="s">
        <v>2427</v>
      </c>
      <c r="G101" s="283">
        <v>3.8E-3</v>
      </c>
      <c r="I101" s="167">
        <v>45317</v>
      </c>
      <c r="J101" s="285">
        <v>3216.23</v>
      </c>
      <c r="K101" s="285">
        <v>3213.13</v>
      </c>
      <c r="L101" s="285">
        <v>3223.81</v>
      </c>
      <c r="M101" s="285">
        <v>3208.55</v>
      </c>
      <c r="N101" s="283" t="s">
        <v>1426</v>
      </c>
      <c r="P101" s="167">
        <v>45317</v>
      </c>
      <c r="Q101" s="285">
        <v>4.9168000000000003</v>
      </c>
      <c r="R101" s="285">
        <v>4.9062999999999999</v>
      </c>
      <c r="S101" s="285">
        <v>4.9210000000000003</v>
      </c>
      <c r="T101" s="285">
        <v>4.9017999999999997</v>
      </c>
      <c r="U101" s="283">
        <v>1E-4</v>
      </c>
      <c r="W101" s="167">
        <v>45310</v>
      </c>
      <c r="X101" s="287">
        <v>127636</v>
      </c>
      <c r="Y101" s="287">
        <v>127319</v>
      </c>
      <c r="Z101" s="287">
        <v>127820</v>
      </c>
      <c r="AA101" s="287">
        <v>126533</v>
      </c>
      <c r="AB101" s="283" t="s">
        <v>2043</v>
      </c>
      <c r="AC101" s="289">
        <v>2.5000000000000001E-3</v>
      </c>
      <c r="AE101" s="167" t="s">
        <v>2542</v>
      </c>
      <c r="AF101" s="285">
        <v>6.0999999999999999E-2</v>
      </c>
      <c r="AG101" s="285">
        <v>6.2199999999999998E-2</v>
      </c>
      <c r="AH101" s="285">
        <v>4243.5</v>
      </c>
      <c r="AI101" s="285">
        <v>4173.87</v>
      </c>
      <c r="AJ101" s="283">
        <v>4173.87</v>
      </c>
    </row>
    <row r="102" spans="1:36" x14ac:dyDescent="0.3">
      <c r="A102" s="168">
        <v>45313</v>
      </c>
      <c r="B102" s="83">
        <v>44.16</v>
      </c>
      <c r="C102" s="83">
        <v>44.65</v>
      </c>
      <c r="D102" s="83">
        <v>44.77</v>
      </c>
      <c r="E102" s="83">
        <v>43.8</v>
      </c>
      <c r="F102" s="83" t="s">
        <v>2541</v>
      </c>
      <c r="G102" s="284">
        <v>-1.01E-2</v>
      </c>
      <c r="I102" s="168">
        <v>45316</v>
      </c>
      <c r="J102" s="286">
        <v>3212.32</v>
      </c>
      <c r="K102" s="286">
        <v>3201.74</v>
      </c>
      <c r="L102" s="286">
        <v>3215.88</v>
      </c>
      <c r="M102" s="286">
        <v>3199.36</v>
      </c>
      <c r="N102" s="284" t="s">
        <v>2235</v>
      </c>
      <c r="P102" s="168">
        <v>45316</v>
      </c>
      <c r="Q102" s="286">
        <v>4.9165000000000001</v>
      </c>
      <c r="R102" s="286">
        <v>4.9306000000000001</v>
      </c>
      <c r="S102" s="286">
        <v>4.9417999999999997</v>
      </c>
      <c r="T102" s="286">
        <v>4.9066000000000001</v>
      </c>
      <c r="U102" s="284">
        <v>-3.3999999999999998E-3</v>
      </c>
      <c r="W102" s="168">
        <v>45309</v>
      </c>
      <c r="X102" s="288">
        <v>127316</v>
      </c>
      <c r="Y102" s="288">
        <v>128524</v>
      </c>
      <c r="Z102" s="288">
        <v>129047</v>
      </c>
      <c r="AA102" s="288">
        <v>127316</v>
      </c>
      <c r="AB102" s="284" t="s">
        <v>2346</v>
      </c>
      <c r="AC102" s="290">
        <v>-9.4000000000000004E-3</v>
      </c>
      <c r="AE102" s="168" t="s">
        <v>2540</v>
      </c>
      <c r="AF102" s="286">
        <v>6.0700000000000004E-2</v>
      </c>
      <c r="AG102" s="286">
        <v>6.1900000000000004E-2</v>
      </c>
      <c r="AH102" s="286">
        <v>4263.29</v>
      </c>
      <c r="AI102" s="286">
        <v>4192.22</v>
      </c>
      <c r="AJ102" s="284">
        <v>4192.22</v>
      </c>
    </row>
    <row r="103" spans="1:36" x14ac:dyDescent="0.3">
      <c r="A103" s="167">
        <v>45310</v>
      </c>
      <c r="B103" s="171">
        <v>44.61</v>
      </c>
      <c r="C103" s="171">
        <v>44.64</v>
      </c>
      <c r="D103" s="171">
        <v>44.87</v>
      </c>
      <c r="E103" s="171">
        <v>44.28</v>
      </c>
      <c r="F103" s="171" t="s">
        <v>2539</v>
      </c>
      <c r="G103" s="283">
        <v>-3.3999999999999998E-3</v>
      </c>
      <c r="I103" s="167">
        <v>45315</v>
      </c>
      <c r="J103" s="285">
        <v>3203.55</v>
      </c>
      <c r="K103" s="285">
        <v>3192.42</v>
      </c>
      <c r="L103" s="285">
        <v>3220.93</v>
      </c>
      <c r="M103" s="285">
        <v>3191.21</v>
      </c>
      <c r="N103" s="283" t="s">
        <v>2331</v>
      </c>
      <c r="P103" s="167">
        <v>45315</v>
      </c>
      <c r="Q103" s="285">
        <v>4.9335000000000004</v>
      </c>
      <c r="R103" s="285">
        <v>4.9524999999999997</v>
      </c>
      <c r="S103" s="285">
        <v>4.9538000000000002</v>
      </c>
      <c r="T103" s="285">
        <v>4.9074999999999998</v>
      </c>
      <c r="U103" s="283">
        <v>-4.0000000000000001E-3</v>
      </c>
      <c r="W103" s="167">
        <v>45308</v>
      </c>
      <c r="X103" s="287">
        <v>128524</v>
      </c>
      <c r="Y103" s="287">
        <v>129293</v>
      </c>
      <c r="Z103" s="287">
        <v>129296</v>
      </c>
      <c r="AA103" s="287">
        <v>128312</v>
      </c>
      <c r="AB103" s="283" t="s">
        <v>2272</v>
      </c>
      <c r="AC103" s="289">
        <v>-6.0000000000000001E-3</v>
      </c>
      <c r="AE103" s="167" t="s">
        <v>2538</v>
      </c>
      <c r="AF103" s="285">
        <v>6.1200000000000004E-2</v>
      </c>
      <c r="AG103" s="285">
        <v>6.2400000000000004E-2</v>
      </c>
      <c r="AH103" s="285">
        <v>4235.97</v>
      </c>
      <c r="AI103" s="285">
        <v>4166.62</v>
      </c>
      <c r="AJ103" s="283">
        <v>4166.62</v>
      </c>
    </row>
    <row r="104" spans="1:36" x14ac:dyDescent="0.3">
      <c r="A104" s="168">
        <v>45309</v>
      </c>
      <c r="B104" s="83">
        <v>44.76</v>
      </c>
      <c r="C104" s="83">
        <v>45.25</v>
      </c>
      <c r="D104" s="83">
        <v>45.57</v>
      </c>
      <c r="E104" s="83">
        <v>44.44</v>
      </c>
      <c r="F104" s="83" t="s">
        <v>1523</v>
      </c>
      <c r="G104" s="284">
        <v>-6.4000000000000003E-3</v>
      </c>
      <c r="I104" s="168">
        <v>45314</v>
      </c>
      <c r="J104" s="286">
        <v>3190.9</v>
      </c>
      <c r="K104" s="286">
        <v>3188.86</v>
      </c>
      <c r="L104" s="286">
        <v>3192.78</v>
      </c>
      <c r="M104" s="286">
        <v>3181.32</v>
      </c>
      <c r="N104" s="284" t="s">
        <v>1304</v>
      </c>
      <c r="P104" s="168">
        <v>45314</v>
      </c>
      <c r="Q104" s="286">
        <v>4.9535</v>
      </c>
      <c r="R104" s="286">
        <v>4.9885000000000002</v>
      </c>
      <c r="S104" s="286">
        <v>5.0023</v>
      </c>
      <c r="T104" s="286">
        <v>4.9478999999999997</v>
      </c>
      <c r="U104" s="284">
        <v>-7.1999999999999998E-3</v>
      </c>
      <c r="W104" s="168">
        <v>45307</v>
      </c>
      <c r="X104" s="288">
        <v>129294</v>
      </c>
      <c r="Y104" s="288">
        <v>131515</v>
      </c>
      <c r="Z104" s="288">
        <v>131517</v>
      </c>
      <c r="AA104" s="288">
        <v>129147</v>
      </c>
      <c r="AB104" s="284" t="s">
        <v>2537</v>
      </c>
      <c r="AC104" s="290">
        <v>-1.6899999999999998E-2</v>
      </c>
      <c r="AE104" s="168" t="s">
        <v>2536</v>
      </c>
      <c r="AF104" s="286">
        <v>6.0999999999999999E-2</v>
      </c>
      <c r="AG104" s="286">
        <v>6.2199999999999998E-2</v>
      </c>
      <c r="AH104" s="286">
        <v>4248.95</v>
      </c>
      <c r="AI104" s="286">
        <v>4179.29</v>
      </c>
      <c r="AJ104" s="284">
        <v>4179.29</v>
      </c>
    </row>
    <row r="105" spans="1:36" x14ac:dyDescent="0.3">
      <c r="A105" s="167">
        <v>45308</v>
      </c>
      <c r="B105" s="171">
        <v>45.05</v>
      </c>
      <c r="C105" s="171">
        <v>45.49</v>
      </c>
      <c r="D105" s="171">
        <v>45.49</v>
      </c>
      <c r="E105" s="171">
        <v>44.27</v>
      </c>
      <c r="F105" s="171" t="s">
        <v>2535</v>
      </c>
      <c r="G105" s="283">
        <v>-1.8100000000000002E-2</v>
      </c>
      <c r="I105" s="167">
        <v>45313</v>
      </c>
      <c r="J105" s="285">
        <v>3189.1</v>
      </c>
      <c r="K105" s="285">
        <v>3176.23</v>
      </c>
      <c r="L105" s="285">
        <v>3198.34</v>
      </c>
      <c r="M105" s="285">
        <v>3176.23</v>
      </c>
      <c r="N105" s="283" t="s">
        <v>1980</v>
      </c>
      <c r="P105" s="167">
        <v>45313</v>
      </c>
      <c r="Q105" s="285">
        <v>4.9892000000000003</v>
      </c>
      <c r="R105" s="285">
        <v>4.9337999999999997</v>
      </c>
      <c r="S105" s="285">
        <v>4.9931999999999999</v>
      </c>
      <c r="T105" s="285">
        <v>4.923</v>
      </c>
      <c r="U105" s="283">
        <v>1.18E-2</v>
      </c>
      <c r="W105" s="167">
        <v>45306</v>
      </c>
      <c r="X105" s="287">
        <v>131521</v>
      </c>
      <c r="Y105" s="287">
        <v>130988</v>
      </c>
      <c r="Z105" s="287">
        <v>131606</v>
      </c>
      <c r="AA105" s="287">
        <v>130253</v>
      </c>
      <c r="AB105" s="283" t="s">
        <v>2534</v>
      </c>
      <c r="AC105" s="289">
        <v>4.1000000000000003E-3</v>
      </c>
      <c r="AE105" s="167" t="s">
        <v>2533</v>
      </c>
      <c r="AF105" s="285">
        <v>6.1600000000000002E-2</v>
      </c>
      <c r="AG105" s="285">
        <v>6.2800000000000009E-2</v>
      </c>
      <c r="AH105" s="285">
        <v>4217.7</v>
      </c>
      <c r="AI105" s="285">
        <v>4148.2700000000004</v>
      </c>
      <c r="AJ105" s="283">
        <v>4148.2700000000004</v>
      </c>
    </row>
    <row r="106" spans="1:36" x14ac:dyDescent="0.3">
      <c r="A106" s="168">
        <v>45307</v>
      </c>
      <c r="B106" s="83">
        <v>45.88</v>
      </c>
      <c r="C106" s="83">
        <v>46.95</v>
      </c>
      <c r="D106" s="83">
        <v>47.19</v>
      </c>
      <c r="E106" s="83">
        <v>45.71</v>
      </c>
      <c r="F106" s="83" t="s">
        <v>2459</v>
      </c>
      <c r="G106" s="284">
        <v>-2.53E-2</v>
      </c>
      <c r="I106" s="168">
        <v>45310</v>
      </c>
      <c r="J106" s="286">
        <v>3175.36</v>
      </c>
      <c r="K106" s="286">
        <v>3144.93</v>
      </c>
      <c r="L106" s="286">
        <v>3176.49</v>
      </c>
      <c r="M106" s="286">
        <v>3144.9</v>
      </c>
      <c r="N106" s="284" t="s">
        <v>1480</v>
      </c>
      <c r="P106" s="168">
        <v>45310</v>
      </c>
      <c r="Q106" s="286">
        <v>4.931</v>
      </c>
      <c r="R106" s="286">
        <v>4.9298999999999999</v>
      </c>
      <c r="S106" s="286">
        <v>4.9396000000000004</v>
      </c>
      <c r="T106" s="286">
        <v>4.9020000000000001</v>
      </c>
      <c r="U106" s="284">
        <v>8.0000000000000004E-4</v>
      </c>
      <c r="W106" s="168">
        <v>45303</v>
      </c>
      <c r="X106" s="288">
        <v>130988</v>
      </c>
      <c r="Y106" s="288">
        <v>130652</v>
      </c>
      <c r="Z106" s="288">
        <v>131927</v>
      </c>
      <c r="AA106" s="288">
        <v>130410</v>
      </c>
      <c r="AB106" s="284" t="s">
        <v>1401</v>
      </c>
      <c r="AC106" s="290">
        <v>2.5999999999999999E-3</v>
      </c>
      <c r="AE106" s="168" t="s">
        <v>2532</v>
      </c>
      <c r="AF106" s="286">
        <v>6.1200000000000004E-2</v>
      </c>
      <c r="AG106" s="286">
        <v>6.2400000000000004E-2</v>
      </c>
      <c r="AH106" s="286">
        <v>4243.22</v>
      </c>
      <c r="AI106" s="286">
        <v>4172.62</v>
      </c>
      <c r="AJ106" s="284">
        <v>4172.62</v>
      </c>
    </row>
    <row r="107" spans="1:36" x14ac:dyDescent="0.3">
      <c r="A107" s="167">
        <v>45306</v>
      </c>
      <c r="B107" s="171">
        <v>47.07</v>
      </c>
      <c r="C107" s="171">
        <v>45.76</v>
      </c>
      <c r="D107" s="171">
        <v>47.15</v>
      </c>
      <c r="E107" s="171">
        <v>45.59</v>
      </c>
      <c r="F107" s="171" t="s">
        <v>2531</v>
      </c>
      <c r="G107" s="283">
        <v>2.1499999999999998E-2</v>
      </c>
      <c r="I107" s="167">
        <v>45309</v>
      </c>
      <c r="J107" s="285">
        <v>3143.2</v>
      </c>
      <c r="K107" s="285">
        <v>3122.58</v>
      </c>
      <c r="L107" s="285">
        <v>3145.97</v>
      </c>
      <c r="M107" s="285">
        <v>3121.95</v>
      </c>
      <c r="N107" s="283" t="s">
        <v>1975</v>
      </c>
      <c r="P107" s="167">
        <v>45309</v>
      </c>
      <c r="Q107" s="285">
        <v>4.9268999999999998</v>
      </c>
      <c r="R107" s="285">
        <v>4.9348999999999998</v>
      </c>
      <c r="S107" s="285">
        <v>4.9561000000000002</v>
      </c>
      <c r="T107" s="285">
        <v>4.9127000000000001</v>
      </c>
      <c r="U107" s="283">
        <v>-1.6000000000000001E-3</v>
      </c>
      <c r="W107" s="167">
        <v>45302</v>
      </c>
      <c r="X107" s="287">
        <v>130649</v>
      </c>
      <c r="Y107" s="287">
        <v>130841</v>
      </c>
      <c r="Z107" s="287">
        <v>131308</v>
      </c>
      <c r="AA107" s="287">
        <v>129898</v>
      </c>
      <c r="AB107" s="283" t="s">
        <v>2309</v>
      </c>
      <c r="AC107" s="289">
        <v>-1.5E-3</v>
      </c>
      <c r="AE107" s="167" t="s">
        <v>2530</v>
      </c>
      <c r="AF107" s="285">
        <v>6.1200000000000004E-2</v>
      </c>
      <c r="AG107" s="285">
        <v>6.2400000000000004E-2</v>
      </c>
      <c r="AH107" s="285">
        <v>4244.7700000000004</v>
      </c>
      <c r="AI107" s="285">
        <v>4175.28</v>
      </c>
      <c r="AJ107" s="283">
        <v>4175.28</v>
      </c>
    </row>
    <row r="108" spans="1:36" x14ac:dyDescent="0.3">
      <c r="A108" s="168">
        <v>45303</v>
      </c>
      <c r="B108" s="83">
        <v>46.08</v>
      </c>
      <c r="C108" s="83">
        <v>46.72</v>
      </c>
      <c r="D108" s="83">
        <v>46.85</v>
      </c>
      <c r="E108" s="83">
        <v>45.94</v>
      </c>
      <c r="F108" s="83" t="s">
        <v>1643</v>
      </c>
      <c r="G108" s="284">
        <v>1.2699999999999999E-2</v>
      </c>
      <c r="I108" s="168">
        <v>45308</v>
      </c>
      <c r="J108" s="286">
        <v>3120.44</v>
      </c>
      <c r="K108" s="286">
        <v>3145.23</v>
      </c>
      <c r="L108" s="286">
        <v>3148.14</v>
      </c>
      <c r="M108" s="286">
        <v>3109.55</v>
      </c>
      <c r="N108" s="284" t="s">
        <v>1675</v>
      </c>
      <c r="P108" s="168">
        <v>45308</v>
      </c>
      <c r="Q108" s="286">
        <v>4.9348999999999998</v>
      </c>
      <c r="R108" s="286">
        <v>4.9298999999999999</v>
      </c>
      <c r="S108" s="286">
        <v>4.9546999999999999</v>
      </c>
      <c r="T108" s="286">
        <v>4.9223999999999997</v>
      </c>
      <c r="U108" s="284">
        <v>1.8E-3</v>
      </c>
      <c r="W108" s="168">
        <v>45301</v>
      </c>
      <c r="X108" s="288">
        <v>130841</v>
      </c>
      <c r="Y108" s="288">
        <v>131447</v>
      </c>
      <c r="Z108" s="288">
        <v>131628</v>
      </c>
      <c r="AA108" s="288">
        <v>130438</v>
      </c>
      <c r="AB108" s="284" t="s">
        <v>1706</v>
      </c>
      <c r="AC108" s="290">
        <v>-4.5999999999999999E-3</v>
      </c>
      <c r="AE108" s="168" t="s">
        <v>2529</v>
      </c>
      <c r="AF108" s="286">
        <v>6.1200000000000004E-2</v>
      </c>
      <c r="AG108" s="286">
        <v>6.2400000000000004E-2</v>
      </c>
      <c r="AH108" s="286">
        <v>4246.34</v>
      </c>
      <c r="AI108" s="286">
        <v>4176.84</v>
      </c>
      <c r="AJ108" s="284">
        <v>4176.84</v>
      </c>
    </row>
    <row r="109" spans="1:36" x14ac:dyDescent="0.3">
      <c r="A109" s="167">
        <v>45302</v>
      </c>
      <c r="B109" s="171">
        <v>45.5</v>
      </c>
      <c r="C109" s="171">
        <v>44.68</v>
      </c>
      <c r="D109" s="171">
        <v>45.86</v>
      </c>
      <c r="E109" s="171">
        <v>44.55</v>
      </c>
      <c r="F109" s="171" t="s">
        <v>1847</v>
      </c>
      <c r="G109" s="283">
        <v>2.5899999999999999E-2</v>
      </c>
      <c r="I109" s="167">
        <v>45307</v>
      </c>
      <c r="J109" s="285">
        <v>3146.04</v>
      </c>
      <c r="K109" s="285">
        <v>3164.96</v>
      </c>
      <c r="L109" s="285">
        <v>3164.97</v>
      </c>
      <c r="M109" s="285">
        <v>3135.55</v>
      </c>
      <c r="N109" s="283" t="s">
        <v>1373</v>
      </c>
      <c r="P109" s="167">
        <v>45307</v>
      </c>
      <c r="Q109" s="285">
        <v>4.9257999999999997</v>
      </c>
      <c r="R109" s="285">
        <v>4.8615000000000004</v>
      </c>
      <c r="S109" s="285">
        <v>4.9337999999999997</v>
      </c>
      <c r="T109" s="285">
        <v>4.8613999999999997</v>
      </c>
      <c r="U109" s="283">
        <v>1.2999999999999999E-2</v>
      </c>
      <c r="W109" s="167">
        <v>45300</v>
      </c>
      <c r="X109" s="287">
        <v>131447</v>
      </c>
      <c r="Y109" s="287">
        <v>132424</v>
      </c>
      <c r="Z109" s="287">
        <v>132426</v>
      </c>
      <c r="AA109" s="287">
        <v>131203</v>
      </c>
      <c r="AB109" s="283" t="s">
        <v>1546</v>
      </c>
      <c r="AC109" s="289">
        <v>-7.4000000000000003E-3</v>
      </c>
      <c r="AE109" s="167" t="s">
        <v>2528</v>
      </c>
      <c r="AF109" s="285">
        <v>6.1100000000000002E-2</v>
      </c>
      <c r="AG109" s="285">
        <v>6.2300000000000001E-2</v>
      </c>
      <c r="AH109" s="285">
        <v>4253.6400000000003</v>
      </c>
      <c r="AI109" s="285">
        <v>4183.99</v>
      </c>
      <c r="AJ109" s="283">
        <v>4183.99</v>
      </c>
    </row>
    <row r="110" spans="1:36" x14ac:dyDescent="0.3">
      <c r="A110" s="168">
        <v>45301</v>
      </c>
      <c r="B110" s="83">
        <v>44.35</v>
      </c>
      <c r="C110" s="83">
        <v>46.44</v>
      </c>
      <c r="D110" s="83">
        <v>46.44</v>
      </c>
      <c r="E110" s="83">
        <v>43.92</v>
      </c>
      <c r="F110" s="83" t="s">
        <v>2527</v>
      </c>
      <c r="G110" s="284">
        <v>-4.1700000000000001E-2</v>
      </c>
      <c r="I110" s="168">
        <v>45306</v>
      </c>
      <c r="J110" s="286">
        <v>3165.14</v>
      </c>
      <c r="K110" s="286">
        <v>3166.77</v>
      </c>
      <c r="L110" s="286">
        <v>3170.28</v>
      </c>
      <c r="M110" s="286">
        <v>3163.3</v>
      </c>
      <c r="N110" s="284" t="s">
        <v>1211</v>
      </c>
      <c r="P110" s="168">
        <v>45306</v>
      </c>
      <c r="Q110" s="286">
        <v>4.8628</v>
      </c>
      <c r="R110" s="286">
        <v>4.8566000000000003</v>
      </c>
      <c r="S110" s="286">
        <v>4.8868</v>
      </c>
      <c r="T110" s="286">
        <v>4.8426999999999998</v>
      </c>
      <c r="U110" s="284">
        <v>1.8E-3</v>
      </c>
      <c r="W110" s="168">
        <v>45299</v>
      </c>
      <c r="X110" s="288">
        <v>132427</v>
      </c>
      <c r="Y110" s="288">
        <v>132023</v>
      </c>
      <c r="Z110" s="288">
        <v>132498</v>
      </c>
      <c r="AA110" s="288">
        <v>131015</v>
      </c>
      <c r="AB110" s="284" t="s">
        <v>1448</v>
      </c>
      <c r="AC110" s="290">
        <v>3.0999999999999999E-3</v>
      </c>
      <c r="AE110" s="168" t="s">
        <v>2526</v>
      </c>
      <c r="AF110" s="286">
        <v>6.2E-2</v>
      </c>
      <c r="AG110" s="286">
        <v>6.3200000000000006E-2</v>
      </c>
      <c r="AH110" s="286">
        <v>4203.96</v>
      </c>
      <c r="AI110" s="286">
        <v>4135.6099999999997</v>
      </c>
      <c r="AJ110" s="284">
        <v>4135.6099999999997</v>
      </c>
    </row>
    <row r="111" spans="1:36" x14ac:dyDescent="0.3">
      <c r="A111" s="167">
        <v>45300</v>
      </c>
      <c r="B111" s="171">
        <v>46.28</v>
      </c>
      <c r="C111" s="171">
        <v>46.2</v>
      </c>
      <c r="D111" s="171">
        <v>46.48</v>
      </c>
      <c r="E111" s="171">
        <v>45.46</v>
      </c>
      <c r="F111" s="171" t="s">
        <v>1530</v>
      </c>
      <c r="G111" s="283">
        <v>1.1599999999999999E-2</v>
      </c>
      <c r="I111" s="167">
        <v>45303</v>
      </c>
      <c r="J111" s="285">
        <v>3168.31</v>
      </c>
      <c r="K111" s="285">
        <v>3160.23</v>
      </c>
      <c r="L111" s="285">
        <v>3181.22</v>
      </c>
      <c r="M111" s="285">
        <v>3160.16</v>
      </c>
      <c r="N111" s="283" t="s">
        <v>1364</v>
      </c>
      <c r="P111" s="167">
        <v>45303</v>
      </c>
      <c r="Q111" s="285">
        <v>4.8539000000000003</v>
      </c>
      <c r="R111" s="285">
        <v>4.8712</v>
      </c>
      <c r="S111" s="285">
        <v>4.8787000000000003</v>
      </c>
      <c r="T111" s="285">
        <v>4.8308999999999997</v>
      </c>
      <c r="U111" s="283">
        <v>-3.3E-3</v>
      </c>
      <c r="W111" s="167">
        <v>45296</v>
      </c>
      <c r="X111" s="287">
        <v>132023</v>
      </c>
      <c r="Y111" s="287">
        <v>131218</v>
      </c>
      <c r="Z111" s="287">
        <v>132635</v>
      </c>
      <c r="AA111" s="287">
        <v>130579</v>
      </c>
      <c r="AB111" s="283" t="s">
        <v>2414</v>
      </c>
      <c r="AC111" s="289">
        <v>6.1000000000000004E-3</v>
      </c>
      <c r="AE111" s="167" t="s">
        <v>2525</v>
      </c>
      <c r="AF111" s="285">
        <v>6.1699999999999998E-2</v>
      </c>
      <c r="AG111" s="285">
        <v>6.2899999999999998E-2</v>
      </c>
      <c r="AH111" s="285">
        <v>4223.6000000000004</v>
      </c>
      <c r="AI111" s="285">
        <v>4153.7</v>
      </c>
      <c r="AJ111" s="283">
        <v>4153.7</v>
      </c>
    </row>
    <row r="112" spans="1:36" x14ac:dyDescent="0.3">
      <c r="A112" s="168">
        <v>45299</v>
      </c>
      <c r="B112" s="83">
        <v>45.75</v>
      </c>
      <c r="C112" s="83">
        <v>45.5</v>
      </c>
      <c r="D112" s="83">
        <v>45.81</v>
      </c>
      <c r="E112" s="83">
        <v>44.21</v>
      </c>
      <c r="F112" s="83" t="s">
        <v>2196</v>
      </c>
      <c r="G112" s="284">
        <v>-7.1999999999999998E-3</v>
      </c>
      <c r="I112" s="168">
        <v>45302</v>
      </c>
      <c r="J112" s="286">
        <v>3157.32</v>
      </c>
      <c r="K112" s="286">
        <v>3163.6</v>
      </c>
      <c r="L112" s="286">
        <v>3173.63</v>
      </c>
      <c r="M112" s="286">
        <v>3137.14</v>
      </c>
      <c r="N112" s="284" t="s">
        <v>1528</v>
      </c>
      <c r="P112" s="168">
        <v>45302</v>
      </c>
      <c r="Q112" s="286">
        <v>4.87</v>
      </c>
      <c r="R112" s="286">
        <v>4.8929999999999998</v>
      </c>
      <c r="S112" s="286">
        <v>4.8951000000000002</v>
      </c>
      <c r="T112" s="286">
        <v>4.8579999999999997</v>
      </c>
      <c r="U112" s="284">
        <v>-4.3E-3</v>
      </c>
      <c r="W112" s="168">
        <v>45295</v>
      </c>
      <c r="X112" s="288">
        <v>131226</v>
      </c>
      <c r="Y112" s="288">
        <v>132831</v>
      </c>
      <c r="Z112" s="288">
        <v>132885</v>
      </c>
      <c r="AA112" s="288">
        <v>131024</v>
      </c>
      <c r="AB112" s="284" t="s">
        <v>1261</v>
      </c>
      <c r="AC112" s="290">
        <v>-1.21E-2</v>
      </c>
      <c r="AE112" s="168" t="s">
        <v>2524</v>
      </c>
      <c r="AF112" s="286">
        <v>6.2E-2</v>
      </c>
      <c r="AG112" s="286">
        <v>6.3200000000000006E-2</v>
      </c>
      <c r="AH112" s="286">
        <v>4208.1899999999996</v>
      </c>
      <c r="AI112" s="286">
        <v>4139.8</v>
      </c>
      <c r="AJ112" s="284">
        <v>4139.8</v>
      </c>
    </row>
    <row r="113" spans="1:36" x14ac:dyDescent="0.3">
      <c r="A113" s="167">
        <v>45296</v>
      </c>
      <c r="B113" s="171">
        <v>46.08</v>
      </c>
      <c r="C113" s="171">
        <v>45.85</v>
      </c>
      <c r="D113" s="171">
        <v>46.95</v>
      </c>
      <c r="E113" s="171">
        <v>45.85</v>
      </c>
      <c r="F113" s="171" t="s">
        <v>2316</v>
      </c>
      <c r="G113" s="283">
        <v>-7.3000000000000001E-3</v>
      </c>
      <c r="I113" s="167">
        <v>45301</v>
      </c>
      <c r="J113" s="285">
        <v>3161.5</v>
      </c>
      <c r="K113" s="285">
        <v>3147.49</v>
      </c>
      <c r="L113" s="285">
        <v>3165.2</v>
      </c>
      <c r="M113" s="285">
        <v>3146.86</v>
      </c>
      <c r="N113" s="283" t="s">
        <v>2020</v>
      </c>
      <c r="P113" s="167">
        <v>45301</v>
      </c>
      <c r="Q113" s="285">
        <v>4.8909000000000002</v>
      </c>
      <c r="R113" s="285">
        <v>4.9071999999999996</v>
      </c>
      <c r="S113" s="285">
        <v>4.9071999999999996</v>
      </c>
      <c r="T113" s="285">
        <v>4.8776000000000002</v>
      </c>
      <c r="U113" s="283">
        <v>-2.5999999999999999E-3</v>
      </c>
      <c r="W113" s="167">
        <v>45294</v>
      </c>
      <c r="X113" s="287">
        <v>132834</v>
      </c>
      <c r="Y113" s="287">
        <v>132697</v>
      </c>
      <c r="Z113" s="287">
        <v>133576</v>
      </c>
      <c r="AA113" s="287">
        <v>132250</v>
      </c>
      <c r="AB113" s="283" t="s">
        <v>1297</v>
      </c>
      <c r="AC113" s="289">
        <v>1E-3</v>
      </c>
      <c r="AE113" s="167" t="s">
        <v>2523</v>
      </c>
      <c r="AF113" s="285">
        <v>6.2199999999999998E-2</v>
      </c>
      <c r="AG113" s="285">
        <v>6.3399999999999998E-2</v>
      </c>
      <c r="AH113" s="285">
        <v>4200.38</v>
      </c>
      <c r="AI113" s="285">
        <v>4132.17</v>
      </c>
      <c r="AJ113" s="283">
        <v>4132.17</v>
      </c>
    </row>
    <row r="114" spans="1:36" x14ac:dyDescent="0.3">
      <c r="A114" s="168">
        <v>45295</v>
      </c>
      <c r="B114" s="83">
        <v>46.42</v>
      </c>
      <c r="C114" s="83">
        <v>46.63</v>
      </c>
      <c r="D114" s="83">
        <v>47.2</v>
      </c>
      <c r="E114" s="83">
        <v>46.02</v>
      </c>
      <c r="F114" s="83" t="s">
        <v>2377</v>
      </c>
      <c r="G114" s="284">
        <v>-9.7999999999999997E-3</v>
      </c>
      <c r="I114" s="168">
        <v>45300</v>
      </c>
      <c r="J114" s="286">
        <v>3146.97</v>
      </c>
      <c r="K114" s="286">
        <v>3152.89</v>
      </c>
      <c r="L114" s="286">
        <v>3157.21</v>
      </c>
      <c r="M114" s="286">
        <v>3135.37</v>
      </c>
      <c r="N114" s="284" t="s">
        <v>1760</v>
      </c>
      <c r="P114" s="168">
        <v>45300</v>
      </c>
      <c r="Q114" s="286">
        <v>4.9038000000000004</v>
      </c>
      <c r="R114" s="286">
        <v>4.8737000000000004</v>
      </c>
      <c r="S114" s="286">
        <v>4.9097999999999997</v>
      </c>
      <c r="T114" s="286">
        <v>4.8703000000000003</v>
      </c>
      <c r="U114" s="284">
        <v>6.8999999999999999E-3</v>
      </c>
      <c r="W114" s="168">
        <v>45293</v>
      </c>
      <c r="X114" s="288">
        <v>132697</v>
      </c>
      <c r="Y114" s="288">
        <v>134186</v>
      </c>
      <c r="Z114" s="288">
        <v>134195</v>
      </c>
      <c r="AA114" s="288">
        <v>132095</v>
      </c>
      <c r="AB114" s="284" t="s">
        <v>2522</v>
      </c>
      <c r="AC114" s="290">
        <v>-1.11E-2</v>
      </c>
      <c r="AE114" s="168" t="s">
        <v>2521</v>
      </c>
      <c r="AF114" s="286">
        <v>6.3500000000000001E-2</v>
      </c>
      <c r="AG114" s="286">
        <v>6.4699999999999994E-2</v>
      </c>
      <c r="AH114" s="286">
        <v>4129.9399999999996</v>
      </c>
      <c r="AI114" s="286">
        <v>4063.56</v>
      </c>
      <c r="AJ114" s="284">
        <v>4063.56</v>
      </c>
    </row>
    <row r="115" spans="1:36" x14ac:dyDescent="0.3">
      <c r="A115" s="167">
        <v>45294</v>
      </c>
      <c r="B115" s="171">
        <v>46.88</v>
      </c>
      <c r="C115" s="171">
        <v>45.34</v>
      </c>
      <c r="D115" s="171">
        <v>47.55</v>
      </c>
      <c r="E115" s="171">
        <v>45.22</v>
      </c>
      <c r="F115" s="171" t="s">
        <v>2520</v>
      </c>
      <c r="G115" s="283">
        <v>3.3700000000000001E-2</v>
      </c>
      <c r="I115" s="167">
        <v>45299</v>
      </c>
      <c r="J115" s="285">
        <v>3153.62</v>
      </c>
      <c r="K115" s="285">
        <v>3117.56</v>
      </c>
      <c r="L115" s="285">
        <v>3153.62</v>
      </c>
      <c r="M115" s="285">
        <v>3111.74</v>
      </c>
      <c r="N115" s="283" t="s">
        <v>1207</v>
      </c>
      <c r="P115" s="167">
        <v>45299</v>
      </c>
      <c r="Q115" s="285">
        <v>4.87</v>
      </c>
      <c r="R115" s="285">
        <v>4.8780999999999999</v>
      </c>
      <c r="S115" s="285">
        <v>4.9013999999999998</v>
      </c>
      <c r="T115" s="285">
        <v>4.8630000000000004</v>
      </c>
      <c r="U115" s="283">
        <v>-8.9999999999999998E-4</v>
      </c>
      <c r="W115" s="167">
        <v>45288</v>
      </c>
      <c r="X115" s="287">
        <v>134185</v>
      </c>
      <c r="Y115" s="287">
        <v>134194</v>
      </c>
      <c r="Z115" s="287">
        <v>134392</v>
      </c>
      <c r="AA115" s="287">
        <v>133832</v>
      </c>
      <c r="AB115" s="283" t="s">
        <v>1432</v>
      </c>
      <c r="AC115" s="289">
        <v>-1E-4</v>
      </c>
      <c r="AE115" s="167" t="s">
        <v>2519</v>
      </c>
      <c r="AF115" s="285">
        <v>6.4299999999999996E-2</v>
      </c>
      <c r="AG115" s="285">
        <v>6.5500000000000003E-2</v>
      </c>
      <c r="AH115" s="285">
        <v>4088.2</v>
      </c>
      <c r="AI115" s="285">
        <v>4022.91</v>
      </c>
      <c r="AJ115" s="283">
        <v>4022.91</v>
      </c>
    </row>
    <row r="116" spans="1:36" x14ac:dyDescent="0.3">
      <c r="A116" s="168">
        <v>45293</v>
      </c>
      <c r="B116" s="83">
        <v>45.35</v>
      </c>
      <c r="C116" s="83">
        <v>46.58</v>
      </c>
      <c r="D116" s="83">
        <v>46.69</v>
      </c>
      <c r="E116" s="83">
        <v>45.25</v>
      </c>
      <c r="F116" s="83" t="s">
        <v>1314</v>
      </c>
      <c r="G116" s="284">
        <v>-1.52E-2</v>
      </c>
      <c r="I116" s="168">
        <v>45296</v>
      </c>
      <c r="J116" s="286">
        <v>3120.55</v>
      </c>
      <c r="K116" s="286">
        <v>3113.66</v>
      </c>
      <c r="L116" s="286">
        <v>3133.88</v>
      </c>
      <c r="M116" s="286">
        <v>3102.63</v>
      </c>
      <c r="N116" s="284" t="s">
        <v>1417</v>
      </c>
      <c r="P116" s="168">
        <v>45296</v>
      </c>
      <c r="Q116" s="286">
        <v>4.8742999999999999</v>
      </c>
      <c r="R116" s="286">
        <v>4.9089</v>
      </c>
      <c r="S116" s="286">
        <v>4.9406999999999996</v>
      </c>
      <c r="T116" s="286">
        <v>4.8597000000000001</v>
      </c>
      <c r="U116" s="284">
        <v>-4.5999999999999999E-3</v>
      </c>
      <c r="W116" s="168">
        <v>45287</v>
      </c>
      <c r="X116" s="288">
        <v>134194</v>
      </c>
      <c r="Y116" s="288">
        <v>133523</v>
      </c>
      <c r="Z116" s="288">
        <v>134195</v>
      </c>
      <c r="AA116" s="288">
        <v>133328</v>
      </c>
      <c r="AB116" s="284" t="s">
        <v>2518</v>
      </c>
      <c r="AC116" s="290">
        <v>4.8999999999999998E-3</v>
      </c>
      <c r="AE116" s="168" t="s">
        <v>2517</v>
      </c>
      <c r="AF116" s="286">
        <v>6.3299999999999995E-2</v>
      </c>
      <c r="AG116" s="286">
        <v>6.4500000000000002E-2</v>
      </c>
      <c r="AH116" s="286">
        <v>4145.08</v>
      </c>
      <c r="AI116" s="286">
        <v>4077.47</v>
      </c>
      <c r="AJ116" s="284">
        <v>4077.47</v>
      </c>
    </row>
    <row r="117" spans="1:36" x14ac:dyDescent="0.3">
      <c r="A117" s="167">
        <v>45288</v>
      </c>
      <c r="B117" s="171">
        <v>46.05</v>
      </c>
      <c r="C117" s="171">
        <v>45.82</v>
      </c>
      <c r="D117" s="171">
        <v>46.05</v>
      </c>
      <c r="E117" s="171">
        <v>45.32</v>
      </c>
      <c r="F117" s="171" t="s">
        <v>2377</v>
      </c>
      <c r="G117" s="283">
        <v>2.3999999999999998E-3</v>
      </c>
      <c r="I117" s="167">
        <v>45295</v>
      </c>
      <c r="J117" s="285">
        <v>3114.12</v>
      </c>
      <c r="K117" s="285">
        <v>3117.72</v>
      </c>
      <c r="L117" s="285">
        <v>3132.49</v>
      </c>
      <c r="M117" s="285">
        <v>3113.07</v>
      </c>
      <c r="N117" s="283" t="s">
        <v>1206</v>
      </c>
      <c r="P117" s="167">
        <v>45295</v>
      </c>
      <c r="Q117" s="285">
        <v>4.8967999999999998</v>
      </c>
      <c r="R117" s="285">
        <v>4.9180999999999999</v>
      </c>
      <c r="S117" s="285">
        <v>4.9366000000000003</v>
      </c>
      <c r="T117" s="285">
        <v>4.8952999999999998</v>
      </c>
      <c r="U117" s="283">
        <v>-4.7000000000000002E-3</v>
      </c>
      <c r="W117" s="167">
        <v>45286</v>
      </c>
      <c r="X117" s="287">
        <v>133533</v>
      </c>
      <c r="Y117" s="287">
        <v>132753</v>
      </c>
      <c r="Z117" s="287">
        <v>133645</v>
      </c>
      <c r="AA117" s="287">
        <v>132753</v>
      </c>
      <c r="AB117" s="283" t="s">
        <v>2516</v>
      </c>
      <c r="AC117" s="289">
        <v>5.8999999999999999E-3</v>
      </c>
      <c r="AE117" s="167"/>
      <c r="AF117" s="285"/>
      <c r="AG117" s="285"/>
      <c r="AH117" s="285"/>
      <c r="AI117" s="285"/>
      <c r="AJ117" s="283"/>
    </row>
    <row r="118" spans="1:36" x14ac:dyDescent="0.3">
      <c r="A118" s="168">
        <v>45287</v>
      </c>
      <c r="B118" s="83">
        <v>45.94</v>
      </c>
      <c r="C118" s="83">
        <v>45.92</v>
      </c>
      <c r="D118" s="83">
        <v>46.7</v>
      </c>
      <c r="E118" s="83">
        <v>45.68</v>
      </c>
      <c r="F118" s="83" t="s">
        <v>2468</v>
      </c>
      <c r="G118" s="284">
        <v>4.0000000000000002E-4</v>
      </c>
      <c r="I118" s="168">
        <v>45294</v>
      </c>
      <c r="J118" s="286">
        <v>3115.68</v>
      </c>
      <c r="K118" s="286">
        <v>3144.7</v>
      </c>
      <c r="L118" s="286">
        <v>3145.56</v>
      </c>
      <c r="M118" s="286">
        <v>3113.65</v>
      </c>
      <c r="N118" s="284" t="s">
        <v>2276</v>
      </c>
      <c r="P118" s="168">
        <v>45294</v>
      </c>
      <c r="Q118" s="286">
        <v>4.9198000000000004</v>
      </c>
      <c r="R118" s="286">
        <v>4.9173999999999998</v>
      </c>
      <c r="S118" s="286">
        <v>4.9397000000000002</v>
      </c>
      <c r="T118" s="286">
        <v>4.8990999999999998</v>
      </c>
      <c r="U118" s="284">
        <v>-8.0000000000000004E-4</v>
      </c>
      <c r="W118" s="168">
        <v>45282</v>
      </c>
      <c r="X118" s="288">
        <v>132753</v>
      </c>
      <c r="Y118" s="288">
        <v>132182</v>
      </c>
      <c r="Z118" s="288">
        <v>133035</v>
      </c>
      <c r="AA118" s="288">
        <v>132094</v>
      </c>
      <c r="AB118" s="284" t="s">
        <v>2442</v>
      </c>
      <c r="AC118" s="290">
        <v>4.3E-3</v>
      </c>
      <c r="AE118" s="168"/>
      <c r="AF118" s="286"/>
      <c r="AG118" s="286"/>
      <c r="AH118" s="286"/>
      <c r="AI118" s="286"/>
      <c r="AJ118" s="284"/>
    </row>
    <row r="119" spans="1:36" x14ac:dyDescent="0.3">
      <c r="A119" s="167">
        <v>45286</v>
      </c>
      <c r="B119" s="171">
        <v>45.92</v>
      </c>
      <c r="C119" s="171">
        <v>45.69</v>
      </c>
      <c r="D119" s="171">
        <v>46.38</v>
      </c>
      <c r="E119" s="171">
        <v>45.54</v>
      </c>
      <c r="F119" s="171" t="s">
        <v>2515</v>
      </c>
      <c r="G119" s="283">
        <v>1.21E-2</v>
      </c>
      <c r="I119" s="167">
        <v>45293</v>
      </c>
      <c r="J119" s="285">
        <v>3145.42</v>
      </c>
      <c r="K119" s="285">
        <v>3168.54</v>
      </c>
      <c r="L119" s="285">
        <v>3170.93</v>
      </c>
      <c r="M119" s="285">
        <v>3135.57</v>
      </c>
      <c r="N119" s="283" t="s">
        <v>1726</v>
      </c>
      <c r="P119" s="167">
        <v>45293</v>
      </c>
      <c r="Q119" s="285">
        <v>4.9234999999999998</v>
      </c>
      <c r="R119" s="285">
        <v>4.8532999999999999</v>
      </c>
      <c r="S119" s="285">
        <v>4.9240000000000004</v>
      </c>
      <c r="T119" s="285">
        <v>4.8489000000000004</v>
      </c>
      <c r="U119" s="283">
        <v>1.46E-2</v>
      </c>
      <c r="W119" s="167">
        <v>45281</v>
      </c>
      <c r="X119" s="287">
        <v>132182</v>
      </c>
      <c r="Y119" s="287">
        <v>130826</v>
      </c>
      <c r="Z119" s="287">
        <v>132277</v>
      </c>
      <c r="AA119" s="287">
        <v>130822</v>
      </c>
      <c r="AB119" s="283" t="s">
        <v>2514</v>
      </c>
      <c r="AC119" s="289">
        <v>1.0500000000000001E-2</v>
      </c>
      <c r="AE119" s="167"/>
      <c r="AF119" s="285"/>
      <c r="AG119" s="285"/>
      <c r="AH119" s="285"/>
      <c r="AI119" s="285"/>
      <c r="AJ119" s="283"/>
    </row>
    <row r="120" spans="1:36" x14ac:dyDescent="0.3">
      <c r="A120" s="168">
        <v>45282</v>
      </c>
      <c r="B120" s="83">
        <v>45.37</v>
      </c>
      <c r="C120" s="83">
        <v>45.34</v>
      </c>
      <c r="D120" s="83">
        <v>45.74</v>
      </c>
      <c r="E120" s="83">
        <v>45.11</v>
      </c>
      <c r="F120" s="83" t="s">
        <v>2513</v>
      </c>
      <c r="G120" s="284">
        <v>4.7000000000000002E-3</v>
      </c>
      <c r="I120" s="168">
        <v>45292</v>
      </c>
      <c r="J120" s="286">
        <v>3169.25</v>
      </c>
      <c r="K120" s="286">
        <v>3168.07</v>
      </c>
      <c r="L120" s="286">
        <v>3169.25</v>
      </c>
      <c r="M120" s="286">
        <v>3168.07</v>
      </c>
      <c r="N120" s="284" t="s">
        <v>1195</v>
      </c>
      <c r="P120" s="168">
        <v>45292</v>
      </c>
      <c r="Q120" s="286">
        <v>4.8525999999999998</v>
      </c>
      <c r="R120" s="286">
        <v>4.8533999999999997</v>
      </c>
      <c r="S120" s="286">
        <v>4.8533999999999997</v>
      </c>
      <c r="T120" s="286">
        <v>4.8533999999999997</v>
      </c>
      <c r="U120" s="284">
        <v>1E-4</v>
      </c>
      <c r="W120" s="168">
        <v>45280</v>
      </c>
      <c r="X120" s="288">
        <v>130804</v>
      </c>
      <c r="Y120" s="288">
        <v>131851</v>
      </c>
      <c r="Z120" s="288">
        <v>132341</v>
      </c>
      <c r="AA120" s="288">
        <v>130710</v>
      </c>
      <c r="AB120" s="284" t="s">
        <v>1599</v>
      </c>
      <c r="AC120" s="290">
        <v>-7.9000000000000008E-3</v>
      </c>
      <c r="AE120" s="168"/>
      <c r="AF120" s="286"/>
      <c r="AG120" s="286"/>
      <c r="AH120" s="286"/>
      <c r="AI120" s="286"/>
      <c r="AJ120" s="284"/>
    </row>
    <row r="121" spans="1:36" x14ac:dyDescent="0.3">
      <c r="A121" s="167">
        <v>45281</v>
      </c>
      <c r="B121" s="171">
        <v>45.16</v>
      </c>
      <c r="C121" s="171">
        <v>45.75</v>
      </c>
      <c r="D121" s="171">
        <v>45.8</v>
      </c>
      <c r="E121" s="171">
        <v>44.84</v>
      </c>
      <c r="F121" s="171" t="s">
        <v>1300</v>
      </c>
      <c r="G121" s="283">
        <v>-8.3000000000000001E-3</v>
      </c>
      <c r="I121" s="167">
        <v>45289</v>
      </c>
      <c r="J121" s="285">
        <v>3169.18</v>
      </c>
      <c r="K121" s="285">
        <v>3174.16</v>
      </c>
      <c r="L121" s="285">
        <v>3179.73</v>
      </c>
      <c r="M121" s="285">
        <v>3161.89</v>
      </c>
      <c r="N121" s="283" t="s">
        <v>1686</v>
      </c>
      <c r="P121" s="167">
        <v>45288</v>
      </c>
      <c r="Q121" s="285">
        <v>4.8521000000000001</v>
      </c>
      <c r="R121" s="285">
        <v>4.8323</v>
      </c>
      <c r="S121" s="285">
        <v>4.8714000000000004</v>
      </c>
      <c r="T121" s="285">
        <v>4.8174999999999999</v>
      </c>
      <c r="U121" s="283">
        <v>5.3E-3</v>
      </c>
      <c r="W121" s="167">
        <v>45279</v>
      </c>
      <c r="X121" s="287">
        <v>131851</v>
      </c>
      <c r="Y121" s="287">
        <v>131088</v>
      </c>
      <c r="Z121" s="287">
        <v>132047</v>
      </c>
      <c r="AA121" s="287">
        <v>131086</v>
      </c>
      <c r="AB121" s="283" t="s">
        <v>1372</v>
      </c>
      <c r="AC121" s="289">
        <v>5.8999999999999999E-3</v>
      </c>
      <c r="AE121" s="167"/>
      <c r="AF121" s="285"/>
      <c r="AG121" s="285"/>
      <c r="AH121" s="285"/>
      <c r="AI121" s="285"/>
      <c r="AJ121" s="283"/>
    </row>
    <row r="122" spans="1:36" x14ac:dyDescent="0.3">
      <c r="A122" s="168">
        <v>45280</v>
      </c>
      <c r="B122" s="83">
        <v>45.54</v>
      </c>
      <c r="C122" s="83">
        <v>46.96</v>
      </c>
      <c r="D122" s="83">
        <v>46.96</v>
      </c>
      <c r="E122" s="83">
        <v>45.32</v>
      </c>
      <c r="F122" s="83" t="s">
        <v>2512</v>
      </c>
      <c r="G122" s="284">
        <v>-2.5000000000000001E-2</v>
      </c>
      <c r="I122" s="168">
        <v>45288</v>
      </c>
      <c r="J122" s="286">
        <v>3178.05</v>
      </c>
      <c r="K122" s="286">
        <v>3176.91</v>
      </c>
      <c r="L122" s="286">
        <v>3184.32</v>
      </c>
      <c r="M122" s="286">
        <v>3173.39</v>
      </c>
      <c r="N122" s="284" t="s">
        <v>1221</v>
      </c>
      <c r="P122" s="168">
        <v>45287</v>
      </c>
      <c r="Q122" s="286">
        <v>4.8266999999999998</v>
      </c>
      <c r="R122" s="286">
        <v>4.8106999999999998</v>
      </c>
      <c r="S122" s="286">
        <v>4.8407999999999998</v>
      </c>
      <c r="T122" s="286">
        <v>4.8018000000000001</v>
      </c>
      <c r="U122" s="284">
        <v>2.5999999999999999E-3</v>
      </c>
      <c r="W122" s="168">
        <v>45278</v>
      </c>
      <c r="X122" s="288">
        <v>131084</v>
      </c>
      <c r="Y122" s="288">
        <v>130202</v>
      </c>
      <c r="Z122" s="288">
        <v>131447</v>
      </c>
      <c r="AA122" s="288">
        <v>130198</v>
      </c>
      <c r="AB122" s="284" t="s">
        <v>2452</v>
      </c>
      <c r="AC122" s="290">
        <v>6.7999999999999996E-3</v>
      </c>
      <c r="AE122" s="168"/>
      <c r="AF122" s="286"/>
      <c r="AG122" s="286"/>
      <c r="AH122" s="286"/>
      <c r="AI122" s="286"/>
      <c r="AJ122" s="284"/>
    </row>
    <row r="123" spans="1:36" x14ac:dyDescent="0.3">
      <c r="A123" s="167">
        <v>45279</v>
      </c>
      <c r="B123" s="171">
        <v>46.71</v>
      </c>
      <c r="C123" s="171">
        <v>46.4</v>
      </c>
      <c r="D123" s="171">
        <v>46.96</v>
      </c>
      <c r="E123" s="171">
        <v>46.12</v>
      </c>
      <c r="F123" s="171" t="s">
        <v>2511</v>
      </c>
      <c r="G123" s="283">
        <v>1.32E-2</v>
      </c>
      <c r="I123" s="167">
        <v>45287</v>
      </c>
      <c r="J123" s="285">
        <v>3175.65</v>
      </c>
      <c r="K123" s="285">
        <v>3165.64</v>
      </c>
      <c r="L123" s="285">
        <v>3178.2</v>
      </c>
      <c r="M123" s="285">
        <v>3164.99</v>
      </c>
      <c r="N123" s="283" t="s">
        <v>1564</v>
      </c>
      <c r="P123" s="167">
        <v>45286</v>
      </c>
      <c r="Q123" s="285">
        <v>4.8140000000000001</v>
      </c>
      <c r="R123" s="285">
        <v>4.8513000000000002</v>
      </c>
      <c r="S123" s="285">
        <v>4.8613999999999997</v>
      </c>
      <c r="T123" s="285">
        <v>4.8135000000000003</v>
      </c>
      <c r="U123" s="283">
        <v>-9.1999999999999998E-3</v>
      </c>
      <c r="W123" s="167">
        <v>45275</v>
      </c>
      <c r="X123" s="287">
        <v>130197</v>
      </c>
      <c r="Y123" s="287">
        <v>130842</v>
      </c>
      <c r="Z123" s="287">
        <v>131661</v>
      </c>
      <c r="AA123" s="287">
        <v>129884</v>
      </c>
      <c r="AB123" s="283" t="s">
        <v>1345</v>
      </c>
      <c r="AC123" s="289">
        <v>-4.8999999999999998E-3</v>
      </c>
      <c r="AE123" s="167"/>
      <c r="AF123" s="285"/>
      <c r="AG123" s="285"/>
      <c r="AH123" s="285"/>
      <c r="AI123" s="285"/>
      <c r="AJ123" s="283"/>
    </row>
    <row r="124" spans="1:36" x14ac:dyDescent="0.3">
      <c r="A124" s="168">
        <v>45278</v>
      </c>
      <c r="B124" s="83">
        <v>46.1</v>
      </c>
      <c r="C124" s="83">
        <v>46.14</v>
      </c>
      <c r="D124" s="83">
        <v>47.39</v>
      </c>
      <c r="E124" s="83">
        <v>45.95</v>
      </c>
      <c r="F124" s="83" t="s">
        <v>1830</v>
      </c>
      <c r="G124" s="284">
        <v>-3.2000000000000002E-3</v>
      </c>
      <c r="I124" s="168">
        <v>45286</v>
      </c>
      <c r="J124" s="286">
        <v>3162.65</v>
      </c>
      <c r="K124" s="286">
        <v>3152.94</v>
      </c>
      <c r="L124" s="286">
        <v>3168.39</v>
      </c>
      <c r="M124" s="286">
        <v>3151.72</v>
      </c>
      <c r="N124" s="284" t="s">
        <v>2206</v>
      </c>
      <c r="P124" s="168">
        <v>45282</v>
      </c>
      <c r="Q124" s="286">
        <v>4.8585000000000003</v>
      </c>
      <c r="R124" s="286">
        <v>4.8864999999999998</v>
      </c>
      <c r="S124" s="286">
        <v>4.8907999999999996</v>
      </c>
      <c r="T124" s="286">
        <v>4.8480999999999996</v>
      </c>
      <c r="U124" s="284">
        <v>-5.3E-3</v>
      </c>
      <c r="W124" s="168">
        <v>45274</v>
      </c>
      <c r="X124" s="288">
        <v>130842</v>
      </c>
      <c r="Y124" s="288">
        <v>129469</v>
      </c>
      <c r="Z124" s="288">
        <v>131260</v>
      </c>
      <c r="AA124" s="288">
        <v>129469</v>
      </c>
      <c r="AB124" s="284" t="s">
        <v>2510</v>
      </c>
      <c r="AC124" s="290">
        <v>1.06E-2</v>
      </c>
      <c r="AE124" s="168"/>
      <c r="AF124" s="286"/>
      <c r="AG124" s="286"/>
      <c r="AH124" s="286"/>
      <c r="AI124" s="286"/>
      <c r="AJ124" s="284"/>
    </row>
    <row r="125" spans="1:36" x14ac:dyDescent="0.3">
      <c r="A125" s="167">
        <v>45275</v>
      </c>
      <c r="B125" s="171">
        <v>46.25</v>
      </c>
      <c r="C125" s="171">
        <v>47.82</v>
      </c>
      <c r="D125" s="171">
        <v>47.85</v>
      </c>
      <c r="E125" s="171">
        <v>46.12</v>
      </c>
      <c r="F125" s="171" t="s">
        <v>2509</v>
      </c>
      <c r="G125" s="283">
        <v>-2.18E-2</v>
      </c>
      <c r="I125" s="167">
        <v>45285</v>
      </c>
      <c r="J125" s="285">
        <v>3152.49</v>
      </c>
      <c r="K125" s="285">
        <v>3153.32</v>
      </c>
      <c r="L125" s="285">
        <v>3153.39</v>
      </c>
      <c r="M125" s="285">
        <v>3151.67</v>
      </c>
      <c r="N125" s="283" t="s">
        <v>1463</v>
      </c>
      <c r="P125" s="167">
        <v>45281</v>
      </c>
      <c r="Q125" s="285">
        <v>4.8844000000000003</v>
      </c>
      <c r="R125" s="285">
        <v>4.9146000000000001</v>
      </c>
      <c r="S125" s="285">
        <v>4.9146000000000001</v>
      </c>
      <c r="T125" s="285">
        <v>4.8632999999999997</v>
      </c>
      <c r="U125" s="283">
        <v>-6.4999999999999997E-3</v>
      </c>
      <c r="W125" s="167">
        <v>45273</v>
      </c>
      <c r="X125" s="287">
        <v>129465</v>
      </c>
      <c r="Y125" s="287">
        <v>126406</v>
      </c>
      <c r="Z125" s="287">
        <v>129793</v>
      </c>
      <c r="AA125" s="287">
        <v>126299</v>
      </c>
      <c r="AB125" s="283" t="s">
        <v>2355</v>
      </c>
      <c r="AC125" s="289">
        <v>2.4199999999999999E-2</v>
      </c>
      <c r="AE125" s="167"/>
      <c r="AF125" s="285"/>
      <c r="AG125" s="285"/>
      <c r="AH125" s="285"/>
      <c r="AI125" s="285"/>
      <c r="AJ125" s="283"/>
    </row>
    <row r="126" spans="1:36" x14ac:dyDescent="0.3">
      <c r="A126" s="168">
        <v>45274</v>
      </c>
      <c r="B126" s="83">
        <v>47.28</v>
      </c>
      <c r="C126" s="83">
        <v>46.25</v>
      </c>
      <c r="D126" s="83">
        <v>47.4</v>
      </c>
      <c r="E126" s="83">
        <v>45.97</v>
      </c>
      <c r="F126" s="83" t="s">
        <v>2508</v>
      </c>
      <c r="G126" s="284">
        <v>4.5400000000000003E-2</v>
      </c>
      <c r="I126" s="168">
        <v>45282</v>
      </c>
      <c r="J126" s="286">
        <v>3152.26</v>
      </c>
      <c r="K126" s="286">
        <v>3146.89</v>
      </c>
      <c r="L126" s="286">
        <v>3163.05</v>
      </c>
      <c r="M126" s="286">
        <v>3142.82</v>
      </c>
      <c r="N126" s="284" t="s">
        <v>1222</v>
      </c>
      <c r="P126" s="168">
        <v>45280</v>
      </c>
      <c r="Q126" s="286">
        <v>4.9162999999999997</v>
      </c>
      <c r="R126" s="286">
        <v>4.8642000000000003</v>
      </c>
      <c r="S126" s="286">
        <v>4.9192999999999998</v>
      </c>
      <c r="T126" s="286">
        <v>4.8566000000000003</v>
      </c>
      <c r="U126" s="284">
        <v>0.01</v>
      </c>
      <c r="W126" s="168">
        <v>45272</v>
      </c>
      <c r="X126" s="288">
        <v>126403</v>
      </c>
      <c r="Y126" s="288">
        <v>126923</v>
      </c>
      <c r="Z126" s="288">
        <v>127359</v>
      </c>
      <c r="AA126" s="288">
        <v>126013</v>
      </c>
      <c r="AB126" s="284" t="s">
        <v>2416</v>
      </c>
      <c r="AC126" s="290">
        <v>-4.0000000000000001E-3</v>
      </c>
      <c r="AE126" s="168"/>
      <c r="AF126" s="286"/>
      <c r="AG126" s="286"/>
      <c r="AH126" s="286"/>
      <c r="AI126" s="286"/>
      <c r="AJ126" s="284"/>
    </row>
    <row r="127" spans="1:36" x14ac:dyDescent="0.3">
      <c r="A127" s="167">
        <v>45273</v>
      </c>
      <c r="B127" s="171">
        <v>45.23</v>
      </c>
      <c r="C127" s="171">
        <v>43.93</v>
      </c>
      <c r="D127" s="171">
        <v>45.69</v>
      </c>
      <c r="E127" s="171">
        <v>43.85</v>
      </c>
      <c r="F127" s="171" t="s">
        <v>1728</v>
      </c>
      <c r="G127" s="283">
        <v>3.4200000000000001E-2</v>
      </c>
      <c r="I127" s="167">
        <v>45281</v>
      </c>
      <c r="J127" s="285">
        <v>3145.09</v>
      </c>
      <c r="K127" s="285">
        <v>3120.02</v>
      </c>
      <c r="L127" s="285">
        <v>3147.09</v>
      </c>
      <c r="M127" s="285">
        <v>3115.31</v>
      </c>
      <c r="N127" s="283" t="s">
        <v>1561</v>
      </c>
      <c r="P127" s="167">
        <v>45279</v>
      </c>
      <c r="Q127" s="285">
        <v>4.8674999999999997</v>
      </c>
      <c r="R127" s="285">
        <v>4.9027000000000003</v>
      </c>
      <c r="S127" s="285">
        <v>4.9038000000000004</v>
      </c>
      <c r="T127" s="285">
        <v>4.8505000000000003</v>
      </c>
      <c r="U127" s="283">
        <v>-6.0000000000000001E-3</v>
      </c>
      <c r="W127" s="167">
        <v>45271</v>
      </c>
      <c r="X127" s="287">
        <v>126916</v>
      </c>
      <c r="Y127" s="287">
        <v>127093</v>
      </c>
      <c r="Z127" s="287">
        <v>127154</v>
      </c>
      <c r="AA127" s="287">
        <v>126526</v>
      </c>
      <c r="AB127" s="283" t="s">
        <v>2507</v>
      </c>
      <c r="AC127" s="289">
        <v>-1.4E-3</v>
      </c>
      <c r="AE127" s="167"/>
      <c r="AF127" s="285"/>
      <c r="AG127" s="285"/>
      <c r="AH127" s="285"/>
      <c r="AI127" s="285"/>
      <c r="AJ127" s="283"/>
    </row>
    <row r="128" spans="1:36" x14ac:dyDescent="0.3">
      <c r="A128" s="168">
        <v>45272</v>
      </c>
      <c r="B128" s="83">
        <v>43.73</v>
      </c>
      <c r="C128" s="83">
        <v>44.58</v>
      </c>
      <c r="D128" s="83">
        <v>44.6</v>
      </c>
      <c r="E128" s="83">
        <v>43.39</v>
      </c>
      <c r="F128" s="83" t="s">
        <v>2059</v>
      </c>
      <c r="G128" s="284">
        <v>-1.9699999999999999E-2</v>
      </c>
      <c r="I128" s="168">
        <v>45280</v>
      </c>
      <c r="J128" s="286">
        <v>3121.79</v>
      </c>
      <c r="K128" s="286">
        <v>3152.95</v>
      </c>
      <c r="L128" s="286">
        <v>3160.07</v>
      </c>
      <c r="M128" s="286">
        <v>3118.76</v>
      </c>
      <c r="N128" s="284" t="s">
        <v>1778</v>
      </c>
      <c r="P128" s="168">
        <v>45278</v>
      </c>
      <c r="Q128" s="286">
        <v>4.8967000000000001</v>
      </c>
      <c r="R128" s="286">
        <v>4.9413999999999998</v>
      </c>
      <c r="S128" s="286">
        <v>4.952</v>
      </c>
      <c r="T128" s="286">
        <v>4.8902999999999999</v>
      </c>
      <c r="U128" s="284">
        <v>-8.2000000000000007E-3</v>
      </c>
      <c r="W128" s="168">
        <v>45268</v>
      </c>
      <c r="X128" s="288">
        <v>127094</v>
      </c>
      <c r="Y128" s="288">
        <v>126010</v>
      </c>
      <c r="Z128" s="288">
        <v>127289</v>
      </c>
      <c r="AA128" s="288">
        <v>125562</v>
      </c>
      <c r="AB128" s="284" t="s">
        <v>1974</v>
      </c>
      <c r="AC128" s="290">
        <v>8.6E-3</v>
      </c>
      <c r="AE128" s="168"/>
      <c r="AF128" s="286"/>
      <c r="AG128" s="286"/>
      <c r="AH128" s="286"/>
      <c r="AI128" s="286"/>
      <c r="AJ128" s="284"/>
    </row>
    <row r="129" spans="1:36" x14ac:dyDescent="0.3">
      <c r="A129" s="167">
        <v>45271</v>
      </c>
      <c r="B129" s="171">
        <v>44.61</v>
      </c>
      <c r="C129" s="171">
        <v>44.48</v>
      </c>
      <c r="D129" s="171">
        <v>44.72</v>
      </c>
      <c r="E129" s="171">
        <v>43.92</v>
      </c>
      <c r="F129" s="171" t="s">
        <v>2506</v>
      </c>
      <c r="G129" s="283">
        <v>2.8999999999999998E-3</v>
      </c>
      <c r="I129" s="167">
        <v>45279</v>
      </c>
      <c r="J129" s="285">
        <v>3153.34</v>
      </c>
      <c r="K129" s="285">
        <v>3132.53</v>
      </c>
      <c r="L129" s="285">
        <v>3153.34</v>
      </c>
      <c r="M129" s="285">
        <v>3131.1</v>
      </c>
      <c r="N129" s="283" t="s">
        <v>1200</v>
      </c>
      <c r="P129" s="167">
        <v>45275</v>
      </c>
      <c r="Q129" s="285">
        <v>4.9371</v>
      </c>
      <c r="R129" s="285">
        <v>4.9120999999999997</v>
      </c>
      <c r="S129" s="285">
        <v>4.9516999999999998</v>
      </c>
      <c r="T129" s="285">
        <v>4.9039999999999999</v>
      </c>
      <c r="U129" s="283">
        <v>4.4000000000000003E-3</v>
      </c>
      <c r="W129" s="167">
        <v>45267</v>
      </c>
      <c r="X129" s="287">
        <v>126010</v>
      </c>
      <c r="Y129" s="287">
        <v>125623</v>
      </c>
      <c r="Z129" s="287">
        <v>126581</v>
      </c>
      <c r="AA129" s="287">
        <v>125566</v>
      </c>
      <c r="AB129" s="283" t="s">
        <v>1534</v>
      </c>
      <c r="AC129" s="289">
        <v>3.0999999999999999E-3</v>
      </c>
      <c r="AE129" s="167"/>
      <c r="AF129" s="285"/>
      <c r="AG129" s="285"/>
      <c r="AH129" s="285"/>
      <c r="AI129" s="285"/>
      <c r="AJ129" s="283"/>
    </row>
    <row r="130" spans="1:36" x14ac:dyDescent="0.3">
      <c r="A130" s="168">
        <v>45268</v>
      </c>
      <c r="B130" s="83">
        <v>44.48</v>
      </c>
      <c r="C130" s="83">
        <v>42.93</v>
      </c>
      <c r="D130" s="83">
        <v>44.72</v>
      </c>
      <c r="E130" s="83">
        <v>42.18</v>
      </c>
      <c r="F130" s="83" t="s">
        <v>2505</v>
      </c>
      <c r="G130" s="284">
        <v>5.0200000000000002E-2</v>
      </c>
      <c r="I130" s="168">
        <v>45278</v>
      </c>
      <c r="J130" s="286">
        <v>3131.35</v>
      </c>
      <c r="K130" s="286">
        <v>3124</v>
      </c>
      <c r="L130" s="286">
        <v>3135.36</v>
      </c>
      <c r="M130" s="286">
        <v>3120.26</v>
      </c>
      <c r="N130" s="284" t="s">
        <v>1312</v>
      </c>
      <c r="P130" s="168">
        <v>45274</v>
      </c>
      <c r="Q130" s="286">
        <v>4.9154999999999998</v>
      </c>
      <c r="R130" s="286">
        <v>4.8754999999999997</v>
      </c>
      <c r="S130" s="286">
        <v>4.9180000000000001</v>
      </c>
      <c r="T130" s="286">
        <v>4.8749000000000002</v>
      </c>
      <c r="U130" s="284">
        <v>-8.9999999999999998E-4</v>
      </c>
      <c r="W130" s="168">
        <v>45266</v>
      </c>
      <c r="X130" s="288">
        <v>125623</v>
      </c>
      <c r="Y130" s="288">
        <v>126907</v>
      </c>
      <c r="Z130" s="288">
        <v>127538</v>
      </c>
      <c r="AA130" s="288">
        <v>125614</v>
      </c>
      <c r="AB130" s="284" t="s">
        <v>2504</v>
      </c>
      <c r="AC130" s="290">
        <v>-1.01E-2</v>
      </c>
      <c r="AE130" s="168"/>
      <c r="AF130" s="286"/>
      <c r="AG130" s="286"/>
      <c r="AH130" s="286"/>
      <c r="AI130" s="286"/>
      <c r="AJ130" s="284"/>
    </row>
    <row r="131" spans="1:36" x14ac:dyDescent="0.3">
      <c r="A131" s="167">
        <v>45267</v>
      </c>
      <c r="B131" s="171">
        <v>42.35</v>
      </c>
      <c r="C131" s="171">
        <v>41.74</v>
      </c>
      <c r="D131" s="171">
        <v>42.56</v>
      </c>
      <c r="E131" s="171">
        <v>41.54</v>
      </c>
      <c r="F131" s="171" t="s">
        <v>2043</v>
      </c>
      <c r="G131" s="283">
        <v>2.3599999999999999E-2</v>
      </c>
      <c r="I131" s="167">
        <v>45275</v>
      </c>
      <c r="J131" s="285">
        <v>3126.14</v>
      </c>
      <c r="K131" s="285">
        <v>3128.24</v>
      </c>
      <c r="L131" s="285">
        <v>3133.11</v>
      </c>
      <c r="M131" s="285">
        <v>3117.34</v>
      </c>
      <c r="N131" s="283" t="s">
        <v>1440</v>
      </c>
      <c r="P131" s="167">
        <v>45273</v>
      </c>
      <c r="Q131" s="285">
        <v>4.9196999999999997</v>
      </c>
      <c r="R131" s="285">
        <v>4.9663000000000004</v>
      </c>
      <c r="S131" s="285">
        <v>4.9772999999999996</v>
      </c>
      <c r="T131" s="285">
        <v>4.9145000000000003</v>
      </c>
      <c r="U131" s="283">
        <v>-8.6999999999999994E-3</v>
      </c>
      <c r="W131" s="167">
        <v>45265</v>
      </c>
      <c r="X131" s="287">
        <v>126903</v>
      </c>
      <c r="Y131" s="287">
        <v>126802</v>
      </c>
      <c r="Z131" s="287">
        <v>127489</v>
      </c>
      <c r="AA131" s="287">
        <v>126491</v>
      </c>
      <c r="AB131" s="283" t="s">
        <v>2043</v>
      </c>
      <c r="AC131" s="289">
        <v>8.0000000000000004E-4</v>
      </c>
      <c r="AE131" s="167"/>
      <c r="AF131" s="285"/>
      <c r="AG131" s="285"/>
      <c r="AH131" s="285"/>
      <c r="AI131" s="285"/>
      <c r="AJ131" s="283"/>
    </row>
    <row r="132" spans="1:36" x14ac:dyDescent="0.3">
      <c r="A132" s="168">
        <v>45266</v>
      </c>
      <c r="B132" s="83">
        <v>41.37</v>
      </c>
      <c r="C132" s="83">
        <v>42.73</v>
      </c>
      <c r="D132" s="83">
        <v>42.73</v>
      </c>
      <c r="E132" s="83">
        <v>41.08</v>
      </c>
      <c r="F132" s="83" t="s">
        <v>1290</v>
      </c>
      <c r="G132" s="284">
        <v>-3.9899999999999998E-2</v>
      </c>
      <c r="I132" s="168">
        <v>45274</v>
      </c>
      <c r="J132" s="286">
        <v>3128.89</v>
      </c>
      <c r="K132" s="286">
        <v>3109.89</v>
      </c>
      <c r="L132" s="286">
        <v>3137.53</v>
      </c>
      <c r="M132" s="286">
        <v>3108.95</v>
      </c>
      <c r="N132" s="284" t="s">
        <v>1803</v>
      </c>
      <c r="P132" s="168">
        <v>45272</v>
      </c>
      <c r="Q132" s="286">
        <v>4.9630999999999998</v>
      </c>
      <c r="R132" s="286">
        <v>4.9335000000000004</v>
      </c>
      <c r="S132" s="286">
        <v>4.9740000000000002</v>
      </c>
      <c r="T132" s="286">
        <v>4.9219999999999997</v>
      </c>
      <c r="U132" s="284">
        <v>5.0000000000000001E-3</v>
      </c>
      <c r="W132" s="168">
        <v>45264</v>
      </c>
      <c r="X132" s="288">
        <v>126803</v>
      </c>
      <c r="Y132" s="288">
        <v>128183</v>
      </c>
      <c r="Z132" s="288">
        <v>128183</v>
      </c>
      <c r="AA132" s="288">
        <v>126643</v>
      </c>
      <c r="AB132" s="284" t="s">
        <v>2416</v>
      </c>
      <c r="AC132" s="290">
        <v>-1.0800000000000001E-2</v>
      </c>
      <c r="AE132" s="168"/>
      <c r="AF132" s="286"/>
      <c r="AG132" s="286"/>
      <c r="AH132" s="286"/>
      <c r="AI132" s="286"/>
      <c r="AJ132" s="284"/>
    </row>
    <row r="133" spans="1:36" x14ac:dyDescent="0.3">
      <c r="A133" s="167">
        <v>45265</v>
      </c>
      <c r="B133" s="171">
        <v>43.09</v>
      </c>
      <c r="C133" s="171">
        <v>44.13</v>
      </c>
      <c r="D133" s="171">
        <v>44.37</v>
      </c>
      <c r="E133" s="171">
        <v>42.73</v>
      </c>
      <c r="F133" s="171" t="s">
        <v>2503</v>
      </c>
      <c r="G133" s="283">
        <v>-2.4E-2</v>
      </c>
      <c r="I133" s="167">
        <v>45273</v>
      </c>
      <c r="J133" s="285">
        <v>3101.08</v>
      </c>
      <c r="K133" s="285">
        <v>3069.3</v>
      </c>
      <c r="L133" s="285">
        <v>3110.66</v>
      </c>
      <c r="M133" s="285">
        <v>3066.78</v>
      </c>
      <c r="N133" s="283" t="s">
        <v>2480</v>
      </c>
      <c r="P133" s="167">
        <v>45271</v>
      </c>
      <c r="Q133" s="285">
        <v>4.9386000000000001</v>
      </c>
      <c r="R133" s="285">
        <v>4.9268000000000001</v>
      </c>
      <c r="S133" s="285">
        <v>4.9600999999999997</v>
      </c>
      <c r="T133" s="285">
        <v>4.9260000000000002</v>
      </c>
      <c r="U133" s="283">
        <v>1.4E-3</v>
      </c>
      <c r="W133" s="167">
        <v>45261</v>
      </c>
      <c r="X133" s="287">
        <v>128185</v>
      </c>
      <c r="Y133" s="287">
        <v>127331</v>
      </c>
      <c r="Z133" s="287">
        <v>128185</v>
      </c>
      <c r="AA133" s="287">
        <v>126656</v>
      </c>
      <c r="AB133" s="283" t="s">
        <v>1353</v>
      </c>
      <c r="AC133" s="289">
        <v>6.7000000000000002E-3</v>
      </c>
      <c r="AE133" s="167"/>
      <c r="AF133" s="285"/>
      <c r="AG133" s="285"/>
      <c r="AH133" s="285"/>
      <c r="AI133" s="285"/>
      <c r="AJ133" s="283"/>
    </row>
    <row r="134" spans="1:36" x14ac:dyDescent="0.3">
      <c r="A134" s="168">
        <v>45264</v>
      </c>
      <c r="B134" s="83">
        <v>44.15</v>
      </c>
      <c r="C134" s="83">
        <v>44.23</v>
      </c>
      <c r="D134" s="83">
        <v>44.49</v>
      </c>
      <c r="E134" s="83">
        <v>43.67</v>
      </c>
      <c r="F134" s="83" t="s">
        <v>1638</v>
      </c>
      <c r="G134" s="284">
        <v>-7.9000000000000008E-3</v>
      </c>
      <c r="I134" s="168">
        <v>45272</v>
      </c>
      <c r="J134" s="286">
        <v>3067.44</v>
      </c>
      <c r="K134" s="286">
        <v>3058.48</v>
      </c>
      <c r="L134" s="286">
        <v>3068.47</v>
      </c>
      <c r="M134" s="286">
        <v>3048.7</v>
      </c>
      <c r="N134" s="284" t="s">
        <v>1433</v>
      </c>
      <c r="P134" s="168">
        <v>45268</v>
      </c>
      <c r="Q134" s="286">
        <v>4.9317000000000002</v>
      </c>
      <c r="R134" s="286">
        <v>4.9082999999999997</v>
      </c>
      <c r="S134" s="286">
        <v>4.9367999999999999</v>
      </c>
      <c r="T134" s="286">
        <v>4.8940999999999999</v>
      </c>
      <c r="U134" s="284">
        <v>4.1000000000000003E-3</v>
      </c>
      <c r="W134" s="168">
        <v>45260</v>
      </c>
      <c r="X134" s="288">
        <v>127331</v>
      </c>
      <c r="Y134" s="288">
        <v>126168</v>
      </c>
      <c r="Z134" s="288">
        <v>127399</v>
      </c>
      <c r="AA134" s="288">
        <v>126168</v>
      </c>
      <c r="AB134" s="284" t="s">
        <v>2502</v>
      </c>
      <c r="AC134" s="290">
        <v>9.1999999999999998E-3</v>
      </c>
      <c r="AE134" s="168"/>
      <c r="AF134" s="286"/>
      <c r="AG134" s="286"/>
      <c r="AH134" s="286"/>
      <c r="AI134" s="286"/>
      <c r="AJ134" s="284"/>
    </row>
    <row r="135" spans="1:36" x14ac:dyDescent="0.3">
      <c r="A135" s="167">
        <v>45261</v>
      </c>
      <c r="B135" s="171">
        <v>44.5</v>
      </c>
      <c r="C135" s="171">
        <v>46.01</v>
      </c>
      <c r="D135" s="171">
        <v>46.01</v>
      </c>
      <c r="E135" s="171">
        <v>44.2</v>
      </c>
      <c r="F135" s="171" t="s">
        <v>1593</v>
      </c>
      <c r="G135" s="283">
        <v>-2.9600000000000001E-2</v>
      </c>
      <c r="I135" s="167">
        <v>45271</v>
      </c>
      <c r="J135" s="285">
        <v>3056.42</v>
      </c>
      <c r="K135" s="285">
        <v>3047.63</v>
      </c>
      <c r="L135" s="285">
        <v>3057.92</v>
      </c>
      <c r="M135" s="285">
        <v>3042.58</v>
      </c>
      <c r="N135" s="283" t="s">
        <v>1537</v>
      </c>
      <c r="P135" s="167">
        <v>45267</v>
      </c>
      <c r="Q135" s="285">
        <v>4.9115000000000002</v>
      </c>
      <c r="R135" s="285">
        <v>4.9025999999999996</v>
      </c>
      <c r="S135" s="285">
        <v>4.9151999999999996</v>
      </c>
      <c r="T135" s="285">
        <v>4.8789999999999996</v>
      </c>
      <c r="U135" s="283">
        <v>1.9E-3</v>
      </c>
      <c r="W135" s="167">
        <v>45259</v>
      </c>
      <c r="X135" s="287">
        <v>126166</v>
      </c>
      <c r="Y135" s="287">
        <v>126541</v>
      </c>
      <c r="Z135" s="287">
        <v>127388</v>
      </c>
      <c r="AA135" s="287">
        <v>126018</v>
      </c>
      <c r="AB135" s="283" t="s">
        <v>1833</v>
      </c>
      <c r="AC135" s="289">
        <v>-2.8999999999999998E-3</v>
      </c>
      <c r="AE135" s="167"/>
      <c r="AF135" s="285"/>
      <c r="AG135" s="285"/>
      <c r="AH135" s="285"/>
      <c r="AI135" s="285"/>
      <c r="AJ135" s="283"/>
    </row>
    <row r="136" spans="1:36" x14ac:dyDescent="0.3">
      <c r="A136" s="168">
        <v>45260</v>
      </c>
      <c r="B136" s="83">
        <v>45.86</v>
      </c>
      <c r="C136" s="83">
        <v>46.18</v>
      </c>
      <c r="D136" s="83">
        <v>47.57</v>
      </c>
      <c r="E136" s="83">
        <v>45.51</v>
      </c>
      <c r="F136" s="83" t="s">
        <v>2058</v>
      </c>
      <c r="G136" s="284">
        <v>4.0000000000000002E-4</v>
      </c>
      <c r="I136" s="168">
        <v>45268</v>
      </c>
      <c r="J136" s="286">
        <v>3047.21</v>
      </c>
      <c r="K136" s="286">
        <v>3037.93</v>
      </c>
      <c r="L136" s="286">
        <v>3050.38</v>
      </c>
      <c r="M136" s="286">
        <v>3030</v>
      </c>
      <c r="N136" s="284" t="s">
        <v>2206</v>
      </c>
      <c r="P136" s="168">
        <v>45266</v>
      </c>
      <c r="Q136" s="286">
        <v>4.9021999999999997</v>
      </c>
      <c r="R136" s="286">
        <v>4.9302000000000001</v>
      </c>
      <c r="S136" s="286">
        <v>4.931</v>
      </c>
      <c r="T136" s="286">
        <v>4.8883000000000001</v>
      </c>
      <c r="U136" s="284">
        <v>-5.7999999999999996E-3</v>
      </c>
      <c r="W136" s="168">
        <v>45258</v>
      </c>
      <c r="X136" s="288">
        <v>126538</v>
      </c>
      <c r="Y136" s="288">
        <v>125726</v>
      </c>
      <c r="Z136" s="288">
        <v>126916</v>
      </c>
      <c r="AA136" s="288">
        <v>125388</v>
      </c>
      <c r="AB136" s="284" t="s">
        <v>2399</v>
      </c>
      <c r="AC136" s="290">
        <v>6.4000000000000003E-3</v>
      </c>
      <c r="AE136" s="168"/>
      <c r="AF136" s="286"/>
      <c r="AG136" s="286"/>
      <c r="AH136" s="286"/>
      <c r="AI136" s="286"/>
      <c r="AJ136" s="284"/>
    </row>
    <row r="137" spans="1:36" x14ac:dyDescent="0.3">
      <c r="A137" s="167">
        <v>45259</v>
      </c>
      <c r="B137" s="171">
        <v>45.84</v>
      </c>
      <c r="C137" s="171">
        <v>46.54</v>
      </c>
      <c r="D137" s="171">
        <v>46.63</v>
      </c>
      <c r="E137" s="171">
        <v>45.55</v>
      </c>
      <c r="F137" s="171" t="s">
        <v>2099</v>
      </c>
      <c r="G137" s="283">
        <v>-3.8999999999999998E-3</v>
      </c>
      <c r="I137" s="167">
        <v>45267</v>
      </c>
      <c r="J137" s="285">
        <v>3037.45</v>
      </c>
      <c r="K137" s="285">
        <v>3019.16</v>
      </c>
      <c r="L137" s="285">
        <v>3041.87</v>
      </c>
      <c r="M137" s="285">
        <v>3015.78</v>
      </c>
      <c r="N137" s="283" t="s">
        <v>1381</v>
      </c>
      <c r="P137" s="167">
        <v>45265</v>
      </c>
      <c r="Q137" s="285">
        <v>4.9306000000000001</v>
      </c>
      <c r="R137" s="285">
        <v>4.9448999999999996</v>
      </c>
      <c r="S137" s="285">
        <v>4.968</v>
      </c>
      <c r="T137" s="285">
        <v>4.9227999999999996</v>
      </c>
      <c r="U137" s="283">
        <v>-2.5000000000000001E-3</v>
      </c>
      <c r="W137" s="167">
        <v>45257</v>
      </c>
      <c r="X137" s="287">
        <v>125731</v>
      </c>
      <c r="Y137" s="287">
        <v>125517</v>
      </c>
      <c r="Z137" s="287">
        <v>125826</v>
      </c>
      <c r="AA137" s="287">
        <v>124840</v>
      </c>
      <c r="AB137" s="283" t="s">
        <v>2075</v>
      </c>
      <c r="AC137" s="289">
        <v>1.6999999999999999E-3</v>
      </c>
      <c r="AE137" s="167"/>
      <c r="AF137" s="285"/>
      <c r="AG137" s="285"/>
      <c r="AH137" s="285"/>
      <c r="AI137" s="285"/>
      <c r="AJ137" s="283"/>
    </row>
    <row r="138" spans="1:36" x14ac:dyDescent="0.3">
      <c r="A138" s="168">
        <v>45258</v>
      </c>
      <c r="B138" s="83">
        <v>46.02</v>
      </c>
      <c r="C138" s="83">
        <v>46.3</v>
      </c>
      <c r="D138" s="83">
        <v>46.46</v>
      </c>
      <c r="E138" s="83">
        <v>45.36</v>
      </c>
      <c r="F138" s="83" t="s">
        <v>1429</v>
      </c>
      <c r="G138" s="284">
        <v>-2.8E-3</v>
      </c>
      <c r="I138" s="168">
        <v>45266</v>
      </c>
      <c r="J138" s="286">
        <v>3020.98</v>
      </c>
      <c r="K138" s="286">
        <v>3022.36</v>
      </c>
      <c r="L138" s="286">
        <v>3041.38</v>
      </c>
      <c r="M138" s="286">
        <v>3017.65</v>
      </c>
      <c r="N138" s="284" t="s">
        <v>1812</v>
      </c>
      <c r="P138" s="168">
        <v>45264</v>
      </c>
      <c r="Q138" s="286">
        <v>4.9432</v>
      </c>
      <c r="R138" s="286">
        <v>4.8780000000000001</v>
      </c>
      <c r="S138" s="286">
        <v>4.9539</v>
      </c>
      <c r="T138" s="286">
        <v>4.8780000000000001</v>
      </c>
      <c r="U138" s="284">
        <v>1.29E-2</v>
      </c>
      <c r="W138" s="168">
        <v>45254</v>
      </c>
      <c r="X138" s="288">
        <v>125517</v>
      </c>
      <c r="Y138" s="288">
        <v>126553</v>
      </c>
      <c r="Z138" s="288">
        <v>126553</v>
      </c>
      <c r="AA138" s="288">
        <v>125341</v>
      </c>
      <c r="AB138" s="284" t="s">
        <v>2245</v>
      </c>
      <c r="AC138" s="290">
        <v>-8.3999999999999995E-3</v>
      </c>
      <c r="AE138" s="168"/>
      <c r="AF138" s="286"/>
      <c r="AG138" s="286"/>
      <c r="AH138" s="286"/>
      <c r="AI138" s="286"/>
      <c r="AJ138" s="284"/>
    </row>
    <row r="139" spans="1:36" x14ac:dyDescent="0.3">
      <c r="A139" s="167">
        <v>45257</v>
      </c>
      <c r="B139" s="171">
        <v>46.15</v>
      </c>
      <c r="C139" s="171">
        <v>46.84</v>
      </c>
      <c r="D139" s="171">
        <v>47.26</v>
      </c>
      <c r="E139" s="171">
        <v>45.54</v>
      </c>
      <c r="F139" s="171" t="s">
        <v>1442</v>
      </c>
      <c r="G139" s="283">
        <v>-2.1000000000000001E-2</v>
      </c>
      <c r="I139" s="167">
        <v>45265</v>
      </c>
      <c r="J139" s="285">
        <v>3023.22</v>
      </c>
      <c r="K139" s="285">
        <v>3027.38</v>
      </c>
      <c r="L139" s="285">
        <v>3029.41</v>
      </c>
      <c r="M139" s="285">
        <v>3014.36</v>
      </c>
      <c r="N139" s="283" t="s">
        <v>2383</v>
      </c>
      <c r="P139" s="167">
        <v>45261</v>
      </c>
      <c r="Q139" s="285">
        <v>4.8800999999999997</v>
      </c>
      <c r="R139" s="285">
        <v>4.9264999999999999</v>
      </c>
      <c r="S139" s="285">
        <v>4.9378000000000002</v>
      </c>
      <c r="T139" s="285">
        <v>4.8674999999999997</v>
      </c>
      <c r="U139" s="283">
        <v>-8.2000000000000007E-3</v>
      </c>
      <c r="W139" s="167">
        <v>45253</v>
      </c>
      <c r="X139" s="287">
        <v>126576</v>
      </c>
      <c r="Y139" s="287">
        <v>126035</v>
      </c>
      <c r="Z139" s="287">
        <v>126760</v>
      </c>
      <c r="AA139" s="287">
        <v>125764</v>
      </c>
      <c r="AB139" s="283" t="s">
        <v>2501</v>
      </c>
      <c r="AC139" s="289">
        <v>4.3E-3</v>
      </c>
      <c r="AE139" s="167"/>
      <c r="AF139" s="285"/>
      <c r="AG139" s="285"/>
      <c r="AH139" s="285"/>
      <c r="AI139" s="285"/>
      <c r="AJ139" s="283"/>
    </row>
    <row r="140" spans="1:36" x14ac:dyDescent="0.3">
      <c r="A140" s="168">
        <v>45254</v>
      </c>
      <c r="B140" s="83">
        <v>47.13</v>
      </c>
      <c r="C140" s="83">
        <v>47.05</v>
      </c>
      <c r="D140" s="83">
        <v>47.74</v>
      </c>
      <c r="E140" s="83">
        <v>46.82</v>
      </c>
      <c r="F140" s="83" t="s">
        <v>2500</v>
      </c>
      <c r="G140" s="284">
        <v>-5.9999999999999995E-4</v>
      </c>
      <c r="I140" s="168">
        <v>45264</v>
      </c>
      <c r="J140" s="286">
        <v>3026.59</v>
      </c>
      <c r="K140" s="286">
        <v>3045.26</v>
      </c>
      <c r="L140" s="286">
        <v>3047.23</v>
      </c>
      <c r="M140" s="286">
        <v>3015.29</v>
      </c>
      <c r="N140" s="284" t="s">
        <v>1226</v>
      </c>
      <c r="P140" s="168">
        <v>45260</v>
      </c>
      <c r="Q140" s="286">
        <v>4.9204999999999997</v>
      </c>
      <c r="R140" s="286">
        <v>4.9059999999999997</v>
      </c>
      <c r="S140" s="286">
        <v>4.9459</v>
      </c>
      <c r="T140" s="286">
        <v>4.9050000000000002</v>
      </c>
      <c r="U140" s="284">
        <v>3.5999999999999999E-3</v>
      </c>
      <c r="W140" s="168">
        <v>45252</v>
      </c>
      <c r="X140" s="288">
        <v>126035</v>
      </c>
      <c r="Y140" s="288">
        <v>125626</v>
      </c>
      <c r="Z140" s="288">
        <v>126875</v>
      </c>
      <c r="AA140" s="288">
        <v>125439</v>
      </c>
      <c r="AB140" s="284" t="s">
        <v>1910</v>
      </c>
      <c r="AC140" s="290">
        <v>3.3E-3</v>
      </c>
      <c r="AE140" s="168"/>
      <c r="AF140" s="286"/>
      <c r="AG140" s="286"/>
      <c r="AH140" s="286"/>
      <c r="AI140" s="286"/>
      <c r="AJ140" s="284"/>
    </row>
    <row r="141" spans="1:36" x14ac:dyDescent="0.3">
      <c r="A141" s="167">
        <v>45253</v>
      </c>
      <c r="B141" s="171">
        <v>47.16</v>
      </c>
      <c r="C141" s="171">
        <v>46.93</v>
      </c>
      <c r="D141" s="171">
        <v>47.26</v>
      </c>
      <c r="E141" s="171">
        <v>46.77</v>
      </c>
      <c r="F141" s="171" t="s">
        <v>2499</v>
      </c>
      <c r="G141" s="283">
        <v>0</v>
      </c>
      <c r="I141" s="167">
        <v>45261</v>
      </c>
      <c r="J141" s="285">
        <v>3040.7</v>
      </c>
      <c r="K141" s="285">
        <v>3021.44</v>
      </c>
      <c r="L141" s="285">
        <v>3045.95</v>
      </c>
      <c r="M141" s="285">
        <v>3016.77</v>
      </c>
      <c r="N141" s="283" t="s">
        <v>1992</v>
      </c>
      <c r="P141" s="167">
        <v>45259</v>
      </c>
      <c r="Q141" s="285">
        <v>4.9028999999999998</v>
      </c>
      <c r="R141" s="285">
        <v>4.8711000000000002</v>
      </c>
      <c r="S141" s="285">
        <v>4.9077000000000002</v>
      </c>
      <c r="T141" s="285">
        <v>4.8639000000000001</v>
      </c>
      <c r="U141" s="283">
        <v>6.7000000000000002E-3</v>
      </c>
      <c r="W141" s="167">
        <v>45251</v>
      </c>
      <c r="X141" s="287">
        <v>125626</v>
      </c>
      <c r="Y141" s="287">
        <v>125957</v>
      </c>
      <c r="Z141" s="287">
        <v>125957</v>
      </c>
      <c r="AA141" s="287">
        <v>125060</v>
      </c>
      <c r="AB141" s="283" t="s">
        <v>2498</v>
      </c>
      <c r="AC141" s="289">
        <v>-2.5999999999999999E-3</v>
      </c>
      <c r="AE141" s="167"/>
      <c r="AF141" s="285"/>
      <c r="AG141" s="285"/>
      <c r="AH141" s="285"/>
      <c r="AI141" s="285"/>
      <c r="AJ141" s="283"/>
    </row>
    <row r="142" spans="1:36" x14ac:dyDescent="0.3">
      <c r="A142" s="168">
        <v>45252</v>
      </c>
      <c r="B142" s="83">
        <v>47.16</v>
      </c>
      <c r="C142" s="83">
        <v>46.91</v>
      </c>
      <c r="D142" s="83">
        <v>47.19</v>
      </c>
      <c r="E142" s="83">
        <v>46.25</v>
      </c>
      <c r="F142" s="83" t="s">
        <v>2497</v>
      </c>
      <c r="G142" s="284">
        <v>-1.54E-2</v>
      </c>
      <c r="I142" s="168">
        <v>45260</v>
      </c>
      <c r="J142" s="286">
        <v>3023.63</v>
      </c>
      <c r="K142" s="286">
        <v>3014.2</v>
      </c>
      <c r="L142" s="286">
        <v>3023.63</v>
      </c>
      <c r="M142" s="286">
        <v>3006.88</v>
      </c>
      <c r="N142" s="284" t="s">
        <v>2206</v>
      </c>
      <c r="P142" s="168">
        <v>45258</v>
      </c>
      <c r="Q142" s="286">
        <v>4.8704999999999998</v>
      </c>
      <c r="R142" s="286">
        <v>4.9050000000000002</v>
      </c>
      <c r="S142" s="286">
        <v>4.9099000000000004</v>
      </c>
      <c r="T142" s="286">
        <v>4.8574999999999999</v>
      </c>
      <c r="U142" s="284">
        <v>-5.3E-3</v>
      </c>
      <c r="W142" s="168">
        <v>45250</v>
      </c>
      <c r="X142" s="288">
        <v>125957</v>
      </c>
      <c r="Y142" s="288">
        <v>124773</v>
      </c>
      <c r="Z142" s="288">
        <v>126162</v>
      </c>
      <c r="AA142" s="288">
        <v>124773</v>
      </c>
      <c r="AB142" s="284" t="s">
        <v>2496</v>
      </c>
      <c r="AC142" s="290">
        <v>9.4999999999999998E-3</v>
      </c>
      <c r="AE142" s="168"/>
      <c r="AF142" s="286"/>
      <c r="AG142" s="286"/>
      <c r="AH142" s="286"/>
      <c r="AI142" s="286"/>
      <c r="AJ142" s="284"/>
    </row>
    <row r="143" spans="1:36" x14ac:dyDescent="0.3">
      <c r="A143" s="167">
        <v>45251</v>
      </c>
      <c r="B143" s="171">
        <v>47.9</v>
      </c>
      <c r="C143" s="171">
        <v>47.07</v>
      </c>
      <c r="D143" s="171">
        <v>48.08</v>
      </c>
      <c r="E143" s="171">
        <v>46.61</v>
      </c>
      <c r="F143" s="171" t="s">
        <v>2495</v>
      </c>
      <c r="G143" s="283">
        <v>9.4999999999999998E-3</v>
      </c>
      <c r="I143" s="167">
        <v>45259</v>
      </c>
      <c r="J143" s="285">
        <v>3013.93</v>
      </c>
      <c r="K143" s="285">
        <v>3014.04</v>
      </c>
      <c r="L143" s="285">
        <v>3030.67</v>
      </c>
      <c r="M143" s="285">
        <v>3011.72</v>
      </c>
      <c r="N143" s="283" t="s">
        <v>1756</v>
      </c>
      <c r="P143" s="167">
        <v>45257</v>
      </c>
      <c r="Q143" s="285">
        <v>4.8963999999999999</v>
      </c>
      <c r="R143" s="285">
        <v>4.9059999999999997</v>
      </c>
      <c r="S143" s="285">
        <v>4.9222000000000001</v>
      </c>
      <c r="T143" s="285">
        <v>4.8718000000000004</v>
      </c>
      <c r="U143" s="283">
        <v>-1.1000000000000001E-3</v>
      </c>
      <c r="W143" s="167">
        <v>45247</v>
      </c>
      <c r="X143" s="287">
        <v>124773</v>
      </c>
      <c r="Y143" s="287">
        <v>124639</v>
      </c>
      <c r="Z143" s="287">
        <v>125431</v>
      </c>
      <c r="AA143" s="287">
        <v>124547</v>
      </c>
      <c r="AB143" s="283" t="s">
        <v>2494</v>
      </c>
      <c r="AC143" s="289">
        <v>1.1000000000000001E-3</v>
      </c>
      <c r="AE143" s="167"/>
      <c r="AF143" s="285"/>
      <c r="AG143" s="285"/>
      <c r="AH143" s="285"/>
      <c r="AI143" s="285"/>
      <c r="AJ143" s="283"/>
    </row>
    <row r="144" spans="1:36" x14ac:dyDescent="0.3">
      <c r="A144" s="168">
        <v>45250</v>
      </c>
      <c r="B144" s="83">
        <v>47.45</v>
      </c>
      <c r="C144" s="83">
        <v>46.9</v>
      </c>
      <c r="D144" s="83">
        <v>48.46</v>
      </c>
      <c r="E144" s="83">
        <v>46.75</v>
      </c>
      <c r="F144" s="83" t="s">
        <v>1920</v>
      </c>
      <c r="G144" s="284">
        <v>2.2599999999999999E-2</v>
      </c>
      <c r="I144" s="168">
        <v>45258</v>
      </c>
      <c r="J144" s="286">
        <v>3012.57</v>
      </c>
      <c r="K144" s="286">
        <v>3009.58</v>
      </c>
      <c r="L144" s="286">
        <v>3020.47</v>
      </c>
      <c r="M144" s="286">
        <v>3002.73</v>
      </c>
      <c r="N144" s="284" t="s">
        <v>1208</v>
      </c>
      <c r="P144" s="168">
        <v>45254</v>
      </c>
      <c r="Q144" s="286">
        <v>4.9020000000000001</v>
      </c>
      <c r="R144" s="286">
        <v>4.9076000000000004</v>
      </c>
      <c r="S144" s="286">
        <v>4.9089</v>
      </c>
      <c r="T144" s="286">
        <v>4.8826000000000001</v>
      </c>
      <c r="U144" s="284">
        <v>-4.0000000000000002E-4</v>
      </c>
      <c r="W144" s="168">
        <v>45246</v>
      </c>
      <c r="X144" s="288">
        <v>124639</v>
      </c>
      <c r="Y144" s="288">
        <v>123165</v>
      </c>
      <c r="Z144" s="288">
        <v>124737</v>
      </c>
      <c r="AA144" s="288">
        <v>123165</v>
      </c>
      <c r="AB144" s="284" t="s">
        <v>2493</v>
      </c>
      <c r="AC144" s="290">
        <v>1.2E-2</v>
      </c>
      <c r="AE144" s="168"/>
      <c r="AF144" s="286"/>
      <c r="AG144" s="286"/>
      <c r="AH144" s="286"/>
      <c r="AI144" s="286"/>
      <c r="AJ144" s="284"/>
    </row>
    <row r="145" spans="1:36" x14ac:dyDescent="0.3">
      <c r="A145" s="167">
        <v>45247</v>
      </c>
      <c r="B145" s="171">
        <v>46.41</v>
      </c>
      <c r="C145" s="171">
        <v>45.82</v>
      </c>
      <c r="D145" s="171">
        <v>46.81</v>
      </c>
      <c r="E145" s="171">
        <v>45.63</v>
      </c>
      <c r="F145" s="171" t="s">
        <v>2492</v>
      </c>
      <c r="G145" s="283">
        <v>2.5399999999999999E-2</v>
      </c>
      <c r="I145" s="167">
        <v>45257</v>
      </c>
      <c r="J145" s="285">
        <v>3007.99</v>
      </c>
      <c r="K145" s="285">
        <v>3014.95</v>
      </c>
      <c r="L145" s="285">
        <v>3015.73</v>
      </c>
      <c r="M145" s="285">
        <v>3007.03</v>
      </c>
      <c r="N145" s="283" t="s">
        <v>1467</v>
      </c>
      <c r="P145" s="167">
        <v>45253</v>
      </c>
      <c r="Q145" s="285">
        <v>4.9039000000000001</v>
      </c>
      <c r="R145" s="285">
        <v>4.9074</v>
      </c>
      <c r="S145" s="285">
        <v>4.9093</v>
      </c>
      <c r="T145" s="285">
        <v>4.8860999999999999</v>
      </c>
      <c r="U145" s="283">
        <v>-5.9999999999999995E-4</v>
      </c>
      <c r="W145" s="167">
        <v>45244</v>
      </c>
      <c r="X145" s="287">
        <v>123166</v>
      </c>
      <c r="Y145" s="287">
        <v>120411</v>
      </c>
      <c r="Z145" s="287">
        <v>123370</v>
      </c>
      <c r="AA145" s="287">
        <v>120411</v>
      </c>
      <c r="AB145" s="283" t="s">
        <v>2491</v>
      </c>
      <c r="AC145" s="289">
        <v>2.29E-2</v>
      </c>
      <c r="AE145" s="167"/>
      <c r="AF145" s="285"/>
      <c r="AG145" s="285"/>
      <c r="AH145" s="285"/>
      <c r="AI145" s="285"/>
      <c r="AJ145" s="283"/>
    </row>
    <row r="146" spans="1:36" x14ac:dyDescent="0.3">
      <c r="A146" s="168">
        <v>45246</v>
      </c>
      <c r="B146" s="83">
        <v>45.26</v>
      </c>
      <c r="C146" s="83">
        <v>46.43</v>
      </c>
      <c r="D146" s="83">
        <v>46.75</v>
      </c>
      <c r="E146" s="83">
        <v>44.49</v>
      </c>
      <c r="F146" s="83" t="s">
        <v>2490</v>
      </c>
      <c r="G146" s="284">
        <v>-3.5299999999999998E-2</v>
      </c>
      <c r="I146" s="168">
        <v>45254</v>
      </c>
      <c r="J146" s="286">
        <v>3015.19</v>
      </c>
      <c r="K146" s="286">
        <v>3008.62</v>
      </c>
      <c r="L146" s="286">
        <v>3015.49</v>
      </c>
      <c r="M146" s="286">
        <v>3008.46</v>
      </c>
      <c r="N146" s="284" t="s">
        <v>1417</v>
      </c>
      <c r="P146" s="168">
        <v>45252</v>
      </c>
      <c r="Q146" s="286">
        <v>4.9067999999999996</v>
      </c>
      <c r="R146" s="286">
        <v>4.9050000000000002</v>
      </c>
      <c r="S146" s="286">
        <v>4.9204999999999997</v>
      </c>
      <c r="T146" s="286">
        <v>4.8775000000000004</v>
      </c>
      <c r="U146" s="284">
        <v>1.2999999999999999E-3</v>
      </c>
      <c r="W146" s="168">
        <v>45243</v>
      </c>
      <c r="X146" s="288">
        <v>120410</v>
      </c>
      <c r="Y146" s="288">
        <v>120561</v>
      </c>
      <c r="Z146" s="288">
        <v>120606</v>
      </c>
      <c r="AA146" s="288">
        <v>119878</v>
      </c>
      <c r="AB146" s="284" t="s">
        <v>1711</v>
      </c>
      <c r="AC146" s="290">
        <v>-1.2999999999999999E-3</v>
      </c>
      <c r="AE146" s="168"/>
      <c r="AF146" s="286"/>
      <c r="AG146" s="286"/>
      <c r="AH146" s="286"/>
      <c r="AI146" s="286"/>
      <c r="AJ146" s="284"/>
    </row>
    <row r="147" spans="1:36" x14ac:dyDescent="0.3">
      <c r="A147" s="167">
        <v>45244</v>
      </c>
      <c r="B147" s="171">
        <v>46.91</v>
      </c>
      <c r="C147" s="171">
        <v>46.38</v>
      </c>
      <c r="D147" s="171">
        <v>47.26</v>
      </c>
      <c r="E147" s="171">
        <v>46.08</v>
      </c>
      <c r="F147" s="171" t="s">
        <v>1696</v>
      </c>
      <c r="G147" s="283">
        <v>1.49E-2</v>
      </c>
      <c r="I147" s="167">
        <v>45253</v>
      </c>
      <c r="J147" s="285">
        <v>3008.74</v>
      </c>
      <c r="K147" s="285">
        <v>3006.47</v>
      </c>
      <c r="L147" s="285">
        <v>3009.8</v>
      </c>
      <c r="M147" s="285">
        <v>3006.25</v>
      </c>
      <c r="N147" s="283" t="s">
        <v>1227</v>
      </c>
      <c r="P147" s="167">
        <v>45251</v>
      </c>
      <c r="Q147" s="285">
        <v>4.9005999999999998</v>
      </c>
      <c r="R147" s="285">
        <v>4.8575999999999997</v>
      </c>
      <c r="S147" s="285">
        <v>4.9093</v>
      </c>
      <c r="T147" s="285">
        <v>4.8425000000000002</v>
      </c>
      <c r="U147" s="283">
        <v>9.4999999999999998E-3</v>
      </c>
      <c r="W147" s="167">
        <v>45240</v>
      </c>
      <c r="X147" s="287">
        <v>120568</v>
      </c>
      <c r="Y147" s="287">
        <v>119036</v>
      </c>
      <c r="Z147" s="287">
        <v>120823</v>
      </c>
      <c r="AA147" s="287">
        <v>119036</v>
      </c>
      <c r="AB147" s="283" t="s">
        <v>1617</v>
      </c>
      <c r="AC147" s="289">
        <v>1.29E-2</v>
      </c>
      <c r="AE147" s="167"/>
      <c r="AF147" s="285"/>
      <c r="AG147" s="285"/>
      <c r="AH147" s="285"/>
      <c r="AI147" s="285"/>
      <c r="AJ147" s="283"/>
    </row>
    <row r="148" spans="1:36" x14ac:dyDescent="0.3">
      <c r="A148" s="168">
        <v>45243</v>
      </c>
      <c r="B148" s="83">
        <v>46.23</v>
      </c>
      <c r="C148" s="83">
        <v>46.26</v>
      </c>
      <c r="D148" s="83">
        <v>46.84</v>
      </c>
      <c r="E148" s="83">
        <v>46.14</v>
      </c>
      <c r="F148" s="83" t="s">
        <v>1551</v>
      </c>
      <c r="G148" s="284">
        <v>-3.7000000000000002E-3</v>
      </c>
      <c r="I148" s="168">
        <v>45252</v>
      </c>
      <c r="J148" s="286">
        <v>3004.76</v>
      </c>
      <c r="K148" s="286">
        <v>2998.26</v>
      </c>
      <c r="L148" s="286">
        <v>3012.07</v>
      </c>
      <c r="M148" s="286">
        <v>2996.93</v>
      </c>
      <c r="N148" s="284" t="s">
        <v>1202</v>
      </c>
      <c r="P148" s="168">
        <v>45250</v>
      </c>
      <c r="Q148" s="286">
        <v>4.8543000000000003</v>
      </c>
      <c r="R148" s="286">
        <v>4.9024999999999999</v>
      </c>
      <c r="S148" s="286">
        <v>4.9063999999999997</v>
      </c>
      <c r="T148" s="286">
        <v>4.8464</v>
      </c>
      <c r="U148" s="284">
        <v>-1.0500000000000001E-2</v>
      </c>
      <c r="W148" s="168">
        <v>45239</v>
      </c>
      <c r="X148" s="288">
        <v>119034</v>
      </c>
      <c r="Y148" s="288">
        <v>119180</v>
      </c>
      <c r="Z148" s="288">
        <v>120257</v>
      </c>
      <c r="AA148" s="288">
        <v>118446</v>
      </c>
      <c r="AB148" s="284" t="s">
        <v>2015</v>
      </c>
      <c r="AC148" s="290">
        <v>-1.1999999999999999E-3</v>
      </c>
      <c r="AE148" s="168"/>
      <c r="AF148" s="286"/>
      <c r="AG148" s="286"/>
      <c r="AH148" s="286"/>
      <c r="AI148" s="286"/>
      <c r="AJ148" s="284"/>
    </row>
    <row r="149" spans="1:36" x14ac:dyDescent="0.3">
      <c r="A149" s="167">
        <v>45240</v>
      </c>
      <c r="B149" s="171">
        <v>46.4</v>
      </c>
      <c r="C149" s="171">
        <v>44.96</v>
      </c>
      <c r="D149" s="171">
        <v>46.82</v>
      </c>
      <c r="E149" s="171">
        <v>44.96</v>
      </c>
      <c r="F149" s="171" t="s">
        <v>2360</v>
      </c>
      <c r="G149" s="283">
        <v>3.8899999999999997E-2</v>
      </c>
      <c r="I149" s="167">
        <v>45251</v>
      </c>
      <c r="J149" s="285">
        <v>2999.87</v>
      </c>
      <c r="K149" s="285">
        <v>3005.59</v>
      </c>
      <c r="L149" s="285">
        <v>3008.23</v>
      </c>
      <c r="M149" s="285">
        <v>2994.8</v>
      </c>
      <c r="N149" s="283" t="s">
        <v>1430</v>
      </c>
      <c r="P149" s="167">
        <v>45247</v>
      </c>
      <c r="Q149" s="285">
        <v>4.9058999999999999</v>
      </c>
      <c r="R149" s="285">
        <v>4.8635999999999999</v>
      </c>
      <c r="S149" s="285">
        <v>4.9127000000000001</v>
      </c>
      <c r="T149" s="285">
        <v>4.8509000000000002</v>
      </c>
      <c r="U149" s="283">
        <v>8.8000000000000005E-3</v>
      </c>
      <c r="W149" s="167">
        <v>45238</v>
      </c>
      <c r="X149" s="287">
        <v>119177</v>
      </c>
      <c r="Y149" s="287">
        <v>119268</v>
      </c>
      <c r="Z149" s="287">
        <v>119976</v>
      </c>
      <c r="AA149" s="287">
        <v>118464</v>
      </c>
      <c r="AB149" s="283" t="s">
        <v>2243</v>
      </c>
      <c r="AC149" s="289">
        <v>-8.0000000000000004E-4</v>
      </c>
      <c r="AE149" s="167"/>
      <c r="AF149" s="285"/>
      <c r="AG149" s="285"/>
      <c r="AH149" s="285"/>
      <c r="AI149" s="285"/>
      <c r="AJ149" s="283"/>
    </row>
    <row r="150" spans="1:36" x14ac:dyDescent="0.3">
      <c r="A150" s="168">
        <v>45239</v>
      </c>
      <c r="B150" s="83">
        <v>44.66</v>
      </c>
      <c r="C150" s="83">
        <v>45.67</v>
      </c>
      <c r="D150" s="83">
        <v>46.18</v>
      </c>
      <c r="E150" s="83">
        <v>44.66</v>
      </c>
      <c r="F150" s="83" t="s">
        <v>2271</v>
      </c>
      <c r="G150" s="284">
        <v>-1.6500000000000001E-2</v>
      </c>
      <c r="I150" s="168">
        <v>45250</v>
      </c>
      <c r="J150" s="286">
        <v>3004.88</v>
      </c>
      <c r="K150" s="286">
        <v>2986.3</v>
      </c>
      <c r="L150" s="286">
        <v>3010.12</v>
      </c>
      <c r="M150" s="286">
        <v>2985.37</v>
      </c>
      <c r="N150" s="284" t="s">
        <v>1517</v>
      </c>
      <c r="P150" s="168">
        <v>45246</v>
      </c>
      <c r="Q150" s="286">
        <v>4.8632</v>
      </c>
      <c r="R150" s="286">
        <v>4.8624999999999998</v>
      </c>
      <c r="S150" s="286">
        <v>4.8875999999999999</v>
      </c>
      <c r="T150" s="286">
        <v>4.8362999999999996</v>
      </c>
      <c r="U150" s="284">
        <v>2.0000000000000001E-4</v>
      </c>
      <c r="W150" s="168">
        <v>45237</v>
      </c>
      <c r="X150" s="288">
        <v>119268</v>
      </c>
      <c r="Y150" s="288">
        <v>118422</v>
      </c>
      <c r="Z150" s="288">
        <v>119577</v>
      </c>
      <c r="AA150" s="288">
        <v>118026</v>
      </c>
      <c r="AB150" s="284" t="s">
        <v>2489</v>
      </c>
      <c r="AC150" s="290">
        <v>7.1000000000000004E-3</v>
      </c>
      <c r="AE150" s="168"/>
      <c r="AF150" s="286"/>
      <c r="AG150" s="286"/>
      <c r="AH150" s="286"/>
      <c r="AI150" s="286"/>
      <c r="AJ150" s="284"/>
    </row>
    <row r="151" spans="1:36" x14ac:dyDescent="0.3">
      <c r="A151" s="167">
        <v>45238</v>
      </c>
      <c r="B151" s="171">
        <v>45.41</v>
      </c>
      <c r="C151" s="171">
        <v>46.43</v>
      </c>
      <c r="D151" s="171">
        <v>46.66</v>
      </c>
      <c r="E151" s="171">
        <v>45.19</v>
      </c>
      <c r="F151" s="171" t="s">
        <v>1589</v>
      </c>
      <c r="G151" s="283">
        <v>-2.86E-2</v>
      </c>
      <c r="I151" s="167">
        <v>45247</v>
      </c>
      <c r="J151" s="285">
        <v>2985.19</v>
      </c>
      <c r="K151" s="285">
        <v>2970.69</v>
      </c>
      <c r="L151" s="285">
        <v>2988.56</v>
      </c>
      <c r="M151" s="285">
        <v>2970.51</v>
      </c>
      <c r="N151" s="283" t="s">
        <v>1564</v>
      </c>
      <c r="P151" s="167">
        <v>45245</v>
      </c>
      <c r="Q151" s="285">
        <v>4.8620000000000001</v>
      </c>
      <c r="R151" s="285">
        <v>4.8624999999999998</v>
      </c>
      <c r="S151" s="285">
        <v>4.8630000000000004</v>
      </c>
      <c r="T151" s="285">
        <v>4.8609999999999998</v>
      </c>
      <c r="U151" s="283">
        <v>-6.9999999999999999E-4</v>
      </c>
      <c r="W151" s="167">
        <v>45236</v>
      </c>
      <c r="X151" s="287">
        <v>118431</v>
      </c>
      <c r="Y151" s="287">
        <v>118160</v>
      </c>
      <c r="Z151" s="287">
        <v>118758</v>
      </c>
      <c r="AA151" s="287">
        <v>118045</v>
      </c>
      <c r="AB151" s="283" t="s">
        <v>2488</v>
      </c>
      <c r="AC151" s="289">
        <v>2.3E-3</v>
      </c>
      <c r="AE151" s="167"/>
      <c r="AF151" s="285"/>
      <c r="AG151" s="285"/>
      <c r="AH151" s="285"/>
      <c r="AI151" s="285"/>
      <c r="AJ151" s="283"/>
    </row>
    <row r="152" spans="1:36" x14ac:dyDescent="0.3">
      <c r="A152" s="168">
        <v>45237</v>
      </c>
      <c r="B152" s="83">
        <v>46.74</v>
      </c>
      <c r="C152" s="83">
        <v>47.35</v>
      </c>
      <c r="D152" s="83">
        <v>47.45</v>
      </c>
      <c r="E152" s="83">
        <v>46.56</v>
      </c>
      <c r="F152" s="83" t="s">
        <v>2161</v>
      </c>
      <c r="G152" s="284">
        <v>-2.4799999999999999E-2</v>
      </c>
      <c r="I152" s="168">
        <v>45246</v>
      </c>
      <c r="J152" s="286">
        <v>2973</v>
      </c>
      <c r="K152" s="286">
        <v>2973.45</v>
      </c>
      <c r="L152" s="286">
        <v>2976.69</v>
      </c>
      <c r="M152" s="286">
        <v>2962.04</v>
      </c>
      <c r="N152" s="284" t="s">
        <v>1812</v>
      </c>
      <c r="P152" s="168">
        <v>45244</v>
      </c>
      <c r="Q152" s="286">
        <v>4.8654000000000002</v>
      </c>
      <c r="R152" s="286">
        <v>4.9078999999999997</v>
      </c>
      <c r="S152" s="286">
        <v>4.9092000000000002</v>
      </c>
      <c r="T152" s="286">
        <v>4.8472</v>
      </c>
      <c r="U152" s="284">
        <v>-8.6E-3</v>
      </c>
      <c r="W152" s="168">
        <v>45233</v>
      </c>
      <c r="X152" s="288">
        <v>118160</v>
      </c>
      <c r="Y152" s="288">
        <v>115062</v>
      </c>
      <c r="Z152" s="288">
        <v>118502</v>
      </c>
      <c r="AA152" s="288">
        <v>115062</v>
      </c>
      <c r="AB152" s="284" t="s">
        <v>2120</v>
      </c>
      <c r="AC152" s="290">
        <v>2.7E-2</v>
      </c>
      <c r="AE152" s="168"/>
      <c r="AF152" s="286"/>
      <c r="AG152" s="286"/>
      <c r="AH152" s="286"/>
      <c r="AI152" s="286"/>
      <c r="AJ152" s="284"/>
    </row>
    <row r="153" spans="1:36" x14ac:dyDescent="0.3">
      <c r="A153" s="167">
        <v>45236</v>
      </c>
      <c r="B153" s="171">
        <v>47.93</v>
      </c>
      <c r="C153" s="171">
        <v>48.42</v>
      </c>
      <c r="D153" s="171">
        <v>48.57</v>
      </c>
      <c r="E153" s="171">
        <v>47.69</v>
      </c>
      <c r="F153" s="171" t="s">
        <v>2487</v>
      </c>
      <c r="G153" s="283">
        <v>-3.8999999999999998E-3</v>
      </c>
      <c r="I153" s="167">
        <v>45245</v>
      </c>
      <c r="J153" s="285">
        <v>2975.19</v>
      </c>
      <c r="K153" s="285">
        <v>2967.89</v>
      </c>
      <c r="L153" s="285">
        <v>2985.06</v>
      </c>
      <c r="M153" s="285">
        <v>2967.86</v>
      </c>
      <c r="N153" s="283" t="s">
        <v>2331</v>
      </c>
      <c r="P153" s="167">
        <v>45243</v>
      </c>
      <c r="Q153" s="285">
        <v>4.9074999999999998</v>
      </c>
      <c r="R153" s="285">
        <v>4.9009</v>
      </c>
      <c r="S153" s="285">
        <v>4.9427000000000003</v>
      </c>
      <c r="T153" s="285">
        <v>4.9008000000000003</v>
      </c>
      <c r="U153" s="283">
        <v>1.2999999999999999E-3</v>
      </c>
      <c r="W153" s="167">
        <v>45231</v>
      </c>
      <c r="X153" s="287">
        <v>115053</v>
      </c>
      <c r="Y153" s="287">
        <v>113157</v>
      </c>
      <c r="Z153" s="287">
        <v>115433</v>
      </c>
      <c r="AA153" s="287">
        <v>113157</v>
      </c>
      <c r="AB153" s="283" t="s">
        <v>2486</v>
      </c>
      <c r="AC153" s="289">
        <v>1.6899999999999998E-2</v>
      </c>
      <c r="AE153" s="167"/>
      <c r="AF153" s="285"/>
      <c r="AG153" s="285"/>
      <c r="AH153" s="285"/>
      <c r="AI153" s="285"/>
      <c r="AJ153" s="283"/>
    </row>
    <row r="154" spans="1:36" x14ac:dyDescent="0.3">
      <c r="A154" s="168">
        <v>45233</v>
      </c>
      <c r="B154" s="83">
        <v>48.12</v>
      </c>
      <c r="C154" s="83">
        <v>49.12</v>
      </c>
      <c r="D154" s="83">
        <v>49.32</v>
      </c>
      <c r="E154" s="83">
        <v>47.75</v>
      </c>
      <c r="F154" s="83" t="s">
        <v>2485</v>
      </c>
      <c r="G154" s="284">
        <v>2.7000000000000001E-3</v>
      </c>
      <c r="I154" s="168">
        <v>45244</v>
      </c>
      <c r="J154" s="286">
        <v>2963.36</v>
      </c>
      <c r="K154" s="286">
        <v>2905.2</v>
      </c>
      <c r="L154" s="286">
        <v>2972.76</v>
      </c>
      <c r="M154" s="286">
        <v>2905.18</v>
      </c>
      <c r="N154" s="284" t="s">
        <v>2484</v>
      </c>
      <c r="P154" s="168">
        <v>45240</v>
      </c>
      <c r="Q154" s="286">
        <v>4.9013</v>
      </c>
      <c r="R154" s="286">
        <v>4.9340999999999999</v>
      </c>
      <c r="S154" s="286">
        <v>4.9549000000000003</v>
      </c>
      <c r="T154" s="286">
        <v>4.9017999999999997</v>
      </c>
      <c r="U154" s="284">
        <v>-6.7000000000000002E-3</v>
      </c>
      <c r="W154" s="168">
        <v>45230</v>
      </c>
      <c r="X154" s="288">
        <v>113144</v>
      </c>
      <c r="Y154" s="288">
        <v>112534</v>
      </c>
      <c r="Z154" s="288">
        <v>113597</v>
      </c>
      <c r="AA154" s="288">
        <v>112098</v>
      </c>
      <c r="AB154" s="284" t="s">
        <v>2483</v>
      </c>
      <c r="AC154" s="290">
        <v>5.4000000000000003E-3</v>
      </c>
      <c r="AE154" s="168"/>
      <c r="AF154" s="286"/>
      <c r="AG154" s="286"/>
      <c r="AH154" s="286"/>
      <c r="AI154" s="286"/>
      <c r="AJ154" s="284"/>
    </row>
    <row r="155" spans="1:36" x14ac:dyDescent="0.3">
      <c r="A155" s="167">
        <v>45231</v>
      </c>
      <c r="B155" s="171">
        <v>47.99</v>
      </c>
      <c r="C155" s="171">
        <v>48.72</v>
      </c>
      <c r="D155" s="171">
        <v>48.96</v>
      </c>
      <c r="E155" s="171">
        <v>47.92</v>
      </c>
      <c r="F155" s="171" t="s">
        <v>1952</v>
      </c>
      <c r="G155" s="283">
        <v>7.7999999999999996E-3</v>
      </c>
      <c r="I155" s="167">
        <v>45243</v>
      </c>
      <c r="J155" s="285">
        <v>2904.64</v>
      </c>
      <c r="K155" s="285">
        <v>2901.96</v>
      </c>
      <c r="L155" s="285">
        <v>2910.17</v>
      </c>
      <c r="M155" s="285">
        <v>2892.24</v>
      </c>
      <c r="N155" s="283" t="s">
        <v>1227</v>
      </c>
      <c r="P155" s="167">
        <v>45239</v>
      </c>
      <c r="Q155" s="285">
        <v>4.9341999999999997</v>
      </c>
      <c r="R155" s="285">
        <v>4.9062999999999999</v>
      </c>
      <c r="S155" s="285">
        <v>4.9476000000000004</v>
      </c>
      <c r="T155" s="285">
        <v>4.8916000000000004</v>
      </c>
      <c r="U155" s="283">
        <v>4.8999999999999998E-3</v>
      </c>
      <c r="W155" s="167">
        <v>45229</v>
      </c>
      <c r="X155" s="287">
        <v>112532</v>
      </c>
      <c r="Y155" s="287">
        <v>113303</v>
      </c>
      <c r="Z155" s="287">
        <v>114204</v>
      </c>
      <c r="AA155" s="287">
        <v>112309</v>
      </c>
      <c r="AB155" s="283" t="s">
        <v>1611</v>
      </c>
      <c r="AC155" s="289">
        <v>-6.7999999999999996E-3</v>
      </c>
      <c r="AE155" s="167"/>
      <c r="AF155" s="285"/>
      <c r="AG155" s="285"/>
      <c r="AH155" s="285"/>
      <c r="AI155" s="285"/>
      <c r="AJ155" s="283"/>
    </row>
    <row r="156" spans="1:36" x14ac:dyDescent="0.3">
      <c r="A156" s="168">
        <v>45230</v>
      </c>
      <c r="B156" s="83">
        <v>47.62</v>
      </c>
      <c r="C156" s="83">
        <v>46.48</v>
      </c>
      <c r="D156" s="83">
        <v>47.62</v>
      </c>
      <c r="E156" s="83">
        <v>46.43</v>
      </c>
      <c r="F156" s="83" t="s">
        <v>1383</v>
      </c>
      <c r="G156" s="284">
        <v>2.8899999999999999E-2</v>
      </c>
      <c r="I156" s="168">
        <v>45240</v>
      </c>
      <c r="J156" s="286">
        <v>2900.76</v>
      </c>
      <c r="K156" s="286">
        <v>2874.13</v>
      </c>
      <c r="L156" s="286">
        <v>2902.94</v>
      </c>
      <c r="M156" s="286">
        <v>2868.63</v>
      </c>
      <c r="N156" s="284" t="s">
        <v>1343</v>
      </c>
      <c r="P156" s="168">
        <v>45238</v>
      </c>
      <c r="Q156" s="286">
        <v>4.9103000000000003</v>
      </c>
      <c r="R156" s="286">
        <v>4.8735999999999997</v>
      </c>
      <c r="S156" s="286">
        <v>4.9175000000000004</v>
      </c>
      <c r="T156" s="286">
        <v>4.8705999999999996</v>
      </c>
      <c r="U156" s="284">
        <v>7.7999999999999996E-3</v>
      </c>
      <c r="W156" s="168">
        <v>45226</v>
      </c>
      <c r="X156" s="288">
        <v>113301</v>
      </c>
      <c r="Y156" s="288">
        <v>114777</v>
      </c>
      <c r="Z156" s="288">
        <v>115342</v>
      </c>
      <c r="AA156" s="288">
        <v>112953</v>
      </c>
      <c r="AB156" s="284" t="s">
        <v>2482</v>
      </c>
      <c r="AC156" s="290">
        <v>-1.29E-2</v>
      </c>
      <c r="AE156" s="168"/>
      <c r="AF156" s="286"/>
      <c r="AG156" s="286"/>
      <c r="AH156" s="286"/>
      <c r="AI156" s="286"/>
      <c r="AJ156" s="284"/>
    </row>
    <row r="157" spans="1:36" x14ac:dyDescent="0.3">
      <c r="A157" s="167">
        <v>45229</v>
      </c>
      <c r="B157" s="171">
        <v>46.29</v>
      </c>
      <c r="C157" s="171">
        <v>47.62</v>
      </c>
      <c r="D157" s="171">
        <v>47.92</v>
      </c>
      <c r="E157" s="171">
        <v>46.13</v>
      </c>
      <c r="F157" s="171" t="s">
        <v>1549</v>
      </c>
      <c r="G157" s="283">
        <v>-2.9499999999999998E-2</v>
      </c>
      <c r="I157" s="167">
        <v>45239</v>
      </c>
      <c r="J157" s="285">
        <v>2878.98</v>
      </c>
      <c r="K157" s="285">
        <v>2888.22</v>
      </c>
      <c r="L157" s="285">
        <v>2900.93</v>
      </c>
      <c r="M157" s="285">
        <v>2873.49</v>
      </c>
      <c r="N157" s="283" t="s">
        <v>2107</v>
      </c>
      <c r="P157" s="167">
        <v>45237</v>
      </c>
      <c r="Q157" s="285">
        <v>4.8723999999999998</v>
      </c>
      <c r="R157" s="285">
        <v>4.8815</v>
      </c>
      <c r="S157" s="285">
        <v>4.9080000000000004</v>
      </c>
      <c r="T157" s="285">
        <v>4.8585000000000003</v>
      </c>
      <c r="U157" s="283">
        <v>-2.5999999999999999E-3</v>
      </c>
      <c r="W157" s="167">
        <v>45225</v>
      </c>
      <c r="X157" s="287">
        <v>114777</v>
      </c>
      <c r="Y157" s="287">
        <v>112840</v>
      </c>
      <c r="Z157" s="287">
        <v>114886</v>
      </c>
      <c r="AA157" s="287">
        <v>112840</v>
      </c>
      <c r="AB157" s="283" t="s">
        <v>2376</v>
      </c>
      <c r="AC157" s="289">
        <v>1.7299999999999999E-2</v>
      </c>
      <c r="AE157" s="167"/>
      <c r="AF157" s="285"/>
      <c r="AG157" s="285"/>
      <c r="AH157" s="285"/>
      <c r="AI157" s="285"/>
      <c r="AJ157" s="283"/>
    </row>
    <row r="158" spans="1:36" x14ac:dyDescent="0.3">
      <c r="A158" s="168">
        <v>45226</v>
      </c>
      <c r="B158" s="83">
        <v>47.69</v>
      </c>
      <c r="C158" s="83">
        <v>47.71</v>
      </c>
      <c r="D158" s="83">
        <v>48.03</v>
      </c>
      <c r="E158" s="83">
        <v>47.18</v>
      </c>
      <c r="F158" s="83" t="s">
        <v>2474</v>
      </c>
      <c r="G158" s="284">
        <v>-4.7999999999999996E-3</v>
      </c>
      <c r="I158" s="168">
        <v>45238</v>
      </c>
      <c r="J158" s="286">
        <v>2888.41</v>
      </c>
      <c r="K158" s="286">
        <v>2887.95</v>
      </c>
      <c r="L158" s="286">
        <v>2894.9</v>
      </c>
      <c r="M158" s="286">
        <v>2878.13</v>
      </c>
      <c r="N158" s="284" t="s">
        <v>1210</v>
      </c>
      <c r="P158" s="168">
        <v>45236</v>
      </c>
      <c r="Q158" s="286">
        <v>4.8853</v>
      </c>
      <c r="R158" s="286">
        <v>4.9031000000000002</v>
      </c>
      <c r="S158" s="286">
        <v>4.9119999999999999</v>
      </c>
      <c r="T158" s="286">
        <v>4.8813000000000004</v>
      </c>
      <c r="U158" s="284">
        <v>-3.2000000000000002E-3</v>
      </c>
      <c r="W158" s="168">
        <v>45224</v>
      </c>
      <c r="X158" s="288">
        <v>112830</v>
      </c>
      <c r="Y158" s="288">
        <v>113762</v>
      </c>
      <c r="Z158" s="288">
        <v>114319</v>
      </c>
      <c r="AA158" s="288">
        <v>112680</v>
      </c>
      <c r="AB158" s="284" t="s">
        <v>2167</v>
      </c>
      <c r="AC158" s="290">
        <v>-8.2000000000000007E-3</v>
      </c>
      <c r="AE158" s="168"/>
      <c r="AF158" s="286"/>
      <c r="AG158" s="286"/>
      <c r="AH158" s="286"/>
      <c r="AI158" s="286"/>
      <c r="AJ158" s="284"/>
    </row>
    <row r="159" spans="1:36" x14ac:dyDescent="0.3">
      <c r="A159" s="167">
        <v>45225</v>
      </c>
      <c r="B159" s="171">
        <v>47.92</v>
      </c>
      <c r="C159" s="171">
        <v>47.7</v>
      </c>
      <c r="D159" s="171">
        <v>48.06</v>
      </c>
      <c r="E159" s="171">
        <v>47.26</v>
      </c>
      <c r="F159" s="171" t="s">
        <v>2456</v>
      </c>
      <c r="G159" s="283">
        <v>-7.4000000000000003E-3</v>
      </c>
      <c r="I159" s="167">
        <v>45237</v>
      </c>
      <c r="J159" s="285">
        <v>2887.39</v>
      </c>
      <c r="K159" s="285">
        <v>2887.56</v>
      </c>
      <c r="L159" s="285">
        <v>2891.97</v>
      </c>
      <c r="M159" s="285">
        <v>2874.87</v>
      </c>
      <c r="N159" s="283" t="s">
        <v>1812</v>
      </c>
      <c r="P159" s="167">
        <v>45233</v>
      </c>
      <c r="Q159" s="285">
        <v>4.9012000000000002</v>
      </c>
      <c r="R159" s="285">
        <v>4.9554999999999998</v>
      </c>
      <c r="S159" s="285">
        <v>4.9554999999999998</v>
      </c>
      <c r="T159" s="285">
        <v>4.8753000000000002</v>
      </c>
      <c r="U159" s="283">
        <v>-1.0500000000000001E-2</v>
      </c>
      <c r="W159" s="167">
        <v>45223</v>
      </c>
      <c r="X159" s="287">
        <v>113762</v>
      </c>
      <c r="Y159" s="287">
        <v>112814</v>
      </c>
      <c r="Z159" s="287">
        <v>114249</v>
      </c>
      <c r="AA159" s="287">
        <v>112814</v>
      </c>
      <c r="AB159" s="283" t="s">
        <v>2257</v>
      </c>
      <c r="AC159" s="289">
        <v>8.6999999999999994E-3</v>
      </c>
      <c r="AE159" s="167"/>
      <c r="AF159" s="285"/>
      <c r="AG159" s="285"/>
      <c r="AH159" s="285"/>
      <c r="AI159" s="285"/>
      <c r="AJ159" s="283"/>
    </row>
    <row r="160" spans="1:36" x14ac:dyDescent="0.3">
      <c r="A160" s="168">
        <v>45224</v>
      </c>
      <c r="B160" s="83">
        <v>48.28</v>
      </c>
      <c r="C160" s="83">
        <v>48.92</v>
      </c>
      <c r="D160" s="83">
        <v>48.92</v>
      </c>
      <c r="E160" s="83">
        <v>47.79</v>
      </c>
      <c r="F160" s="83" t="s">
        <v>2481</v>
      </c>
      <c r="G160" s="284">
        <v>-0.01</v>
      </c>
      <c r="I160" s="168">
        <v>45236</v>
      </c>
      <c r="J160" s="286">
        <v>2889.44</v>
      </c>
      <c r="K160" s="286">
        <v>2883.8</v>
      </c>
      <c r="L160" s="286">
        <v>2894</v>
      </c>
      <c r="M160" s="286">
        <v>2879.33</v>
      </c>
      <c r="N160" s="284" t="s">
        <v>1203</v>
      </c>
      <c r="P160" s="168">
        <v>45231</v>
      </c>
      <c r="Q160" s="286">
        <v>4.9534000000000002</v>
      </c>
      <c r="R160" s="286">
        <v>5.0357000000000003</v>
      </c>
      <c r="S160" s="286">
        <v>5.0457000000000001</v>
      </c>
      <c r="T160" s="286">
        <v>4.9508999999999999</v>
      </c>
      <c r="U160" s="284">
        <v>-1.6199999999999999E-2</v>
      </c>
      <c r="W160" s="168">
        <v>45222</v>
      </c>
      <c r="X160" s="288">
        <v>112785</v>
      </c>
      <c r="Y160" s="288">
        <v>113145</v>
      </c>
      <c r="Z160" s="288">
        <v>113680</v>
      </c>
      <c r="AA160" s="288">
        <v>112164</v>
      </c>
      <c r="AB160" s="284" t="s">
        <v>1905</v>
      </c>
      <c r="AC160" s="290">
        <v>-3.3E-3</v>
      </c>
      <c r="AE160" s="168"/>
      <c r="AF160" s="286"/>
      <c r="AG160" s="286"/>
      <c r="AH160" s="286"/>
      <c r="AI160" s="286"/>
      <c r="AJ160" s="284"/>
    </row>
    <row r="161" spans="1:36" x14ac:dyDescent="0.3">
      <c r="A161" s="167">
        <v>45223</v>
      </c>
      <c r="B161" s="171">
        <v>48.77</v>
      </c>
      <c r="C161" s="171">
        <v>49.19</v>
      </c>
      <c r="D161" s="171">
        <v>49.7</v>
      </c>
      <c r="E161" s="171">
        <v>48.43</v>
      </c>
      <c r="F161" s="171" t="s">
        <v>1627</v>
      </c>
      <c r="G161" s="283">
        <v>2.0000000000000001E-4</v>
      </c>
      <c r="I161" s="167">
        <v>45233</v>
      </c>
      <c r="J161" s="285">
        <v>2883.8</v>
      </c>
      <c r="K161" s="285">
        <v>2853.3</v>
      </c>
      <c r="L161" s="285">
        <v>2891.42</v>
      </c>
      <c r="M161" s="285">
        <v>2853.3</v>
      </c>
      <c r="N161" s="283" t="s">
        <v>2480</v>
      </c>
      <c r="P161" s="167">
        <v>45230</v>
      </c>
      <c r="Q161" s="285">
        <v>5.0350000000000001</v>
      </c>
      <c r="R161" s="285">
        <v>5.0475000000000003</v>
      </c>
      <c r="S161" s="285">
        <v>5.0716999999999999</v>
      </c>
      <c r="T161" s="285">
        <v>5.0084999999999997</v>
      </c>
      <c r="U161" s="283">
        <v>-2.3999999999999998E-3</v>
      </c>
      <c r="W161" s="167">
        <v>45219</v>
      </c>
      <c r="X161" s="287">
        <v>113155</v>
      </c>
      <c r="Y161" s="287">
        <v>113996</v>
      </c>
      <c r="Z161" s="287">
        <v>114090</v>
      </c>
      <c r="AA161" s="287">
        <v>112533</v>
      </c>
      <c r="AB161" s="283" t="s">
        <v>1714</v>
      </c>
      <c r="AC161" s="289">
        <v>-7.4000000000000003E-3</v>
      </c>
      <c r="AE161" s="167"/>
      <c r="AF161" s="285"/>
      <c r="AG161" s="285"/>
      <c r="AH161" s="285"/>
      <c r="AI161" s="285"/>
      <c r="AJ161" s="283"/>
    </row>
    <row r="162" spans="1:36" x14ac:dyDescent="0.3">
      <c r="A162" s="168">
        <v>45222</v>
      </c>
      <c r="B162" s="83">
        <v>48.76</v>
      </c>
      <c r="C162" s="83">
        <v>49.31</v>
      </c>
      <c r="D162" s="83">
        <v>49.79</v>
      </c>
      <c r="E162" s="83">
        <v>48.72</v>
      </c>
      <c r="F162" s="83" t="s">
        <v>2479</v>
      </c>
      <c r="G162" s="284">
        <v>-1.7299999999999999E-2</v>
      </c>
      <c r="I162" s="168">
        <v>45232</v>
      </c>
      <c r="J162" s="286">
        <v>2852.55</v>
      </c>
      <c r="K162" s="286">
        <v>2802.95</v>
      </c>
      <c r="L162" s="286">
        <v>2854.31</v>
      </c>
      <c r="M162" s="286">
        <v>2802.88</v>
      </c>
      <c r="N162" s="284" t="s">
        <v>2478</v>
      </c>
      <c r="P162" s="168">
        <v>45229</v>
      </c>
      <c r="Q162" s="286">
        <v>5.0472000000000001</v>
      </c>
      <c r="R162" s="286">
        <v>5.0143000000000004</v>
      </c>
      <c r="S162" s="286">
        <v>5.0602</v>
      </c>
      <c r="T162" s="286">
        <v>4.9717000000000002</v>
      </c>
      <c r="U162" s="284">
        <v>6.4000000000000003E-3</v>
      </c>
      <c r="W162" s="168">
        <v>45218</v>
      </c>
      <c r="X162" s="288">
        <v>114004</v>
      </c>
      <c r="Y162" s="288">
        <v>114059</v>
      </c>
      <c r="Z162" s="288">
        <v>115063</v>
      </c>
      <c r="AA162" s="288">
        <v>113768</v>
      </c>
      <c r="AB162" s="284" t="s">
        <v>1512</v>
      </c>
      <c r="AC162" s="290">
        <v>-5.0000000000000001E-4</v>
      </c>
      <c r="AE162" s="168"/>
      <c r="AF162" s="286"/>
      <c r="AG162" s="286"/>
      <c r="AH162" s="286"/>
      <c r="AI162" s="286"/>
      <c r="AJ162" s="284"/>
    </row>
    <row r="163" spans="1:36" x14ac:dyDescent="0.3">
      <c r="A163" s="167">
        <v>45219</v>
      </c>
      <c r="B163" s="171">
        <v>49.62</v>
      </c>
      <c r="C163" s="171">
        <v>49.96</v>
      </c>
      <c r="D163" s="171">
        <v>50.14</v>
      </c>
      <c r="E163" s="171">
        <v>49.09</v>
      </c>
      <c r="F163" s="171" t="s">
        <v>1993</v>
      </c>
      <c r="G163" s="283">
        <v>-6.6E-3</v>
      </c>
      <c r="I163" s="167">
        <v>45231</v>
      </c>
      <c r="J163" s="285">
        <v>2797.49</v>
      </c>
      <c r="K163" s="285">
        <v>2769.29</v>
      </c>
      <c r="L163" s="285">
        <v>2801.83</v>
      </c>
      <c r="M163" s="285">
        <v>2769.15</v>
      </c>
      <c r="N163" s="283" t="s">
        <v>1598</v>
      </c>
      <c r="P163" s="167">
        <v>45226</v>
      </c>
      <c r="Q163" s="285">
        <v>5.0152000000000001</v>
      </c>
      <c r="R163" s="285">
        <v>4.9867999999999997</v>
      </c>
      <c r="S163" s="285">
        <v>5.0202</v>
      </c>
      <c r="T163" s="285">
        <v>4.9306000000000001</v>
      </c>
      <c r="U163" s="283">
        <v>5.7999999999999996E-3</v>
      </c>
      <c r="W163" s="167">
        <v>45217</v>
      </c>
      <c r="X163" s="287">
        <v>114060</v>
      </c>
      <c r="Y163" s="287">
        <v>115907</v>
      </c>
      <c r="Z163" s="287">
        <v>115907</v>
      </c>
      <c r="AA163" s="287">
        <v>113952</v>
      </c>
      <c r="AB163" s="283" t="s">
        <v>2327</v>
      </c>
      <c r="AC163" s="289">
        <v>-1.6E-2</v>
      </c>
      <c r="AE163" s="167"/>
      <c r="AF163" s="285"/>
      <c r="AG163" s="285"/>
      <c r="AH163" s="285"/>
      <c r="AI163" s="285"/>
      <c r="AJ163" s="283"/>
    </row>
    <row r="164" spans="1:36" x14ac:dyDescent="0.3">
      <c r="A164" s="168">
        <v>45218</v>
      </c>
      <c r="B164" s="83">
        <v>49.95</v>
      </c>
      <c r="C164" s="83">
        <v>49.42</v>
      </c>
      <c r="D164" s="83">
        <v>50.14</v>
      </c>
      <c r="E164" s="83">
        <v>49.22</v>
      </c>
      <c r="F164" s="83" t="s">
        <v>2477</v>
      </c>
      <c r="G164" s="284">
        <v>-3.3999999999999998E-3</v>
      </c>
      <c r="I164" s="168">
        <v>45230</v>
      </c>
      <c r="J164" s="286">
        <v>2768.62</v>
      </c>
      <c r="K164" s="286">
        <v>2757.48</v>
      </c>
      <c r="L164" s="286">
        <v>2770.3</v>
      </c>
      <c r="M164" s="286">
        <v>2749.97</v>
      </c>
      <c r="N164" s="284" t="s">
        <v>2331</v>
      </c>
      <c r="P164" s="168">
        <v>45225</v>
      </c>
      <c r="Q164" s="286">
        <v>4.9861000000000004</v>
      </c>
      <c r="R164" s="286">
        <v>4.9962999999999997</v>
      </c>
      <c r="S164" s="286">
        <v>5.0195999999999996</v>
      </c>
      <c r="T164" s="286">
        <v>4.9861000000000004</v>
      </c>
      <c r="U164" s="284">
        <v>-1.6999999999999999E-3</v>
      </c>
      <c r="W164" s="168">
        <v>45216</v>
      </c>
      <c r="X164" s="288">
        <v>115908</v>
      </c>
      <c r="Y164" s="288">
        <v>116526</v>
      </c>
      <c r="Z164" s="288">
        <v>116917</v>
      </c>
      <c r="AA164" s="288">
        <v>115564</v>
      </c>
      <c r="AB164" s="284" t="s">
        <v>1968</v>
      </c>
      <c r="AC164" s="290">
        <v>-5.4000000000000003E-3</v>
      </c>
      <c r="AE164" s="168"/>
      <c r="AF164" s="286"/>
      <c r="AG164" s="286"/>
      <c r="AH164" s="286"/>
      <c r="AI164" s="286"/>
      <c r="AJ164" s="284"/>
    </row>
    <row r="165" spans="1:36" x14ac:dyDescent="0.3">
      <c r="A165" s="167">
        <v>45217</v>
      </c>
      <c r="B165" s="171">
        <v>50.12</v>
      </c>
      <c r="C165" s="171">
        <v>50.55</v>
      </c>
      <c r="D165" s="171">
        <v>51.27</v>
      </c>
      <c r="E165" s="171">
        <v>50.03</v>
      </c>
      <c r="F165" s="171" t="s">
        <v>1847</v>
      </c>
      <c r="G165" s="283">
        <v>0</v>
      </c>
      <c r="I165" s="167">
        <v>45229</v>
      </c>
      <c r="J165" s="285">
        <v>2757.59</v>
      </c>
      <c r="K165" s="285">
        <v>2730.99</v>
      </c>
      <c r="L165" s="285">
        <v>2762.78</v>
      </c>
      <c r="M165" s="285">
        <v>2727.94</v>
      </c>
      <c r="N165" s="283" t="s">
        <v>2289</v>
      </c>
      <c r="P165" s="167">
        <v>45224</v>
      </c>
      <c r="Q165" s="285">
        <v>4.9946999999999999</v>
      </c>
      <c r="R165" s="285">
        <v>4.9927999999999999</v>
      </c>
      <c r="S165" s="285">
        <v>5.0201000000000002</v>
      </c>
      <c r="T165" s="285">
        <v>4.9852999999999996</v>
      </c>
      <c r="U165" s="283">
        <v>8.0000000000000004E-4</v>
      </c>
      <c r="W165" s="167">
        <v>45215</v>
      </c>
      <c r="X165" s="287">
        <v>116534</v>
      </c>
      <c r="Y165" s="287">
        <v>115760</v>
      </c>
      <c r="Z165" s="287">
        <v>116905</v>
      </c>
      <c r="AA165" s="287">
        <v>115760</v>
      </c>
      <c r="AB165" s="283" t="s">
        <v>2384</v>
      </c>
      <c r="AC165" s="289">
        <v>6.7000000000000002E-3</v>
      </c>
      <c r="AE165" s="167"/>
      <c r="AF165" s="285"/>
      <c r="AG165" s="285"/>
      <c r="AH165" s="285"/>
      <c r="AI165" s="285"/>
      <c r="AJ165" s="283"/>
    </row>
    <row r="166" spans="1:36" x14ac:dyDescent="0.3">
      <c r="A166" s="168">
        <v>45216</v>
      </c>
      <c r="B166" s="83">
        <v>50.12</v>
      </c>
      <c r="C166" s="83">
        <v>49.72</v>
      </c>
      <c r="D166" s="83">
        <v>50.39</v>
      </c>
      <c r="E166" s="83">
        <v>49.35</v>
      </c>
      <c r="F166" s="83" t="s">
        <v>1800</v>
      </c>
      <c r="G166" s="284">
        <v>8.0000000000000002E-3</v>
      </c>
      <c r="I166" s="168">
        <v>45226</v>
      </c>
      <c r="J166" s="286">
        <v>2731.99</v>
      </c>
      <c r="K166" s="286">
        <v>2741.56</v>
      </c>
      <c r="L166" s="286">
        <v>2755.01</v>
      </c>
      <c r="M166" s="286">
        <v>2724.91</v>
      </c>
      <c r="N166" s="284" t="s">
        <v>2107</v>
      </c>
      <c r="P166" s="168">
        <v>45223</v>
      </c>
      <c r="Q166" s="286">
        <v>4.9908000000000001</v>
      </c>
      <c r="R166" s="286">
        <v>5.0141999999999998</v>
      </c>
      <c r="S166" s="286">
        <v>5.0312000000000001</v>
      </c>
      <c r="T166" s="286">
        <v>4.9892000000000003</v>
      </c>
      <c r="U166" s="284">
        <v>-4.1000000000000003E-3</v>
      </c>
      <c r="W166" s="168">
        <v>45212</v>
      </c>
      <c r="X166" s="288">
        <v>115754</v>
      </c>
      <c r="Y166" s="288">
        <v>117050</v>
      </c>
      <c r="Z166" s="288">
        <v>117070</v>
      </c>
      <c r="AA166" s="288">
        <v>115658</v>
      </c>
      <c r="AB166" s="284" t="s">
        <v>2234</v>
      </c>
      <c r="AC166" s="290">
        <v>-1.11E-2</v>
      </c>
      <c r="AE166" s="168"/>
      <c r="AF166" s="286"/>
      <c r="AG166" s="286"/>
      <c r="AH166" s="286"/>
      <c r="AI166" s="286"/>
      <c r="AJ166" s="284"/>
    </row>
    <row r="167" spans="1:36" x14ac:dyDescent="0.3">
      <c r="A167" s="167">
        <v>45215</v>
      </c>
      <c r="B167" s="171">
        <v>49.72</v>
      </c>
      <c r="C167" s="171">
        <v>50.14</v>
      </c>
      <c r="D167" s="171">
        <v>50.36</v>
      </c>
      <c r="E167" s="171">
        <v>48.88</v>
      </c>
      <c r="F167" s="171" t="s">
        <v>1475</v>
      </c>
      <c r="G167" s="283">
        <v>-4.0000000000000001E-3</v>
      </c>
      <c r="I167" s="167">
        <v>45225</v>
      </c>
      <c r="J167" s="285">
        <v>2740.96</v>
      </c>
      <c r="K167" s="285">
        <v>2770.08</v>
      </c>
      <c r="L167" s="285">
        <v>2770.08</v>
      </c>
      <c r="M167" s="285">
        <v>2735.9</v>
      </c>
      <c r="N167" s="283" t="s">
        <v>1376</v>
      </c>
      <c r="P167" s="167">
        <v>45222</v>
      </c>
      <c r="Q167" s="285">
        <v>5.0111999999999997</v>
      </c>
      <c r="R167" s="285">
        <v>5.0327999999999999</v>
      </c>
      <c r="S167" s="285">
        <v>5.0545</v>
      </c>
      <c r="T167" s="285">
        <v>4.9953000000000003</v>
      </c>
      <c r="U167" s="283">
        <v>-4.0000000000000001E-3</v>
      </c>
      <c r="W167" s="167">
        <v>45210</v>
      </c>
      <c r="X167" s="287">
        <v>117051</v>
      </c>
      <c r="Y167" s="287">
        <v>116737</v>
      </c>
      <c r="Z167" s="287">
        <v>117099</v>
      </c>
      <c r="AA167" s="287">
        <v>116231</v>
      </c>
      <c r="AB167" s="283" t="s">
        <v>2272</v>
      </c>
      <c r="AC167" s="289">
        <v>2.7000000000000001E-3</v>
      </c>
      <c r="AE167" s="167"/>
      <c r="AF167" s="285"/>
      <c r="AG167" s="285"/>
      <c r="AH167" s="285"/>
      <c r="AI167" s="285"/>
      <c r="AJ167" s="283"/>
    </row>
    <row r="168" spans="1:36" x14ac:dyDescent="0.3">
      <c r="A168" s="168">
        <v>45212</v>
      </c>
      <c r="B168" s="83">
        <v>49.92</v>
      </c>
      <c r="C168" s="83">
        <v>48.92</v>
      </c>
      <c r="D168" s="83">
        <v>50.17</v>
      </c>
      <c r="E168" s="83">
        <v>48.39</v>
      </c>
      <c r="F168" s="83" t="s">
        <v>2476</v>
      </c>
      <c r="G168" s="284">
        <v>5.04E-2</v>
      </c>
      <c r="I168" s="168">
        <v>45224</v>
      </c>
      <c r="J168" s="286">
        <v>2772.11</v>
      </c>
      <c r="K168" s="286">
        <v>2801.7</v>
      </c>
      <c r="L168" s="286">
        <v>2805.14</v>
      </c>
      <c r="M168" s="286">
        <v>2768.28</v>
      </c>
      <c r="N168" s="284" t="s">
        <v>2437</v>
      </c>
      <c r="P168" s="168">
        <v>45219</v>
      </c>
      <c r="Q168" s="286">
        <v>5.0312000000000001</v>
      </c>
      <c r="R168" s="286">
        <v>5.0648</v>
      </c>
      <c r="S168" s="286">
        <v>5.0990000000000002</v>
      </c>
      <c r="T168" s="286">
        <v>5.0246000000000004</v>
      </c>
      <c r="U168" s="284">
        <v>-6.6E-3</v>
      </c>
      <c r="W168" s="168">
        <v>45209</v>
      </c>
      <c r="X168" s="288">
        <v>116737</v>
      </c>
      <c r="Y168" s="288">
        <v>115158</v>
      </c>
      <c r="Z168" s="288">
        <v>116900</v>
      </c>
      <c r="AA168" s="288">
        <v>115158</v>
      </c>
      <c r="AB168" s="284" t="s">
        <v>2161</v>
      </c>
      <c r="AC168" s="290">
        <v>1.37E-2</v>
      </c>
      <c r="AE168" s="168"/>
      <c r="AF168" s="286"/>
      <c r="AG168" s="286"/>
      <c r="AH168" s="286"/>
      <c r="AI168" s="286"/>
      <c r="AJ168" s="284"/>
    </row>
    <row r="169" spans="1:36" x14ac:dyDescent="0.3">
      <c r="A169" s="167">
        <v>45210</v>
      </c>
      <c r="B169" s="171">
        <v>47.52</v>
      </c>
      <c r="C169" s="171">
        <v>48.02</v>
      </c>
      <c r="D169" s="171">
        <v>48.15</v>
      </c>
      <c r="E169" s="171">
        <v>47.09</v>
      </c>
      <c r="F169" s="171" t="s">
        <v>1735</v>
      </c>
      <c r="G169" s="283">
        <v>-1.35E-2</v>
      </c>
      <c r="I169" s="167">
        <v>45223</v>
      </c>
      <c r="J169" s="285">
        <v>2801.96</v>
      </c>
      <c r="K169" s="285">
        <v>2788.73</v>
      </c>
      <c r="L169" s="285">
        <v>2808.99</v>
      </c>
      <c r="M169" s="285">
        <v>2785.5</v>
      </c>
      <c r="N169" s="283" t="s">
        <v>1381</v>
      </c>
      <c r="P169" s="167">
        <v>45218</v>
      </c>
      <c r="Q169" s="285">
        <v>5.0646000000000004</v>
      </c>
      <c r="R169" s="285">
        <v>5.0598000000000001</v>
      </c>
      <c r="S169" s="285">
        <v>5.0838000000000001</v>
      </c>
      <c r="T169" s="285">
        <v>5.0187999999999997</v>
      </c>
      <c r="U169" s="283">
        <v>1.1000000000000001E-3</v>
      </c>
      <c r="W169" s="167">
        <v>45208</v>
      </c>
      <c r="X169" s="287">
        <v>115156</v>
      </c>
      <c r="Y169" s="287">
        <v>114169</v>
      </c>
      <c r="Z169" s="287">
        <v>115219</v>
      </c>
      <c r="AA169" s="287">
        <v>113448</v>
      </c>
      <c r="AB169" s="283" t="s">
        <v>2039</v>
      </c>
      <c r="AC169" s="289">
        <v>8.6E-3</v>
      </c>
      <c r="AE169" s="167"/>
      <c r="AF169" s="285"/>
      <c r="AG169" s="285"/>
      <c r="AH169" s="285"/>
      <c r="AI169" s="285"/>
      <c r="AJ169" s="283"/>
    </row>
    <row r="170" spans="1:36" x14ac:dyDescent="0.3">
      <c r="A170" s="168">
        <v>45209</v>
      </c>
      <c r="B170" s="83">
        <v>48.17</v>
      </c>
      <c r="C170" s="83">
        <v>48.12</v>
      </c>
      <c r="D170" s="83">
        <v>48.4</v>
      </c>
      <c r="E170" s="83">
        <v>47.59</v>
      </c>
      <c r="F170" s="83" t="s">
        <v>2279</v>
      </c>
      <c r="G170" s="284">
        <v>-4.1000000000000003E-3</v>
      </c>
      <c r="I170" s="168">
        <v>45222</v>
      </c>
      <c r="J170" s="286">
        <v>2786.75</v>
      </c>
      <c r="K170" s="286">
        <v>2790.96</v>
      </c>
      <c r="L170" s="286">
        <v>2806.94</v>
      </c>
      <c r="M170" s="286">
        <v>2768.36</v>
      </c>
      <c r="N170" s="284" t="s">
        <v>1324</v>
      </c>
      <c r="P170" s="168">
        <v>45217</v>
      </c>
      <c r="Q170" s="286">
        <v>5.0590999999999999</v>
      </c>
      <c r="R170" s="286">
        <v>5.0415000000000001</v>
      </c>
      <c r="S170" s="286">
        <v>5.0762</v>
      </c>
      <c r="T170" s="286">
        <v>5.0278</v>
      </c>
      <c r="U170" s="284">
        <v>3.5000000000000001E-3</v>
      </c>
      <c r="W170" s="168">
        <v>45205</v>
      </c>
      <c r="X170" s="288">
        <v>114170</v>
      </c>
      <c r="Y170" s="288">
        <v>113283</v>
      </c>
      <c r="Z170" s="288">
        <v>114491</v>
      </c>
      <c r="AA170" s="288">
        <v>111599</v>
      </c>
      <c r="AB170" s="284" t="s">
        <v>1490</v>
      </c>
      <c r="AC170" s="290">
        <v>7.7999999999999996E-3</v>
      </c>
      <c r="AE170" s="168"/>
      <c r="AF170" s="286"/>
      <c r="AG170" s="286"/>
      <c r="AH170" s="286"/>
      <c r="AI170" s="286"/>
      <c r="AJ170" s="284"/>
    </row>
    <row r="171" spans="1:36" x14ac:dyDescent="0.3">
      <c r="A171" s="167">
        <v>45208</v>
      </c>
      <c r="B171" s="171">
        <v>48.37</v>
      </c>
      <c r="C171" s="171">
        <v>46.01</v>
      </c>
      <c r="D171" s="171">
        <v>48.66</v>
      </c>
      <c r="E171" s="171">
        <v>46.01</v>
      </c>
      <c r="F171" s="171" t="s">
        <v>2475</v>
      </c>
      <c r="G171" s="283">
        <v>8.7800000000000003E-2</v>
      </c>
      <c r="I171" s="167">
        <v>45219</v>
      </c>
      <c r="J171" s="285">
        <v>2791.24</v>
      </c>
      <c r="K171" s="285">
        <v>2823.8</v>
      </c>
      <c r="L171" s="285">
        <v>2824.79</v>
      </c>
      <c r="M171" s="285">
        <v>2790.79</v>
      </c>
      <c r="N171" s="283" t="s">
        <v>1820</v>
      </c>
      <c r="P171" s="167">
        <v>45216</v>
      </c>
      <c r="Q171" s="285">
        <v>5.0414000000000003</v>
      </c>
      <c r="R171" s="285">
        <v>5.0389999999999997</v>
      </c>
      <c r="S171" s="285">
        <v>5.0659000000000001</v>
      </c>
      <c r="T171" s="285">
        <v>5.0092999999999996</v>
      </c>
      <c r="U171" s="283">
        <v>6.9999999999999999E-4</v>
      </c>
      <c r="W171" s="167">
        <v>45204</v>
      </c>
      <c r="X171" s="287">
        <v>113284</v>
      </c>
      <c r="Y171" s="287">
        <v>113609</v>
      </c>
      <c r="Z171" s="287">
        <v>114359</v>
      </c>
      <c r="AA171" s="287">
        <v>112705</v>
      </c>
      <c r="AB171" s="283" t="s">
        <v>2474</v>
      </c>
      <c r="AC171" s="289">
        <v>-2.8E-3</v>
      </c>
      <c r="AE171" s="167"/>
      <c r="AF171" s="285"/>
      <c r="AG171" s="285"/>
      <c r="AH171" s="285"/>
      <c r="AI171" s="285"/>
      <c r="AJ171" s="283"/>
    </row>
    <row r="172" spans="1:36" x14ac:dyDescent="0.3">
      <c r="A172" s="168">
        <v>45205</v>
      </c>
      <c r="B172" s="83">
        <v>44.47</v>
      </c>
      <c r="C172" s="83">
        <v>43.18</v>
      </c>
      <c r="D172" s="83">
        <v>44.79</v>
      </c>
      <c r="E172" s="83">
        <v>43.07</v>
      </c>
      <c r="F172" s="83" t="s">
        <v>2473</v>
      </c>
      <c r="G172" s="284">
        <v>1.9E-2</v>
      </c>
      <c r="I172" s="168">
        <v>45218</v>
      </c>
      <c r="J172" s="286">
        <v>2824.45</v>
      </c>
      <c r="K172" s="286">
        <v>2849.26</v>
      </c>
      <c r="L172" s="286">
        <v>2856.29</v>
      </c>
      <c r="M172" s="286">
        <v>2821.73</v>
      </c>
      <c r="N172" s="284" t="s">
        <v>1241</v>
      </c>
      <c r="P172" s="168">
        <v>45215</v>
      </c>
      <c r="Q172" s="286">
        <v>5.0377000000000001</v>
      </c>
      <c r="R172" s="286">
        <v>5.0532000000000004</v>
      </c>
      <c r="S172" s="286">
        <v>5.0724999999999998</v>
      </c>
      <c r="T172" s="286">
        <v>5.0315000000000003</v>
      </c>
      <c r="U172" s="284">
        <v>-8.3000000000000001E-3</v>
      </c>
      <c r="W172" s="168">
        <v>45203</v>
      </c>
      <c r="X172" s="288">
        <v>113607</v>
      </c>
      <c r="Y172" s="288">
        <v>113430</v>
      </c>
      <c r="Z172" s="288">
        <v>114075</v>
      </c>
      <c r="AA172" s="288">
        <v>113036</v>
      </c>
      <c r="AB172" s="284" t="s">
        <v>1888</v>
      </c>
      <c r="AC172" s="290">
        <v>1.6999999999999999E-3</v>
      </c>
      <c r="AE172" s="168"/>
      <c r="AF172" s="286"/>
      <c r="AG172" s="286"/>
      <c r="AH172" s="286"/>
      <c r="AI172" s="286"/>
      <c r="AJ172" s="284"/>
    </row>
    <row r="173" spans="1:36" x14ac:dyDescent="0.3">
      <c r="A173" s="167">
        <v>45204</v>
      </c>
      <c r="B173" s="171">
        <v>43.64</v>
      </c>
      <c r="C173" s="171">
        <v>43.8</v>
      </c>
      <c r="D173" s="171">
        <v>44.02</v>
      </c>
      <c r="E173" s="171">
        <v>43.13</v>
      </c>
      <c r="F173" s="171" t="s">
        <v>2377</v>
      </c>
      <c r="G173" s="283">
        <v>-4.3E-3</v>
      </c>
      <c r="I173" s="167">
        <v>45217</v>
      </c>
      <c r="J173" s="285">
        <v>2851.89</v>
      </c>
      <c r="K173" s="285">
        <v>2888.64</v>
      </c>
      <c r="L173" s="285">
        <v>2890.31</v>
      </c>
      <c r="M173" s="285">
        <v>2846.4</v>
      </c>
      <c r="N173" s="283" t="s">
        <v>2219</v>
      </c>
      <c r="P173" s="167">
        <v>45212</v>
      </c>
      <c r="Q173" s="285">
        <v>5.0800999999999998</v>
      </c>
      <c r="R173" s="285">
        <v>5.0503999999999998</v>
      </c>
      <c r="S173" s="285">
        <v>5.1031000000000004</v>
      </c>
      <c r="T173" s="285">
        <v>5.0448000000000004</v>
      </c>
      <c r="U173" s="283">
        <v>6.7999999999999996E-3</v>
      </c>
      <c r="W173" s="167">
        <v>45202</v>
      </c>
      <c r="X173" s="287">
        <v>113419</v>
      </c>
      <c r="Y173" s="287">
        <v>115055</v>
      </c>
      <c r="Z173" s="287">
        <v>115056</v>
      </c>
      <c r="AA173" s="287">
        <v>113151</v>
      </c>
      <c r="AB173" s="283" t="s">
        <v>1762</v>
      </c>
      <c r="AC173" s="289">
        <v>-1.4200000000000001E-2</v>
      </c>
      <c r="AE173" s="167"/>
      <c r="AF173" s="285"/>
      <c r="AG173" s="285"/>
      <c r="AH173" s="285"/>
      <c r="AI173" s="285"/>
      <c r="AJ173" s="283"/>
    </row>
    <row r="174" spans="1:36" x14ac:dyDescent="0.3">
      <c r="A174" s="168">
        <v>45203</v>
      </c>
      <c r="B174" s="83">
        <v>43.83</v>
      </c>
      <c r="C174" s="83">
        <v>44.73</v>
      </c>
      <c r="D174" s="83">
        <v>44.92</v>
      </c>
      <c r="E174" s="83">
        <v>43.61</v>
      </c>
      <c r="F174" s="83" t="s">
        <v>2472</v>
      </c>
      <c r="G174" s="284">
        <v>-2.81E-2</v>
      </c>
      <c r="I174" s="168">
        <v>45216</v>
      </c>
      <c r="J174" s="286">
        <v>2888.62</v>
      </c>
      <c r="K174" s="286">
        <v>2888.34</v>
      </c>
      <c r="L174" s="286">
        <v>2899.52</v>
      </c>
      <c r="M174" s="286">
        <v>2867.57</v>
      </c>
      <c r="N174" s="284" t="s">
        <v>1270</v>
      </c>
      <c r="P174" s="168">
        <v>45211</v>
      </c>
      <c r="Q174" s="286">
        <v>5.0460000000000003</v>
      </c>
      <c r="R174" s="286">
        <v>5.0500999999999996</v>
      </c>
      <c r="S174" s="286">
        <v>5.0500999999999996</v>
      </c>
      <c r="T174" s="286">
        <v>5.0449000000000002</v>
      </c>
      <c r="U174" s="284">
        <v>-5.0000000000000001E-4</v>
      </c>
      <c r="W174" s="168">
        <v>45201</v>
      </c>
      <c r="X174" s="288">
        <v>115057</v>
      </c>
      <c r="Y174" s="288">
        <v>116565</v>
      </c>
      <c r="Z174" s="288">
        <v>116672</v>
      </c>
      <c r="AA174" s="288">
        <v>114761</v>
      </c>
      <c r="AB174" s="284" t="s">
        <v>2450</v>
      </c>
      <c r="AC174" s="290">
        <v>-1.29E-2</v>
      </c>
      <c r="AE174" s="168"/>
      <c r="AF174" s="286"/>
      <c r="AG174" s="286"/>
      <c r="AH174" s="286"/>
      <c r="AI174" s="286"/>
      <c r="AJ174" s="284"/>
    </row>
    <row r="175" spans="1:36" x14ac:dyDescent="0.3">
      <c r="A175" s="167">
        <v>45202</v>
      </c>
      <c r="B175" s="171">
        <v>45.1</v>
      </c>
      <c r="C175" s="171">
        <v>45.2</v>
      </c>
      <c r="D175" s="171">
        <v>45.48</v>
      </c>
      <c r="E175" s="171">
        <v>44.39</v>
      </c>
      <c r="F175" s="171" t="s">
        <v>1920</v>
      </c>
      <c r="G175" s="283">
        <v>-5.1000000000000004E-3</v>
      </c>
      <c r="I175" s="167">
        <v>45215</v>
      </c>
      <c r="J175" s="285">
        <v>2885.35</v>
      </c>
      <c r="K175" s="285">
        <v>2863.06</v>
      </c>
      <c r="L175" s="285">
        <v>2890.54</v>
      </c>
      <c r="M175" s="285">
        <v>2858.38</v>
      </c>
      <c r="N175" s="283" t="s">
        <v>1219</v>
      </c>
      <c r="P175" s="167">
        <v>45210</v>
      </c>
      <c r="Q175" s="285">
        <v>5.0483000000000002</v>
      </c>
      <c r="R175" s="285">
        <v>5.0518000000000001</v>
      </c>
      <c r="S175" s="285">
        <v>5.0713999999999997</v>
      </c>
      <c r="T175" s="285">
        <v>5.0279999999999996</v>
      </c>
      <c r="U175" s="283">
        <v>-6.9999999999999999E-4</v>
      </c>
      <c r="W175" s="167">
        <v>45198</v>
      </c>
      <c r="X175" s="287">
        <v>116565</v>
      </c>
      <c r="Y175" s="287">
        <v>115742</v>
      </c>
      <c r="Z175" s="287">
        <v>116899</v>
      </c>
      <c r="AA175" s="287">
        <v>115742</v>
      </c>
      <c r="AB175" s="283" t="s">
        <v>1817</v>
      </c>
      <c r="AC175" s="289">
        <v>7.1999999999999998E-3</v>
      </c>
      <c r="AE175" s="167"/>
      <c r="AF175" s="285"/>
      <c r="AG175" s="285"/>
      <c r="AH175" s="285"/>
      <c r="AI175" s="285"/>
      <c r="AJ175" s="283"/>
    </row>
    <row r="176" spans="1:36" x14ac:dyDescent="0.3">
      <c r="A176" s="168">
        <v>45201</v>
      </c>
      <c r="B176" s="83">
        <v>45.33</v>
      </c>
      <c r="C176" s="83">
        <v>47.04</v>
      </c>
      <c r="D176" s="83">
        <v>47.22</v>
      </c>
      <c r="E176" s="83">
        <v>45.15</v>
      </c>
      <c r="F176" s="83" t="s">
        <v>1510</v>
      </c>
      <c r="G176" s="284">
        <v>-3.49E-2</v>
      </c>
      <c r="I176" s="168">
        <v>45212</v>
      </c>
      <c r="J176" s="286">
        <v>2862.14</v>
      </c>
      <c r="K176" s="286">
        <v>2882.31</v>
      </c>
      <c r="L176" s="286">
        <v>2890.93</v>
      </c>
      <c r="M176" s="286">
        <v>2855.39</v>
      </c>
      <c r="N176" s="284" t="s">
        <v>1733</v>
      </c>
      <c r="P176" s="168">
        <v>45209</v>
      </c>
      <c r="Q176" s="286">
        <v>5.0515999999999996</v>
      </c>
      <c r="R176" s="286">
        <v>5.1353</v>
      </c>
      <c r="S176" s="286">
        <v>5.14</v>
      </c>
      <c r="T176" s="286">
        <v>5.0471000000000004</v>
      </c>
      <c r="U176" s="284">
        <v>-1.6299999999999999E-2</v>
      </c>
      <c r="W176" s="168">
        <v>45197</v>
      </c>
      <c r="X176" s="288">
        <v>115731</v>
      </c>
      <c r="Y176" s="288">
        <v>114327</v>
      </c>
      <c r="Z176" s="288">
        <v>115954</v>
      </c>
      <c r="AA176" s="288">
        <v>114180</v>
      </c>
      <c r="AB176" s="284" t="s">
        <v>1550</v>
      </c>
      <c r="AC176" s="290">
        <v>1.23E-2</v>
      </c>
      <c r="AE176" s="168"/>
      <c r="AF176" s="286"/>
      <c r="AG176" s="286"/>
      <c r="AH176" s="286"/>
      <c r="AI176" s="286"/>
      <c r="AJ176" s="284"/>
    </row>
    <row r="177" spans="1:36" x14ac:dyDescent="0.3">
      <c r="A177" s="167">
        <v>45198</v>
      </c>
      <c r="B177" s="171">
        <v>46.96</v>
      </c>
      <c r="C177" s="171">
        <v>47.67</v>
      </c>
      <c r="D177" s="171">
        <v>47.77</v>
      </c>
      <c r="E177" s="171">
        <v>45.19</v>
      </c>
      <c r="F177" s="171" t="s">
        <v>2168</v>
      </c>
      <c r="G177" s="283">
        <v>-4.1999999999999997E-3</v>
      </c>
      <c r="I177" s="167">
        <v>45211</v>
      </c>
      <c r="J177" s="285">
        <v>2884.06</v>
      </c>
      <c r="K177" s="285">
        <v>2900.8</v>
      </c>
      <c r="L177" s="285">
        <v>2907.2</v>
      </c>
      <c r="M177" s="285">
        <v>2870.73</v>
      </c>
      <c r="N177" s="283" t="s">
        <v>1788</v>
      </c>
      <c r="P177" s="167">
        <v>45208</v>
      </c>
      <c r="Q177" s="285">
        <v>5.1355000000000004</v>
      </c>
      <c r="R177" s="285">
        <v>5.1615000000000002</v>
      </c>
      <c r="S177" s="285">
        <v>5.1820000000000004</v>
      </c>
      <c r="T177" s="285">
        <v>5.1210000000000004</v>
      </c>
      <c r="U177" s="283">
        <v>-2E-3</v>
      </c>
      <c r="W177" s="167">
        <v>45196</v>
      </c>
      <c r="X177" s="287">
        <v>114327</v>
      </c>
      <c r="Y177" s="287">
        <v>114193</v>
      </c>
      <c r="Z177" s="287">
        <v>115340</v>
      </c>
      <c r="AA177" s="287">
        <v>113366</v>
      </c>
      <c r="AB177" s="283" t="s">
        <v>1802</v>
      </c>
      <c r="AC177" s="289">
        <v>1.1999999999999999E-3</v>
      </c>
      <c r="AE177" s="167"/>
      <c r="AF177" s="285"/>
      <c r="AG177" s="285"/>
      <c r="AH177" s="285"/>
      <c r="AI177" s="285"/>
      <c r="AJ177" s="283"/>
    </row>
    <row r="178" spans="1:36" x14ac:dyDescent="0.3">
      <c r="A178" s="168">
        <v>45197</v>
      </c>
      <c r="B178" s="83">
        <v>47.16</v>
      </c>
      <c r="C178" s="83">
        <v>48.22</v>
      </c>
      <c r="D178" s="83">
        <v>48.44</v>
      </c>
      <c r="E178" s="83">
        <v>47.05</v>
      </c>
      <c r="F178" s="83" t="s">
        <v>2471</v>
      </c>
      <c r="G178" s="284">
        <v>-2.1899999999999999E-2</v>
      </c>
      <c r="I178" s="168">
        <v>45210</v>
      </c>
      <c r="J178" s="286">
        <v>2899.5</v>
      </c>
      <c r="K178" s="286">
        <v>2889.59</v>
      </c>
      <c r="L178" s="286">
        <v>2901.44</v>
      </c>
      <c r="M178" s="286">
        <v>2882.07</v>
      </c>
      <c r="N178" s="284" t="s">
        <v>2331</v>
      </c>
      <c r="P178" s="168">
        <v>45205</v>
      </c>
      <c r="Q178" s="286">
        <v>5.1456999999999997</v>
      </c>
      <c r="R178" s="286">
        <v>5.1668000000000003</v>
      </c>
      <c r="S178" s="286">
        <v>5.2210000000000001</v>
      </c>
      <c r="T178" s="286">
        <v>5.1424000000000003</v>
      </c>
      <c r="U178" s="284">
        <v>-3.8999999999999998E-3</v>
      </c>
      <c r="W178" s="168">
        <v>45195</v>
      </c>
      <c r="X178" s="288">
        <v>114193</v>
      </c>
      <c r="Y178" s="288">
        <v>115922</v>
      </c>
      <c r="Z178" s="288">
        <v>115922</v>
      </c>
      <c r="AA178" s="288">
        <v>114162</v>
      </c>
      <c r="AB178" s="284" t="s">
        <v>1340</v>
      </c>
      <c r="AC178" s="290">
        <v>-1.49E-2</v>
      </c>
      <c r="AE178" s="168"/>
      <c r="AF178" s="286"/>
      <c r="AG178" s="286"/>
      <c r="AH178" s="286"/>
      <c r="AI178" s="286"/>
      <c r="AJ178" s="284"/>
    </row>
    <row r="179" spans="1:36" x14ac:dyDescent="0.3">
      <c r="A179" s="167">
        <v>45196</v>
      </c>
      <c r="B179" s="171">
        <v>48.22</v>
      </c>
      <c r="C179" s="171">
        <v>47.68</v>
      </c>
      <c r="D179" s="171">
        <v>48.39</v>
      </c>
      <c r="E179" s="171">
        <v>47.52</v>
      </c>
      <c r="F179" s="171" t="s">
        <v>1631</v>
      </c>
      <c r="G179" s="283">
        <v>2.92E-2</v>
      </c>
      <c r="I179" s="167">
        <v>45209</v>
      </c>
      <c r="J179" s="285">
        <v>2887.89</v>
      </c>
      <c r="K179" s="285">
        <v>2860.46</v>
      </c>
      <c r="L179" s="285">
        <v>2902.42</v>
      </c>
      <c r="M179" s="285">
        <v>2860.42</v>
      </c>
      <c r="N179" s="283" t="s">
        <v>1480</v>
      </c>
      <c r="P179" s="167">
        <v>45204</v>
      </c>
      <c r="Q179" s="285">
        <v>5.1657999999999999</v>
      </c>
      <c r="R179" s="285">
        <v>5.1550000000000002</v>
      </c>
      <c r="S179" s="285">
        <v>5.1883999999999997</v>
      </c>
      <c r="T179" s="285">
        <v>5.1494</v>
      </c>
      <c r="U179" s="283">
        <v>1.9E-3</v>
      </c>
      <c r="W179" s="167">
        <v>45194</v>
      </c>
      <c r="X179" s="287">
        <v>115925</v>
      </c>
      <c r="Y179" s="287">
        <v>116009</v>
      </c>
      <c r="Z179" s="287">
        <v>116031</v>
      </c>
      <c r="AA179" s="287">
        <v>115573</v>
      </c>
      <c r="AB179" s="283" t="s">
        <v>2194</v>
      </c>
      <c r="AC179" s="289">
        <v>-6.9999999999999999E-4</v>
      </c>
      <c r="AE179" s="167"/>
      <c r="AF179" s="285"/>
      <c r="AG179" s="285"/>
      <c r="AH179" s="285"/>
      <c r="AI179" s="285"/>
      <c r="AJ179" s="283"/>
    </row>
    <row r="180" spans="1:36" x14ac:dyDescent="0.3">
      <c r="A180" s="168">
        <v>45195</v>
      </c>
      <c r="B180" s="83">
        <v>46.85</v>
      </c>
      <c r="C180" s="83">
        <v>46.78</v>
      </c>
      <c r="D180" s="83">
        <v>47.02</v>
      </c>
      <c r="E180" s="83">
        <v>46.03</v>
      </c>
      <c r="F180" s="83" t="s">
        <v>2433</v>
      </c>
      <c r="G180" s="284">
        <v>-1.1000000000000001E-3</v>
      </c>
      <c r="I180" s="168">
        <v>45208</v>
      </c>
      <c r="J180" s="286">
        <v>2858.71</v>
      </c>
      <c r="K180" s="286">
        <v>2846.91</v>
      </c>
      <c r="L180" s="286">
        <v>2863.09</v>
      </c>
      <c r="M180" s="286">
        <v>2834.11</v>
      </c>
      <c r="N180" s="284" t="s">
        <v>1229</v>
      </c>
      <c r="P180" s="168">
        <v>45203</v>
      </c>
      <c r="Q180" s="286">
        <v>5.1562000000000001</v>
      </c>
      <c r="R180" s="286">
        <v>5.1673</v>
      </c>
      <c r="S180" s="286">
        <v>5.1788999999999996</v>
      </c>
      <c r="T180" s="286">
        <v>5.1231</v>
      </c>
      <c r="U180" s="284">
        <v>-2.0999999999999999E-3</v>
      </c>
      <c r="W180" s="168">
        <v>45191</v>
      </c>
      <c r="X180" s="288">
        <v>116009</v>
      </c>
      <c r="Y180" s="288">
        <v>116147</v>
      </c>
      <c r="Z180" s="288">
        <v>116968</v>
      </c>
      <c r="AA180" s="288">
        <v>115855</v>
      </c>
      <c r="AB180" s="284" t="s">
        <v>2470</v>
      </c>
      <c r="AC180" s="290">
        <v>-1.1999999999999999E-3</v>
      </c>
      <c r="AE180" s="168"/>
      <c r="AF180" s="286"/>
      <c r="AG180" s="286"/>
      <c r="AH180" s="286"/>
      <c r="AI180" s="286"/>
      <c r="AJ180" s="284"/>
    </row>
    <row r="181" spans="1:36" x14ac:dyDescent="0.3">
      <c r="A181" s="167">
        <v>45194</v>
      </c>
      <c r="B181" s="171">
        <v>46.9</v>
      </c>
      <c r="C181" s="171">
        <v>46.58</v>
      </c>
      <c r="D181" s="171">
        <v>47.09</v>
      </c>
      <c r="E181" s="171">
        <v>46.35</v>
      </c>
      <c r="F181" s="171" t="s">
        <v>2469</v>
      </c>
      <c r="G181" s="283">
        <v>4.7000000000000002E-3</v>
      </c>
      <c r="I181" s="167">
        <v>45205</v>
      </c>
      <c r="J181" s="285">
        <v>2845.23</v>
      </c>
      <c r="K181" s="285">
        <v>2817.86</v>
      </c>
      <c r="L181" s="285">
        <v>2856.21</v>
      </c>
      <c r="M181" s="285">
        <v>2796.92</v>
      </c>
      <c r="N181" s="283" t="s">
        <v>1480</v>
      </c>
      <c r="P181" s="167">
        <v>45202</v>
      </c>
      <c r="Q181" s="285">
        <v>5.1669</v>
      </c>
      <c r="R181" s="285">
        <v>5.0636999999999999</v>
      </c>
      <c r="S181" s="285">
        <v>5.1738999999999997</v>
      </c>
      <c r="T181" s="285">
        <v>5.0636999999999999</v>
      </c>
      <c r="U181" s="283">
        <v>2.0899999999999998E-2</v>
      </c>
      <c r="W181" s="167">
        <v>45190</v>
      </c>
      <c r="X181" s="287">
        <v>116145</v>
      </c>
      <c r="Y181" s="287">
        <v>118695</v>
      </c>
      <c r="Z181" s="287">
        <v>118695</v>
      </c>
      <c r="AA181" s="287">
        <v>116013</v>
      </c>
      <c r="AB181" s="283" t="s">
        <v>2439</v>
      </c>
      <c r="AC181" s="289">
        <v>-2.1499999999999998E-2</v>
      </c>
      <c r="AE181" s="167"/>
      <c r="AF181" s="285"/>
      <c r="AG181" s="285"/>
      <c r="AH181" s="285"/>
      <c r="AI181" s="285"/>
      <c r="AJ181" s="283"/>
    </row>
    <row r="182" spans="1:36" x14ac:dyDescent="0.3">
      <c r="A182" s="168">
        <v>45191</v>
      </c>
      <c r="B182" s="83">
        <v>46.68</v>
      </c>
      <c r="C182" s="83">
        <v>46.92</v>
      </c>
      <c r="D182" s="83">
        <v>47.28</v>
      </c>
      <c r="E182" s="83">
        <v>46.14</v>
      </c>
      <c r="F182" s="83" t="s">
        <v>2468</v>
      </c>
      <c r="G182" s="284">
        <v>6.8999999999999999E-3</v>
      </c>
      <c r="I182" s="168">
        <v>45204</v>
      </c>
      <c r="J182" s="286">
        <v>2816.43</v>
      </c>
      <c r="K182" s="286">
        <v>2812.94</v>
      </c>
      <c r="L182" s="286">
        <v>2821.95</v>
      </c>
      <c r="M182" s="286">
        <v>2800.42</v>
      </c>
      <c r="N182" s="284" t="s">
        <v>1203</v>
      </c>
      <c r="P182" s="168">
        <v>45201</v>
      </c>
      <c r="Q182" s="286">
        <v>5.0609999999999999</v>
      </c>
      <c r="R182" s="286">
        <v>5.0308000000000002</v>
      </c>
      <c r="S182" s="286">
        <v>5.0810000000000004</v>
      </c>
      <c r="T182" s="286">
        <v>5.0308000000000002</v>
      </c>
      <c r="U182" s="284">
        <v>5.7999999999999996E-3</v>
      </c>
      <c r="W182" s="168">
        <v>45189</v>
      </c>
      <c r="X182" s="288">
        <v>118695</v>
      </c>
      <c r="Y182" s="288">
        <v>117864</v>
      </c>
      <c r="Z182" s="288">
        <v>119616</v>
      </c>
      <c r="AA182" s="288">
        <v>117847</v>
      </c>
      <c r="AB182" s="284" t="s">
        <v>2467</v>
      </c>
      <c r="AC182" s="290">
        <v>7.1999999999999998E-3</v>
      </c>
      <c r="AE182" s="168"/>
      <c r="AF182" s="286"/>
      <c r="AG182" s="286"/>
      <c r="AH182" s="286"/>
      <c r="AI182" s="286"/>
      <c r="AJ182" s="284"/>
    </row>
    <row r="183" spans="1:36" x14ac:dyDescent="0.3">
      <c r="A183" s="167">
        <v>45190</v>
      </c>
      <c r="B183" s="171">
        <v>46.37</v>
      </c>
      <c r="C183" s="171">
        <v>48.23</v>
      </c>
      <c r="D183" s="171">
        <v>48.41</v>
      </c>
      <c r="E183" s="171">
        <v>45.95</v>
      </c>
      <c r="F183" s="171" t="s">
        <v>2466</v>
      </c>
      <c r="G183" s="283">
        <v>-4.6600000000000003E-2</v>
      </c>
      <c r="I183" s="167">
        <v>45203</v>
      </c>
      <c r="J183" s="285">
        <v>2810.86</v>
      </c>
      <c r="K183" s="285">
        <v>2797.55</v>
      </c>
      <c r="L183" s="285">
        <v>2814.53</v>
      </c>
      <c r="M183" s="285">
        <v>2788.34</v>
      </c>
      <c r="N183" s="283" t="s">
        <v>2331</v>
      </c>
      <c r="P183" s="167">
        <v>45198</v>
      </c>
      <c r="Q183" s="285">
        <v>5.032</v>
      </c>
      <c r="R183" s="285">
        <v>5.0335000000000001</v>
      </c>
      <c r="S183" s="285">
        <v>5.0406000000000004</v>
      </c>
      <c r="T183" s="285">
        <v>4.9875999999999996</v>
      </c>
      <c r="U183" s="283">
        <v>-2.0000000000000001E-4</v>
      </c>
      <c r="W183" s="167">
        <v>45188</v>
      </c>
      <c r="X183" s="287">
        <v>117846</v>
      </c>
      <c r="Y183" s="287">
        <v>118288</v>
      </c>
      <c r="Z183" s="287">
        <v>118458</v>
      </c>
      <c r="AA183" s="287">
        <v>117628</v>
      </c>
      <c r="AB183" s="283" t="s">
        <v>2465</v>
      </c>
      <c r="AC183" s="289">
        <v>-3.7000000000000002E-3</v>
      </c>
      <c r="AE183" s="167"/>
      <c r="AF183" s="285"/>
      <c r="AG183" s="285"/>
      <c r="AH183" s="285"/>
      <c r="AI183" s="285"/>
      <c r="AJ183" s="283"/>
    </row>
    <row r="184" spans="1:36" x14ac:dyDescent="0.3">
      <c r="A184" s="168">
        <v>45189</v>
      </c>
      <c r="B184" s="83">
        <v>48.63</v>
      </c>
      <c r="C184" s="83">
        <v>48.52</v>
      </c>
      <c r="D184" s="83">
        <v>49.45</v>
      </c>
      <c r="E184" s="83">
        <v>48.35</v>
      </c>
      <c r="F184" s="83" t="s">
        <v>2464</v>
      </c>
      <c r="G184" s="284">
        <v>0</v>
      </c>
      <c r="I184" s="168">
        <v>45202</v>
      </c>
      <c r="J184" s="286">
        <v>2799.64</v>
      </c>
      <c r="K184" s="286">
        <v>2837.54</v>
      </c>
      <c r="L184" s="286">
        <v>2837.57</v>
      </c>
      <c r="M184" s="286">
        <v>2792.84</v>
      </c>
      <c r="N184" s="284" t="s">
        <v>2463</v>
      </c>
      <c r="P184" s="168">
        <v>45197</v>
      </c>
      <c r="Q184" s="286">
        <v>5.0331000000000001</v>
      </c>
      <c r="R184" s="286">
        <v>5.0435999999999996</v>
      </c>
      <c r="S184" s="286">
        <v>5.0701999999999998</v>
      </c>
      <c r="T184" s="286">
        <v>5.0140000000000002</v>
      </c>
      <c r="U184" s="284">
        <v>-1.9E-3</v>
      </c>
      <c r="W184" s="168">
        <v>45187</v>
      </c>
      <c r="X184" s="288">
        <v>118288</v>
      </c>
      <c r="Y184" s="288">
        <v>118759</v>
      </c>
      <c r="Z184" s="288">
        <v>119486</v>
      </c>
      <c r="AA184" s="288">
        <v>118123</v>
      </c>
      <c r="AB184" s="284" t="s">
        <v>2299</v>
      </c>
      <c r="AC184" s="290">
        <v>-4.0000000000000001E-3</v>
      </c>
      <c r="AE184" s="168"/>
      <c r="AF184" s="286"/>
      <c r="AG184" s="286"/>
      <c r="AH184" s="286"/>
      <c r="AI184" s="286"/>
      <c r="AJ184" s="284"/>
    </row>
    <row r="185" spans="1:36" x14ac:dyDescent="0.3">
      <c r="A185" s="167">
        <v>45188</v>
      </c>
      <c r="B185" s="171">
        <v>48.63</v>
      </c>
      <c r="C185" s="171">
        <v>48.41</v>
      </c>
      <c r="D185" s="171">
        <v>48.86</v>
      </c>
      <c r="E185" s="171">
        <v>48.23</v>
      </c>
      <c r="F185" s="171" t="s">
        <v>1416</v>
      </c>
      <c r="G185" s="283">
        <v>1.14E-2</v>
      </c>
      <c r="I185" s="167">
        <v>45201</v>
      </c>
      <c r="J185" s="285">
        <v>2838.78</v>
      </c>
      <c r="K185" s="285">
        <v>2851.03</v>
      </c>
      <c r="L185" s="285">
        <v>2854.07</v>
      </c>
      <c r="M185" s="285">
        <v>2826.03</v>
      </c>
      <c r="N185" s="283" t="s">
        <v>1966</v>
      </c>
      <c r="P185" s="167">
        <v>45196</v>
      </c>
      <c r="Q185" s="285">
        <v>5.0425000000000004</v>
      </c>
      <c r="R185" s="285">
        <v>4.9911000000000003</v>
      </c>
      <c r="S185" s="285">
        <v>5.08</v>
      </c>
      <c r="T185" s="285">
        <v>4.9863999999999997</v>
      </c>
      <c r="U185" s="283">
        <v>1.06E-2</v>
      </c>
      <c r="W185" s="167">
        <v>45184</v>
      </c>
      <c r="X185" s="287">
        <v>118758</v>
      </c>
      <c r="Y185" s="287">
        <v>119393</v>
      </c>
      <c r="Z185" s="287">
        <v>119780</v>
      </c>
      <c r="AA185" s="287">
        <v>118666</v>
      </c>
      <c r="AB185" s="283" t="s">
        <v>2214</v>
      </c>
      <c r="AC185" s="289">
        <v>-5.3E-3</v>
      </c>
      <c r="AE185" s="167"/>
      <c r="AF185" s="285"/>
      <c r="AG185" s="285"/>
      <c r="AH185" s="285"/>
      <c r="AI185" s="285"/>
      <c r="AJ185" s="283"/>
    </row>
    <row r="186" spans="1:36" x14ac:dyDescent="0.3">
      <c r="A186" s="168">
        <v>45187</v>
      </c>
      <c r="B186" s="83">
        <v>48.08</v>
      </c>
      <c r="C186" s="83">
        <v>49.62</v>
      </c>
      <c r="D186" s="83">
        <v>49.75</v>
      </c>
      <c r="E186" s="83">
        <v>47.74</v>
      </c>
      <c r="F186" s="83" t="s">
        <v>2462</v>
      </c>
      <c r="G186" s="284">
        <v>-2.5100000000000001E-2</v>
      </c>
      <c r="I186" s="168">
        <v>45198</v>
      </c>
      <c r="J186" s="286">
        <v>2853.24</v>
      </c>
      <c r="K186" s="286">
        <v>2856.63</v>
      </c>
      <c r="L186" s="286">
        <v>2878.14</v>
      </c>
      <c r="M186" s="286">
        <v>2845.86</v>
      </c>
      <c r="N186" s="284" t="s">
        <v>1440</v>
      </c>
      <c r="P186" s="168">
        <v>45195</v>
      </c>
      <c r="Q186" s="286">
        <v>4.9897999999999998</v>
      </c>
      <c r="R186" s="286">
        <v>4.9683999999999999</v>
      </c>
      <c r="S186" s="286">
        <v>4.9942000000000002</v>
      </c>
      <c r="T186" s="286">
        <v>4.9519000000000002</v>
      </c>
      <c r="U186" s="284">
        <v>4.4000000000000003E-3</v>
      </c>
      <c r="W186" s="168">
        <v>45183</v>
      </c>
      <c r="X186" s="288">
        <v>119392</v>
      </c>
      <c r="Y186" s="288">
        <v>118181</v>
      </c>
      <c r="Z186" s="288">
        <v>119748</v>
      </c>
      <c r="AA186" s="288">
        <v>118181</v>
      </c>
      <c r="AB186" s="284" t="s">
        <v>1693</v>
      </c>
      <c r="AC186" s="290">
        <v>1.03E-2</v>
      </c>
      <c r="AE186" s="168"/>
      <c r="AF186" s="286"/>
      <c r="AG186" s="286"/>
      <c r="AH186" s="286"/>
      <c r="AI186" s="286"/>
      <c r="AJ186" s="284"/>
    </row>
    <row r="187" spans="1:36" x14ac:dyDescent="0.3">
      <c r="A187" s="167">
        <v>45184</v>
      </c>
      <c r="B187" s="171">
        <v>49.32</v>
      </c>
      <c r="C187" s="171">
        <v>49.37</v>
      </c>
      <c r="D187" s="171">
        <v>49.6</v>
      </c>
      <c r="E187" s="171">
        <v>48.53</v>
      </c>
      <c r="F187" s="171" t="s">
        <v>2461</v>
      </c>
      <c r="G187" s="283">
        <v>3.0000000000000001E-3</v>
      </c>
      <c r="I187" s="167">
        <v>45197</v>
      </c>
      <c r="J187" s="285">
        <v>2855.88</v>
      </c>
      <c r="K187" s="285">
        <v>2840.19</v>
      </c>
      <c r="L187" s="285">
        <v>2865.13</v>
      </c>
      <c r="M187" s="285">
        <v>2835.06</v>
      </c>
      <c r="N187" s="283" t="s">
        <v>1197</v>
      </c>
      <c r="P187" s="167">
        <v>45194</v>
      </c>
      <c r="Q187" s="285">
        <v>4.9678000000000004</v>
      </c>
      <c r="R187" s="285">
        <v>4.9320000000000004</v>
      </c>
      <c r="S187" s="285">
        <v>4.9759000000000002</v>
      </c>
      <c r="T187" s="285">
        <v>4.9320000000000004</v>
      </c>
      <c r="U187" s="283">
        <v>6.6E-3</v>
      </c>
      <c r="W187" s="167">
        <v>45182</v>
      </c>
      <c r="X187" s="287">
        <v>118176</v>
      </c>
      <c r="Y187" s="287">
        <v>117968</v>
      </c>
      <c r="Z187" s="287">
        <v>119318</v>
      </c>
      <c r="AA187" s="287">
        <v>117722</v>
      </c>
      <c r="AB187" s="283" t="s">
        <v>1567</v>
      </c>
      <c r="AC187" s="289">
        <v>1.8E-3</v>
      </c>
      <c r="AE187" s="167"/>
      <c r="AF187" s="285"/>
      <c r="AG187" s="285"/>
      <c r="AH187" s="285"/>
      <c r="AI187" s="285"/>
      <c r="AJ187" s="283"/>
    </row>
    <row r="188" spans="1:36" x14ac:dyDescent="0.3">
      <c r="A188" s="168">
        <v>45183</v>
      </c>
      <c r="B188" s="83">
        <v>49.17</v>
      </c>
      <c r="C188" s="83">
        <v>48.72</v>
      </c>
      <c r="D188" s="83">
        <v>49.32</v>
      </c>
      <c r="E188" s="83">
        <v>48.55</v>
      </c>
      <c r="F188" s="83" t="s">
        <v>2429</v>
      </c>
      <c r="G188" s="284">
        <v>2.18E-2</v>
      </c>
      <c r="I188" s="168">
        <v>45196</v>
      </c>
      <c r="J188" s="286">
        <v>2840.82</v>
      </c>
      <c r="K188" s="286">
        <v>2843.54</v>
      </c>
      <c r="L188" s="286">
        <v>2851.63</v>
      </c>
      <c r="M188" s="286">
        <v>2822.18</v>
      </c>
      <c r="N188" s="284" t="s">
        <v>1349</v>
      </c>
      <c r="P188" s="168">
        <v>45191</v>
      </c>
      <c r="Q188" s="286">
        <v>4.9351000000000003</v>
      </c>
      <c r="R188" s="286">
        <v>4.9367000000000001</v>
      </c>
      <c r="S188" s="286">
        <v>4.9381000000000004</v>
      </c>
      <c r="T188" s="286">
        <v>4.9032999999999998</v>
      </c>
      <c r="U188" s="284">
        <v>0</v>
      </c>
      <c r="W188" s="168">
        <v>45181</v>
      </c>
      <c r="X188" s="288">
        <v>117968</v>
      </c>
      <c r="Y188" s="288">
        <v>116885</v>
      </c>
      <c r="Z188" s="288">
        <v>118154</v>
      </c>
      <c r="AA188" s="288">
        <v>116885</v>
      </c>
      <c r="AB188" s="284" t="s">
        <v>2460</v>
      </c>
      <c r="AC188" s="290">
        <v>9.2999999999999992E-3</v>
      </c>
      <c r="AE188" s="168"/>
      <c r="AF188" s="286"/>
      <c r="AG188" s="286"/>
      <c r="AH188" s="286"/>
      <c r="AI188" s="286"/>
      <c r="AJ188" s="284"/>
    </row>
    <row r="189" spans="1:36" x14ac:dyDescent="0.3">
      <c r="A189" s="167">
        <v>45182</v>
      </c>
      <c r="B189" s="171">
        <v>48.12</v>
      </c>
      <c r="C189" s="171">
        <v>48.23</v>
      </c>
      <c r="D189" s="171">
        <v>48.75</v>
      </c>
      <c r="E189" s="171">
        <v>47.86</v>
      </c>
      <c r="F189" s="171" t="s">
        <v>2271</v>
      </c>
      <c r="G189" s="283">
        <v>1.9E-3</v>
      </c>
      <c r="I189" s="167">
        <v>45195</v>
      </c>
      <c r="J189" s="285">
        <v>2844.83</v>
      </c>
      <c r="K189" s="285">
        <v>2881.06</v>
      </c>
      <c r="L189" s="285">
        <v>2881.12</v>
      </c>
      <c r="M189" s="285">
        <v>2840.23</v>
      </c>
      <c r="N189" s="283" t="s">
        <v>1233</v>
      </c>
      <c r="P189" s="167">
        <v>45190</v>
      </c>
      <c r="Q189" s="285">
        <v>4.9351000000000003</v>
      </c>
      <c r="R189" s="285">
        <v>4.8802000000000003</v>
      </c>
      <c r="S189" s="285">
        <v>4.9396000000000004</v>
      </c>
      <c r="T189" s="285">
        <v>4.8795000000000002</v>
      </c>
      <c r="U189" s="283">
        <v>1.1299999999999999E-2</v>
      </c>
      <c r="W189" s="167">
        <v>45180</v>
      </c>
      <c r="X189" s="287">
        <v>116883</v>
      </c>
      <c r="Y189" s="287">
        <v>115316</v>
      </c>
      <c r="Z189" s="287">
        <v>117131</v>
      </c>
      <c r="AA189" s="287">
        <v>115316</v>
      </c>
      <c r="AB189" s="283" t="s">
        <v>2459</v>
      </c>
      <c r="AC189" s="289">
        <v>1.3599999999999999E-2</v>
      </c>
      <c r="AE189" s="167"/>
      <c r="AF189" s="285"/>
      <c r="AG189" s="285"/>
      <c r="AH189" s="285"/>
      <c r="AI189" s="285"/>
      <c r="AJ189" s="283"/>
    </row>
    <row r="190" spans="1:36" x14ac:dyDescent="0.3">
      <c r="A190" s="168">
        <v>45181</v>
      </c>
      <c r="B190" s="83">
        <v>48.03</v>
      </c>
      <c r="C190" s="83">
        <v>48.17</v>
      </c>
      <c r="D190" s="83">
        <v>48.63</v>
      </c>
      <c r="E190" s="83">
        <v>47.77</v>
      </c>
      <c r="F190" s="83" t="s">
        <v>2458</v>
      </c>
      <c r="G190" s="284">
        <v>8.3999999999999995E-3</v>
      </c>
      <c r="I190" s="168">
        <v>45194</v>
      </c>
      <c r="J190" s="286">
        <v>2879.79</v>
      </c>
      <c r="K190" s="286">
        <v>2878.59</v>
      </c>
      <c r="L190" s="286">
        <v>2881.29</v>
      </c>
      <c r="M190" s="286">
        <v>2861.9</v>
      </c>
      <c r="N190" s="284" t="s">
        <v>1195</v>
      </c>
      <c r="P190" s="168">
        <v>45189</v>
      </c>
      <c r="Q190" s="286">
        <v>4.8800999999999997</v>
      </c>
      <c r="R190" s="286">
        <v>4.867</v>
      </c>
      <c r="S190" s="286">
        <v>4.8840000000000003</v>
      </c>
      <c r="T190" s="286">
        <v>4.8422000000000001</v>
      </c>
      <c r="U190" s="284">
        <v>2.5999999999999999E-3</v>
      </c>
      <c r="W190" s="168">
        <v>45177</v>
      </c>
      <c r="X190" s="288">
        <v>115313</v>
      </c>
      <c r="Y190" s="288">
        <v>115979</v>
      </c>
      <c r="Z190" s="288">
        <v>115979</v>
      </c>
      <c r="AA190" s="288">
        <v>114839</v>
      </c>
      <c r="AB190" s="284" t="s">
        <v>1442</v>
      </c>
      <c r="AC190" s="290">
        <v>-5.7999999999999996E-3</v>
      </c>
      <c r="AE190" s="168"/>
      <c r="AF190" s="286"/>
      <c r="AG190" s="286"/>
      <c r="AH190" s="286"/>
      <c r="AI190" s="286"/>
      <c r="AJ190" s="284"/>
    </row>
    <row r="191" spans="1:36" x14ac:dyDescent="0.3">
      <c r="A191" s="167">
        <v>45180</v>
      </c>
      <c r="B191" s="171">
        <v>47.63</v>
      </c>
      <c r="C191" s="171">
        <v>47.4</v>
      </c>
      <c r="D191" s="171">
        <v>48.26</v>
      </c>
      <c r="E191" s="171">
        <v>46.74</v>
      </c>
      <c r="F191" s="171" t="s">
        <v>2457</v>
      </c>
      <c r="G191" s="283">
        <v>3.2000000000000002E-3</v>
      </c>
      <c r="I191" s="167">
        <v>45191</v>
      </c>
      <c r="J191" s="285">
        <v>2879.85</v>
      </c>
      <c r="K191" s="285">
        <v>2884.03</v>
      </c>
      <c r="L191" s="285">
        <v>2897.4</v>
      </c>
      <c r="M191" s="285">
        <v>2876.79</v>
      </c>
      <c r="N191" s="283" t="s">
        <v>1250</v>
      </c>
      <c r="P191" s="167">
        <v>45188</v>
      </c>
      <c r="Q191" s="285">
        <v>4.8673000000000002</v>
      </c>
      <c r="R191" s="285">
        <v>4.8552999999999997</v>
      </c>
      <c r="S191" s="285">
        <v>4.8761000000000001</v>
      </c>
      <c r="T191" s="285">
        <v>4.8390000000000004</v>
      </c>
      <c r="U191" s="283">
        <v>2.3999999999999998E-3</v>
      </c>
      <c r="W191" s="167">
        <v>45175</v>
      </c>
      <c r="X191" s="287">
        <v>115985</v>
      </c>
      <c r="Y191" s="287">
        <v>117331</v>
      </c>
      <c r="Z191" s="287">
        <v>117971</v>
      </c>
      <c r="AA191" s="287">
        <v>115984</v>
      </c>
      <c r="AB191" s="283" t="s">
        <v>1375</v>
      </c>
      <c r="AC191" s="289">
        <v>-1.15E-2</v>
      </c>
      <c r="AE191" s="167"/>
      <c r="AF191" s="285"/>
      <c r="AG191" s="285"/>
      <c r="AH191" s="285"/>
      <c r="AI191" s="285"/>
      <c r="AJ191" s="283"/>
    </row>
    <row r="192" spans="1:36" x14ac:dyDescent="0.3">
      <c r="A192" s="168">
        <v>45178</v>
      </c>
      <c r="B192" s="83">
        <v>47.48</v>
      </c>
      <c r="C192" s="83">
        <v>47.48</v>
      </c>
      <c r="D192" s="83">
        <v>47.48</v>
      </c>
      <c r="E192" s="83">
        <v>47.48</v>
      </c>
      <c r="F192" s="83"/>
      <c r="G192" s="284">
        <v>1.4E-3</v>
      </c>
      <c r="I192" s="168">
        <v>45190</v>
      </c>
      <c r="J192" s="286">
        <v>2886.07</v>
      </c>
      <c r="K192" s="286">
        <v>2930.95</v>
      </c>
      <c r="L192" s="286">
        <v>2930.95</v>
      </c>
      <c r="M192" s="286">
        <v>2885.71</v>
      </c>
      <c r="N192" s="284" t="s">
        <v>1709</v>
      </c>
      <c r="P192" s="168">
        <v>45187</v>
      </c>
      <c r="Q192" s="286">
        <v>4.8555999999999999</v>
      </c>
      <c r="R192" s="286">
        <v>4.8685</v>
      </c>
      <c r="S192" s="286">
        <v>4.8784000000000001</v>
      </c>
      <c r="T192" s="286">
        <v>4.8407999999999998</v>
      </c>
      <c r="U192" s="284">
        <v>-2.2000000000000001E-3</v>
      </c>
      <c r="W192" s="168">
        <v>45174</v>
      </c>
      <c r="X192" s="288">
        <v>117331</v>
      </c>
      <c r="Y192" s="288">
        <v>117776</v>
      </c>
      <c r="Z192" s="288">
        <v>117957</v>
      </c>
      <c r="AA192" s="288">
        <v>116637</v>
      </c>
      <c r="AB192" s="284" t="s">
        <v>2364</v>
      </c>
      <c r="AC192" s="290">
        <v>-3.8E-3</v>
      </c>
      <c r="AE192" s="168"/>
      <c r="AF192" s="286"/>
      <c r="AG192" s="286"/>
      <c r="AH192" s="286"/>
      <c r="AI192" s="286"/>
      <c r="AJ192" s="284"/>
    </row>
    <row r="193" spans="1:36" x14ac:dyDescent="0.3">
      <c r="A193" s="167">
        <v>45177</v>
      </c>
      <c r="B193" s="171">
        <v>47.41</v>
      </c>
      <c r="C193" s="171">
        <v>46.51</v>
      </c>
      <c r="D193" s="171">
        <v>47.46</v>
      </c>
      <c r="E193" s="171">
        <v>46.29</v>
      </c>
      <c r="F193" s="171" t="s">
        <v>2456</v>
      </c>
      <c r="G193" s="283">
        <v>1.4999999999999999E-2</v>
      </c>
      <c r="I193" s="167">
        <v>45189</v>
      </c>
      <c r="J193" s="285">
        <v>2936.36</v>
      </c>
      <c r="K193" s="285">
        <v>2950.6</v>
      </c>
      <c r="L193" s="285">
        <v>2964.67</v>
      </c>
      <c r="M193" s="285">
        <v>2931.35</v>
      </c>
      <c r="N193" s="283" t="s">
        <v>1558</v>
      </c>
      <c r="P193" s="167">
        <v>45184</v>
      </c>
      <c r="Q193" s="285">
        <v>4.8662999999999998</v>
      </c>
      <c r="R193" s="285">
        <v>4.8681999999999999</v>
      </c>
      <c r="S193" s="285">
        <v>4.8802000000000003</v>
      </c>
      <c r="T193" s="285">
        <v>4.8583999999999996</v>
      </c>
      <c r="U193" s="283">
        <v>-1E-4</v>
      </c>
      <c r="W193" s="167">
        <v>45173</v>
      </c>
      <c r="X193" s="287">
        <v>117777</v>
      </c>
      <c r="Y193" s="287">
        <v>117893</v>
      </c>
      <c r="Z193" s="287">
        <v>118576</v>
      </c>
      <c r="AA193" s="287">
        <v>117590</v>
      </c>
      <c r="AB193" s="283" t="s">
        <v>2455</v>
      </c>
      <c r="AC193" s="289">
        <v>-1E-3</v>
      </c>
      <c r="AE193" s="167"/>
      <c r="AF193" s="285"/>
      <c r="AG193" s="285"/>
      <c r="AH193" s="285"/>
      <c r="AI193" s="285"/>
      <c r="AJ193" s="283"/>
    </row>
    <row r="194" spans="1:36" x14ac:dyDescent="0.3">
      <c r="A194" s="168">
        <v>45175</v>
      </c>
      <c r="B194" s="83">
        <v>46.71</v>
      </c>
      <c r="C194" s="83">
        <v>47.42</v>
      </c>
      <c r="D194" s="83">
        <v>47.72</v>
      </c>
      <c r="E194" s="83">
        <v>46.66</v>
      </c>
      <c r="F194" s="83" t="s">
        <v>2454</v>
      </c>
      <c r="G194" s="284">
        <v>-1.47E-2</v>
      </c>
      <c r="I194" s="168">
        <v>45188</v>
      </c>
      <c r="J194" s="286">
        <v>2951.17</v>
      </c>
      <c r="K194" s="286">
        <v>2956.48</v>
      </c>
      <c r="L194" s="286">
        <v>2959.16</v>
      </c>
      <c r="M194" s="286">
        <v>2937.6</v>
      </c>
      <c r="N194" s="284" t="s">
        <v>1430</v>
      </c>
      <c r="P194" s="168">
        <v>45183</v>
      </c>
      <c r="Q194" s="286">
        <v>4.8667999999999996</v>
      </c>
      <c r="R194" s="286">
        <v>4.9166999999999996</v>
      </c>
      <c r="S194" s="286">
        <v>4.9214000000000002</v>
      </c>
      <c r="T194" s="286">
        <v>4.8620000000000001</v>
      </c>
      <c r="U194" s="284">
        <v>-9.9000000000000008E-3</v>
      </c>
      <c r="W194" s="168">
        <v>45170</v>
      </c>
      <c r="X194" s="288">
        <v>117893</v>
      </c>
      <c r="Y194" s="288">
        <v>115744</v>
      </c>
      <c r="Z194" s="288">
        <v>117991</v>
      </c>
      <c r="AA194" s="288">
        <v>115744</v>
      </c>
      <c r="AB194" s="284" t="s">
        <v>2133</v>
      </c>
      <c r="AC194" s="290">
        <v>1.8599999999999998E-2</v>
      </c>
      <c r="AE194" s="168"/>
      <c r="AF194" s="286"/>
      <c r="AG194" s="286"/>
      <c r="AH194" s="286"/>
      <c r="AI194" s="286"/>
      <c r="AJ194" s="284"/>
    </row>
    <row r="195" spans="1:36" x14ac:dyDescent="0.3">
      <c r="A195" s="167">
        <v>45174</v>
      </c>
      <c r="B195" s="171">
        <v>47.41</v>
      </c>
      <c r="C195" s="171">
        <v>46.32</v>
      </c>
      <c r="D195" s="171">
        <v>48.05</v>
      </c>
      <c r="E195" s="171">
        <v>46.19</v>
      </c>
      <c r="F195" s="171" t="s">
        <v>1674</v>
      </c>
      <c r="G195" s="283">
        <v>1.89E-2</v>
      </c>
      <c r="I195" s="167">
        <v>45187</v>
      </c>
      <c r="J195" s="285">
        <v>2956.14</v>
      </c>
      <c r="K195" s="285">
        <v>2961.04</v>
      </c>
      <c r="L195" s="285">
        <v>2963.06</v>
      </c>
      <c r="M195" s="285">
        <v>2950.62</v>
      </c>
      <c r="N195" s="283" t="s">
        <v>1324</v>
      </c>
      <c r="P195" s="167">
        <v>45182</v>
      </c>
      <c r="Q195" s="285">
        <v>4.9153000000000002</v>
      </c>
      <c r="R195" s="285">
        <v>4.9474</v>
      </c>
      <c r="S195" s="285">
        <v>4.9683000000000002</v>
      </c>
      <c r="T195" s="285">
        <v>4.8944999999999999</v>
      </c>
      <c r="U195" s="283">
        <v>-6.4000000000000003E-3</v>
      </c>
      <c r="W195" s="167">
        <v>45169</v>
      </c>
      <c r="X195" s="287">
        <v>115742</v>
      </c>
      <c r="Y195" s="287">
        <v>117537</v>
      </c>
      <c r="Z195" s="287">
        <v>117637</v>
      </c>
      <c r="AA195" s="287">
        <v>115742</v>
      </c>
      <c r="AB195" s="283" t="s">
        <v>2110</v>
      </c>
      <c r="AC195" s="289">
        <v>-1.5299999999999999E-2</v>
      </c>
      <c r="AE195" s="167"/>
      <c r="AF195" s="285"/>
      <c r="AG195" s="285"/>
      <c r="AH195" s="285"/>
      <c r="AI195" s="285"/>
      <c r="AJ195" s="283"/>
    </row>
    <row r="196" spans="1:36" x14ac:dyDescent="0.3">
      <c r="A196" s="168">
        <v>45173</v>
      </c>
      <c r="B196" s="83">
        <v>46.54</v>
      </c>
      <c r="C196" s="83">
        <v>46.72</v>
      </c>
      <c r="D196" s="83">
        <v>46.94</v>
      </c>
      <c r="E196" s="83">
        <v>46.34</v>
      </c>
      <c r="F196" s="83" t="s">
        <v>2453</v>
      </c>
      <c r="G196" s="284">
        <v>-7.1999999999999998E-3</v>
      </c>
      <c r="I196" s="168">
        <v>45184</v>
      </c>
      <c r="J196" s="286">
        <v>2960.98</v>
      </c>
      <c r="K196" s="286">
        <v>2982.06</v>
      </c>
      <c r="L196" s="286">
        <v>2990.12</v>
      </c>
      <c r="M196" s="286">
        <v>2958.65</v>
      </c>
      <c r="N196" s="284" t="s">
        <v>1609</v>
      </c>
      <c r="P196" s="168">
        <v>45181</v>
      </c>
      <c r="Q196" s="286">
        <v>4.9470000000000001</v>
      </c>
      <c r="R196" s="286">
        <v>4.9306999999999999</v>
      </c>
      <c r="S196" s="286">
        <v>4.9690000000000003</v>
      </c>
      <c r="T196" s="286">
        <v>4.9306999999999999</v>
      </c>
      <c r="U196" s="284">
        <v>3.3E-3</v>
      </c>
      <c r="W196" s="168">
        <v>45168</v>
      </c>
      <c r="X196" s="288">
        <v>117535</v>
      </c>
      <c r="Y196" s="288">
        <v>118404</v>
      </c>
      <c r="Z196" s="288">
        <v>118841</v>
      </c>
      <c r="AA196" s="288">
        <v>117471</v>
      </c>
      <c r="AB196" s="284" t="s">
        <v>2303</v>
      </c>
      <c r="AC196" s="290">
        <v>-7.3000000000000001E-3</v>
      </c>
      <c r="AE196" s="168"/>
      <c r="AF196" s="286"/>
      <c r="AG196" s="286"/>
      <c r="AH196" s="286"/>
      <c r="AI196" s="286"/>
      <c r="AJ196" s="284"/>
    </row>
    <row r="197" spans="1:36" x14ac:dyDescent="0.3">
      <c r="A197" s="167">
        <v>45170</v>
      </c>
      <c r="B197" s="171">
        <v>46.87</v>
      </c>
      <c r="C197" s="171">
        <v>46.91</v>
      </c>
      <c r="D197" s="171">
        <v>47.42</v>
      </c>
      <c r="E197" s="171">
        <v>46.14</v>
      </c>
      <c r="F197" s="171" t="s">
        <v>1600</v>
      </c>
      <c r="G197" s="283">
        <v>1.14E-2</v>
      </c>
      <c r="I197" s="167">
        <v>45183</v>
      </c>
      <c r="J197" s="285">
        <v>2982.68</v>
      </c>
      <c r="K197" s="285">
        <v>2957.59</v>
      </c>
      <c r="L197" s="285">
        <v>2984.41</v>
      </c>
      <c r="M197" s="285">
        <v>2957.37</v>
      </c>
      <c r="N197" s="283" t="s">
        <v>1657</v>
      </c>
      <c r="P197" s="167">
        <v>45180</v>
      </c>
      <c r="Q197" s="285">
        <v>4.9306999999999999</v>
      </c>
      <c r="R197" s="285">
        <v>4.9844999999999997</v>
      </c>
      <c r="S197" s="285">
        <v>4.9866999999999999</v>
      </c>
      <c r="T197" s="285">
        <v>4.9202000000000004</v>
      </c>
      <c r="U197" s="283">
        <v>-1.15E-2</v>
      </c>
      <c r="W197" s="167">
        <v>45167</v>
      </c>
      <c r="X197" s="287">
        <v>118404</v>
      </c>
      <c r="Y197" s="287">
        <v>117124</v>
      </c>
      <c r="Z197" s="287">
        <v>118493</v>
      </c>
      <c r="AA197" s="287">
        <v>117124</v>
      </c>
      <c r="AB197" s="283" t="s">
        <v>1552</v>
      </c>
      <c r="AC197" s="289">
        <v>1.0999999999999999E-2</v>
      </c>
      <c r="AE197" s="167"/>
      <c r="AF197" s="285"/>
      <c r="AG197" s="285"/>
      <c r="AH197" s="285"/>
      <c r="AI197" s="285"/>
      <c r="AJ197" s="283"/>
    </row>
    <row r="198" spans="1:36" x14ac:dyDescent="0.3">
      <c r="A198" s="168">
        <v>45169</v>
      </c>
      <c r="B198" s="83">
        <v>46.35</v>
      </c>
      <c r="C198" s="83">
        <v>45.94</v>
      </c>
      <c r="D198" s="83">
        <v>47.22</v>
      </c>
      <c r="E198" s="83">
        <v>45.64</v>
      </c>
      <c r="F198" s="83" t="s">
        <v>1501</v>
      </c>
      <c r="G198" s="284">
        <v>1.3299999999999999E-2</v>
      </c>
      <c r="I198" s="168">
        <v>45182</v>
      </c>
      <c r="J198" s="286">
        <v>2956.84</v>
      </c>
      <c r="K198" s="286">
        <v>2957.41</v>
      </c>
      <c r="L198" s="286">
        <v>2963.35</v>
      </c>
      <c r="M198" s="286">
        <v>2949.01</v>
      </c>
      <c r="N198" s="284" t="s">
        <v>1399</v>
      </c>
      <c r="P198" s="168">
        <v>45177</v>
      </c>
      <c r="Q198" s="286">
        <v>4.9882</v>
      </c>
      <c r="R198" s="286">
        <v>4.9786999999999999</v>
      </c>
      <c r="S198" s="286">
        <v>4.9949000000000003</v>
      </c>
      <c r="T198" s="286">
        <v>4.9635999999999996</v>
      </c>
      <c r="U198" s="284">
        <v>2.3E-3</v>
      </c>
      <c r="W198" s="168">
        <v>45166</v>
      </c>
      <c r="X198" s="288">
        <v>117121</v>
      </c>
      <c r="Y198" s="288">
        <v>115838</v>
      </c>
      <c r="Z198" s="288">
        <v>117253</v>
      </c>
      <c r="AA198" s="288">
        <v>115836</v>
      </c>
      <c r="AB198" s="284" t="s">
        <v>2452</v>
      </c>
      <c r="AC198" s="290">
        <v>1.11E-2</v>
      </c>
      <c r="AE198" s="168"/>
      <c r="AF198" s="286"/>
      <c r="AG198" s="286"/>
      <c r="AH198" s="286"/>
      <c r="AI198" s="286"/>
      <c r="AJ198" s="284"/>
    </row>
    <row r="199" spans="1:36" x14ac:dyDescent="0.3">
      <c r="A199" s="167">
        <v>45168</v>
      </c>
      <c r="B199" s="171">
        <v>45.74</v>
      </c>
      <c r="C199" s="171">
        <v>45.9</v>
      </c>
      <c r="D199" s="171">
        <v>46.06</v>
      </c>
      <c r="E199" s="171">
        <v>45.37</v>
      </c>
      <c r="F199" s="171" t="s">
        <v>2451</v>
      </c>
      <c r="G199" s="283">
        <v>-8.9999999999999998E-4</v>
      </c>
      <c r="I199" s="167">
        <v>45181</v>
      </c>
      <c r="J199" s="285">
        <v>2955.87</v>
      </c>
      <c r="K199" s="285">
        <v>2969.95</v>
      </c>
      <c r="L199" s="285">
        <v>2971.68</v>
      </c>
      <c r="M199" s="285">
        <v>2954.94</v>
      </c>
      <c r="N199" s="283" t="s">
        <v>1226</v>
      </c>
      <c r="P199" s="167">
        <v>45176</v>
      </c>
      <c r="Q199" s="285">
        <v>4.9767000000000001</v>
      </c>
      <c r="R199" s="285">
        <v>4.9786999999999999</v>
      </c>
      <c r="S199" s="285">
        <v>4.9786999999999999</v>
      </c>
      <c r="T199" s="285">
        <v>4.9772999999999996</v>
      </c>
      <c r="U199" s="283">
        <v>-2.9999999999999997E-4</v>
      </c>
      <c r="W199" s="167">
        <v>45163</v>
      </c>
      <c r="X199" s="287">
        <v>115837</v>
      </c>
      <c r="Y199" s="287">
        <v>117025</v>
      </c>
      <c r="Z199" s="287">
        <v>117252</v>
      </c>
      <c r="AA199" s="287">
        <v>115397</v>
      </c>
      <c r="AB199" s="283" t="s">
        <v>1566</v>
      </c>
      <c r="AC199" s="289">
        <v>-1.0200000000000001E-2</v>
      </c>
      <c r="AE199" s="167"/>
      <c r="AF199" s="285"/>
      <c r="AG199" s="285"/>
      <c r="AH199" s="285"/>
      <c r="AI199" s="285"/>
      <c r="AJ199" s="283"/>
    </row>
    <row r="200" spans="1:36" x14ac:dyDescent="0.3">
      <c r="A200" s="168">
        <v>45167</v>
      </c>
      <c r="B200" s="83">
        <v>45.78</v>
      </c>
      <c r="C200" s="83">
        <v>46.92</v>
      </c>
      <c r="D200" s="83">
        <v>47.1</v>
      </c>
      <c r="E200" s="83">
        <v>45.56</v>
      </c>
      <c r="F200" s="83" t="s">
        <v>2450</v>
      </c>
      <c r="G200" s="284">
        <v>-1.7999999999999999E-2</v>
      </c>
      <c r="I200" s="168">
        <v>45180</v>
      </c>
      <c r="J200" s="286">
        <v>2969.45</v>
      </c>
      <c r="K200" s="286">
        <v>2950.38</v>
      </c>
      <c r="L200" s="286">
        <v>2970.48</v>
      </c>
      <c r="M200" s="286">
        <v>2949.16</v>
      </c>
      <c r="N200" s="284" t="s">
        <v>1200</v>
      </c>
      <c r="P200" s="168">
        <v>45175</v>
      </c>
      <c r="Q200" s="286">
        <v>4.9783999999999997</v>
      </c>
      <c r="R200" s="286">
        <v>4.968</v>
      </c>
      <c r="S200" s="286">
        <v>4.9953000000000003</v>
      </c>
      <c r="T200" s="286">
        <v>4.9535999999999998</v>
      </c>
      <c r="U200" s="284">
        <v>2.3E-3</v>
      </c>
      <c r="W200" s="168">
        <v>45162</v>
      </c>
      <c r="X200" s="288">
        <v>117026</v>
      </c>
      <c r="Y200" s="288">
        <v>118135</v>
      </c>
      <c r="Z200" s="288">
        <v>118136</v>
      </c>
      <c r="AA200" s="288">
        <v>116848</v>
      </c>
      <c r="AB200" s="284" t="s">
        <v>2414</v>
      </c>
      <c r="AC200" s="290">
        <v>-9.4000000000000004E-3</v>
      </c>
      <c r="AE200" s="168"/>
      <c r="AF200" s="286"/>
      <c r="AG200" s="286"/>
      <c r="AH200" s="286"/>
      <c r="AI200" s="286"/>
      <c r="AJ200" s="284"/>
    </row>
    <row r="201" spans="1:36" x14ac:dyDescent="0.3">
      <c r="A201" s="167">
        <v>45166</v>
      </c>
      <c r="B201" s="171">
        <v>46.62</v>
      </c>
      <c r="C201" s="171">
        <v>46.34</v>
      </c>
      <c r="D201" s="171">
        <v>46.72</v>
      </c>
      <c r="E201" s="171">
        <v>46.13</v>
      </c>
      <c r="F201" s="171" t="s">
        <v>2449</v>
      </c>
      <c r="G201" s="283">
        <v>6.4999999999999997E-3</v>
      </c>
      <c r="I201" s="167">
        <v>45177</v>
      </c>
      <c r="J201" s="285">
        <v>2948.81</v>
      </c>
      <c r="K201" s="285">
        <v>2945.76</v>
      </c>
      <c r="L201" s="285">
        <v>2957.4</v>
      </c>
      <c r="M201" s="285">
        <v>2941.2</v>
      </c>
      <c r="N201" s="283" t="s">
        <v>1304</v>
      </c>
      <c r="P201" s="167">
        <v>45174</v>
      </c>
      <c r="Q201" s="285">
        <v>4.9671000000000003</v>
      </c>
      <c r="R201" s="285">
        <v>4.9375999999999998</v>
      </c>
      <c r="S201" s="285">
        <v>4.9866000000000001</v>
      </c>
      <c r="T201" s="285">
        <v>4.9375999999999998</v>
      </c>
      <c r="U201" s="283">
        <v>6.0000000000000001E-3</v>
      </c>
      <c r="W201" s="167">
        <v>45161</v>
      </c>
      <c r="X201" s="287">
        <v>118135</v>
      </c>
      <c r="Y201" s="287">
        <v>116160</v>
      </c>
      <c r="Z201" s="287">
        <v>118135</v>
      </c>
      <c r="AA201" s="287">
        <v>116159</v>
      </c>
      <c r="AB201" s="283" t="s">
        <v>1638</v>
      </c>
      <c r="AC201" s="289">
        <v>1.7000000000000001E-2</v>
      </c>
      <c r="AE201" s="167"/>
      <c r="AF201" s="285"/>
      <c r="AG201" s="285"/>
      <c r="AH201" s="285"/>
      <c r="AI201" s="285"/>
      <c r="AJ201" s="283"/>
    </row>
    <row r="202" spans="1:36" x14ac:dyDescent="0.3">
      <c r="A202" s="168">
        <v>45163</v>
      </c>
      <c r="B202" s="83">
        <v>46.32</v>
      </c>
      <c r="C202" s="83">
        <v>46.39</v>
      </c>
      <c r="D202" s="83">
        <v>46.8</v>
      </c>
      <c r="E202" s="83">
        <v>45.55</v>
      </c>
      <c r="F202" s="83" t="s">
        <v>2448</v>
      </c>
      <c r="G202" s="284">
        <v>7.1999999999999998E-3</v>
      </c>
      <c r="I202" s="168">
        <v>45176</v>
      </c>
      <c r="J202" s="286">
        <v>2947.11</v>
      </c>
      <c r="K202" s="286">
        <v>2956.03</v>
      </c>
      <c r="L202" s="286">
        <v>2956.61</v>
      </c>
      <c r="M202" s="286">
        <v>2935.11</v>
      </c>
      <c r="N202" s="284" t="s">
        <v>1443</v>
      </c>
      <c r="P202" s="168">
        <v>45173</v>
      </c>
      <c r="Q202" s="286">
        <v>4.9375999999999998</v>
      </c>
      <c r="R202" s="286">
        <v>4.9485000000000001</v>
      </c>
      <c r="S202" s="286">
        <v>4.9489999999999998</v>
      </c>
      <c r="T202" s="286">
        <v>4.9069000000000003</v>
      </c>
      <c r="U202" s="284">
        <v>-1.8E-3</v>
      </c>
      <c r="W202" s="168">
        <v>45160</v>
      </c>
      <c r="X202" s="288">
        <v>116156</v>
      </c>
      <c r="Y202" s="288">
        <v>114433</v>
      </c>
      <c r="Z202" s="288">
        <v>116286</v>
      </c>
      <c r="AA202" s="288">
        <v>114433</v>
      </c>
      <c r="AB202" s="284" t="s">
        <v>1386</v>
      </c>
      <c r="AC202" s="290">
        <v>1.5100000000000001E-2</v>
      </c>
      <c r="AE202" s="168"/>
      <c r="AF202" s="286"/>
      <c r="AG202" s="286"/>
      <c r="AH202" s="286"/>
      <c r="AI202" s="286"/>
      <c r="AJ202" s="284"/>
    </row>
    <row r="203" spans="1:36" x14ac:dyDescent="0.3">
      <c r="A203" s="167">
        <v>45162</v>
      </c>
      <c r="B203" s="171">
        <v>45.99</v>
      </c>
      <c r="C203" s="171">
        <v>45.83</v>
      </c>
      <c r="D203" s="171">
        <v>46.42</v>
      </c>
      <c r="E203" s="171">
        <v>45.33</v>
      </c>
      <c r="F203" s="171" t="s">
        <v>2447</v>
      </c>
      <c r="G203" s="283">
        <v>4.5999999999999999E-3</v>
      </c>
      <c r="I203" s="167">
        <v>45175</v>
      </c>
      <c r="J203" s="285">
        <v>2955.82</v>
      </c>
      <c r="K203" s="285">
        <v>2975.01</v>
      </c>
      <c r="L203" s="285">
        <v>2976.84</v>
      </c>
      <c r="M203" s="285">
        <v>2945.85</v>
      </c>
      <c r="N203" s="283" t="s">
        <v>2446</v>
      </c>
      <c r="P203" s="167">
        <v>45170</v>
      </c>
      <c r="Q203" s="285">
        <v>4.9462999999999999</v>
      </c>
      <c r="R203" s="285">
        <v>4.9554999999999998</v>
      </c>
      <c r="S203" s="285">
        <v>4.9558</v>
      </c>
      <c r="T203" s="285">
        <v>4.8997000000000002</v>
      </c>
      <c r="U203" s="283">
        <v>-1.6000000000000001E-3</v>
      </c>
      <c r="W203" s="167">
        <v>45159</v>
      </c>
      <c r="X203" s="287">
        <v>114429</v>
      </c>
      <c r="Y203" s="287">
        <v>115404</v>
      </c>
      <c r="Z203" s="287">
        <v>115425</v>
      </c>
      <c r="AA203" s="287">
        <v>114067</v>
      </c>
      <c r="AB203" s="283" t="s">
        <v>2031</v>
      </c>
      <c r="AC203" s="289">
        <v>-8.5000000000000006E-3</v>
      </c>
      <c r="AE203" s="167"/>
      <c r="AF203" s="285"/>
      <c r="AG203" s="285"/>
      <c r="AH203" s="285"/>
      <c r="AI203" s="285"/>
      <c r="AJ203" s="283"/>
    </row>
    <row r="204" spans="1:36" x14ac:dyDescent="0.3">
      <c r="A204" s="168">
        <v>45161</v>
      </c>
      <c r="B204" s="83">
        <v>45.78</v>
      </c>
      <c r="C204" s="83">
        <v>44.72</v>
      </c>
      <c r="D204" s="83">
        <v>46.11</v>
      </c>
      <c r="E204" s="83">
        <v>44.03</v>
      </c>
      <c r="F204" s="83" t="s">
        <v>1513</v>
      </c>
      <c r="G204" s="284">
        <v>1.66E-2</v>
      </c>
      <c r="I204" s="168">
        <v>45174</v>
      </c>
      <c r="J204" s="286">
        <v>2973.45</v>
      </c>
      <c r="K204" s="286">
        <v>2990.41</v>
      </c>
      <c r="L204" s="286">
        <v>2990.87</v>
      </c>
      <c r="M204" s="286">
        <v>2973.45</v>
      </c>
      <c r="N204" s="284" t="s">
        <v>1238</v>
      </c>
      <c r="P204" s="168">
        <v>45169</v>
      </c>
      <c r="Q204" s="286">
        <v>4.9543999999999997</v>
      </c>
      <c r="R204" s="286">
        <v>4.8875999999999999</v>
      </c>
      <c r="S204" s="286">
        <v>4.9612999999999996</v>
      </c>
      <c r="T204" s="286">
        <v>4.8639000000000001</v>
      </c>
      <c r="U204" s="284">
        <v>1.34E-2</v>
      </c>
      <c r="W204" s="168">
        <v>45156</v>
      </c>
      <c r="X204" s="288">
        <v>115409</v>
      </c>
      <c r="Y204" s="288">
        <v>114973</v>
      </c>
      <c r="Z204" s="288">
        <v>115729</v>
      </c>
      <c r="AA204" s="288">
        <v>114423</v>
      </c>
      <c r="AB204" s="284" t="s">
        <v>2012</v>
      </c>
      <c r="AC204" s="290">
        <v>3.7000000000000002E-3</v>
      </c>
      <c r="AE204" s="168"/>
      <c r="AF204" s="286"/>
      <c r="AG204" s="286"/>
      <c r="AH204" s="286"/>
      <c r="AI204" s="286"/>
      <c r="AJ204" s="284"/>
    </row>
    <row r="205" spans="1:36" x14ac:dyDescent="0.3">
      <c r="A205" s="167">
        <v>45160</v>
      </c>
      <c r="B205" s="171">
        <v>45.03</v>
      </c>
      <c r="C205" s="171">
        <v>44.74</v>
      </c>
      <c r="D205" s="171">
        <v>45.39</v>
      </c>
      <c r="E205" s="171">
        <v>44.58</v>
      </c>
      <c r="F205" s="171" t="s">
        <v>2445</v>
      </c>
      <c r="G205" s="283">
        <v>7.7999999999999996E-3</v>
      </c>
      <c r="I205" s="167">
        <v>45173</v>
      </c>
      <c r="J205" s="285">
        <v>2990.17</v>
      </c>
      <c r="K205" s="285">
        <v>2988.86</v>
      </c>
      <c r="L205" s="285">
        <v>2995.78</v>
      </c>
      <c r="M205" s="285">
        <v>2988.45</v>
      </c>
      <c r="N205" s="283" t="s">
        <v>1514</v>
      </c>
      <c r="P205" s="167">
        <v>45168</v>
      </c>
      <c r="Q205" s="285">
        <v>4.8890000000000002</v>
      </c>
      <c r="R205" s="285">
        <v>4.8536000000000001</v>
      </c>
      <c r="S205" s="285">
        <v>4.8924000000000003</v>
      </c>
      <c r="T205" s="285">
        <v>4.8423999999999996</v>
      </c>
      <c r="U205" s="283">
        <v>7.6E-3</v>
      </c>
      <c r="W205" s="167">
        <v>45155</v>
      </c>
      <c r="X205" s="287">
        <v>114982</v>
      </c>
      <c r="Y205" s="287">
        <v>115592</v>
      </c>
      <c r="Z205" s="287">
        <v>116610</v>
      </c>
      <c r="AA205" s="287">
        <v>114859</v>
      </c>
      <c r="AB205" s="283" t="s">
        <v>2164</v>
      </c>
      <c r="AC205" s="289">
        <v>-5.3E-3</v>
      </c>
      <c r="AE205" s="167"/>
      <c r="AF205" s="285"/>
      <c r="AG205" s="285"/>
      <c r="AH205" s="285"/>
      <c r="AI205" s="285"/>
      <c r="AJ205" s="283"/>
    </row>
    <row r="206" spans="1:36" x14ac:dyDescent="0.3">
      <c r="A206" s="168">
        <v>45159</v>
      </c>
      <c r="B206" s="83">
        <v>44.68</v>
      </c>
      <c r="C206" s="83">
        <v>45.43</v>
      </c>
      <c r="D206" s="83">
        <v>46.03</v>
      </c>
      <c r="E206" s="83">
        <v>44.25</v>
      </c>
      <c r="F206" s="83" t="s">
        <v>1472</v>
      </c>
      <c r="G206" s="284">
        <v>-9.2999999999999992E-3</v>
      </c>
      <c r="I206" s="168">
        <v>45170</v>
      </c>
      <c r="J206" s="286">
        <v>2989.51</v>
      </c>
      <c r="K206" s="286">
        <v>2985.63</v>
      </c>
      <c r="L206" s="286">
        <v>3008.4</v>
      </c>
      <c r="M206" s="286">
        <v>2981.44</v>
      </c>
      <c r="N206" s="284" t="s">
        <v>1426</v>
      </c>
      <c r="P206" s="168">
        <v>45167</v>
      </c>
      <c r="Q206" s="286">
        <v>4.8522999999999996</v>
      </c>
      <c r="R206" s="286">
        <v>4.8753000000000002</v>
      </c>
      <c r="S206" s="286">
        <v>4.9027000000000003</v>
      </c>
      <c r="T206" s="286">
        <v>4.8480999999999996</v>
      </c>
      <c r="U206" s="284">
        <v>-4.3E-3</v>
      </c>
      <c r="W206" s="168">
        <v>45154</v>
      </c>
      <c r="X206" s="288">
        <v>115592</v>
      </c>
      <c r="Y206" s="288">
        <v>116171</v>
      </c>
      <c r="Z206" s="288">
        <v>117338</v>
      </c>
      <c r="AA206" s="288">
        <v>115534</v>
      </c>
      <c r="AB206" s="284" t="s">
        <v>2349</v>
      </c>
      <c r="AC206" s="290">
        <v>-5.0000000000000001E-3</v>
      </c>
      <c r="AE206" s="168"/>
      <c r="AF206" s="286"/>
      <c r="AG206" s="286"/>
      <c r="AH206" s="286"/>
      <c r="AI206" s="286"/>
      <c r="AJ206" s="284"/>
    </row>
    <row r="207" spans="1:36" x14ac:dyDescent="0.3">
      <c r="A207" s="167">
        <v>45156</v>
      </c>
      <c r="B207" s="171">
        <v>45.1</v>
      </c>
      <c r="C207" s="171">
        <v>44.93</v>
      </c>
      <c r="D207" s="171">
        <v>45.38</v>
      </c>
      <c r="E207" s="171">
        <v>44.45</v>
      </c>
      <c r="F207" s="171" t="s">
        <v>2444</v>
      </c>
      <c r="G207" s="283">
        <v>-4.5999999999999999E-3</v>
      </c>
      <c r="I207" s="167">
        <v>45169</v>
      </c>
      <c r="J207" s="285">
        <v>2986.02</v>
      </c>
      <c r="K207" s="285">
        <v>2990.78</v>
      </c>
      <c r="L207" s="285">
        <v>2999.51</v>
      </c>
      <c r="M207" s="285">
        <v>2985.46</v>
      </c>
      <c r="N207" s="283" t="s">
        <v>2443</v>
      </c>
      <c r="P207" s="167">
        <v>45166</v>
      </c>
      <c r="Q207" s="285">
        <v>4.8731</v>
      </c>
      <c r="R207" s="285">
        <v>4.8719000000000001</v>
      </c>
      <c r="S207" s="285">
        <v>4.9120999999999997</v>
      </c>
      <c r="T207" s="285">
        <v>4.8630000000000004</v>
      </c>
      <c r="U207" s="283">
        <v>4.0000000000000002E-4</v>
      </c>
      <c r="W207" s="167">
        <v>45153</v>
      </c>
      <c r="X207" s="287">
        <v>116171</v>
      </c>
      <c r="Y207" s="287">
        <v>116809</v>
      </c>
      <c r="Z207" s="287">
        <v>117697</v>
      </c>
      <c r="AA207" s="287">
        <v>116033</v>
      </c>
      <c r="AB207" s="283" t="s">
        <v>2102</v>
      </c>
      <c r="AC207" s="289">
        <v>-5.4999999999999997E-3</v>
      </c>
      <c r="AE207" s="167"/>
      <c r="AF207" s="285"/>
      <c r="AG207" s="285"/>
      <c r="AH207" s="285"/>
      <c r="AI207" s="285"/>
      <c r="AJ207" s="283"/>
    </row>
    <row r="208" spans="1:36" x14ac:dyDescent="0.3">
      <c r="A208" s="168">
        <v>45155</v>
      </c>
      <c r="B208" s="83">
        <v>45.31</v>
      </c>
      <c r="C208" s="83">
        <v>46.67</v>
      </c>
      <c r="D208" s="83">
        <v>46.91</v>
      </c>
      <c r="E208" s="83">
        <v>45.07</v>
      </c>
      <c r="F208" s="83" t="s">
        <v>2442</v>
      </c>
      <c r="G208" s="284">
        <v>-1.2999999999999999E-2</v>
      </c>
      <c r="I208" s="168">
        <v>45168</v>
      </c>
      <c r="J208" s="286">
        <v>2991.52</v>
      </c>
      <c r="K208" s="286">
        <v>2979.49</v>
      </c>
      <c r="L208" s="286">
        <v>2996.89</v>
      </c>
      <c r="M208" s="286">
        <v>2977.66</v>
      </c>
      <c r="N208" s="284" t="s">
        <v>1612</v>
      </c>
      <c r="P208" s="168">
        <v>45163</v>
      </c>
      <c r="Q208" s="286">
        <v>4.8711000000000002</v>
      </c>
      <c r="R208" s="286">
        <v>4.8815999999999997</v>
      </c>
      <c r="S208" s="286">
        <v>4.9013999999999998</v>
      </c>
      <c r="T208" s="286">
        <v>4.8559999999999999</v>
      </c>
      <c r="U208" s="284">
        <v>-1.9E-3</v>
      </c>
      <c r="W208" s="168">
        <v>45152</v>
      </c>
      <c r="X208" s="288">
        <v>116810</v>
      </c>
      <c r="Y208" s="288">
        <v>118067</v>
      </c>
      <c r="Z208" s="288">
        <v>118082</v>
      </c>
      <c r="AA208" s="288">
        <v>116530</v>
      </c>
      <c r="AB208" s="284" t="s">
        <v>1711</v>
      </c>
      <c r="AC208" s="290">
        <v>-1.06E-2</v>
      </c>
      <c r="AE208" s="168"/>
      <c r="AF208" s="286"/>
      <c r="AG208" s="286"/>
      <c r="AH208" s="286"/>
      <c r="AI208" s="286"/>
      <c r="AJ208" s="284"/>
    </row>
    <row r="209" spans="1:36" x14ac:dyDescent="0.3">
      <c r="A209" s="167">
        <v>45154</v>
      </c>
      <c r="B209" s="171">
        <v>45.91</v>
      </c>
      <c r="C209" s="171">
        <v>46.99</v>
      </c>
      <c r="D209" s="171">
        <v>47.47</v>
      </c>
      <c r="E209" s="171">
        <v>45.75</v>
      </c>
      <c r="F209" s="171" t="s">
        <v>1469</v>
      </c>
      <c r="G209" s="283">
        <v>-1.7899999999999999E-2</v>
      </c>
      <c r="I209" s="167">
        <v>45167</v>
      </c>
      <c r="J209" s="285">
        <v>2975.5</v>
      </c>
      <c r="K209" s="285">
        <v>2937.56</v>
      </c>
      <c r="L209" s="285">
        <v>2980.41</v>
      </c>
      <c r="M209" s="285">
        <v>2936.86</v>
      </c>
      <c r="N209" s="283" t="s">
        <v>1215</v>
      </c>
      <c r="P209" s="167">
        <v>45162</v>
      </c>
      <c r="Q209" s="285">
        <v>4.8802000000000003</v>
      </c>
      <c r="R209" s="285">
        <v>4.8575999999999997</v>
      </c>
      <c r="S209" s="285">
        <v>4.8879999999999999</v>
      </c>
      <c r="T209" s="285">
        <v>4.8544999999999998</v>
      </c>
      <c r="U209" s="283">
        <v>4.7000000000000002E-3</v>
      </c>
      <c r="W209" s="167">
        <v>45149</v>
      </c>
      <c r="X209" s="287">
        <v>118065</v>
      </c>
      <c r="Y209" s="287">
        <v>118350</v>
      </c>
      <c r="Z209" s="287">
        <v>119054</v>
      </c>
      <c r="AA209" s="287">
        <v>117415</v>
      </c>
      <c r="AB209" s="283" t="s">
        <v>2441</v>
      </c>
      <c r="AC209" s="289">
        <v>-2.3999999999999998E-3</v>
      </c>
      <c r="AE209" s="167"/>
      <c r="AF209" s="285"/>
      <c r="AG209" s="285"/>
      <c r="AH209" s="285"/>
      <c r="AI209" s="285"/>
      <c r="AJ209" s="283"/>
    </row>
    <row r="210" spans="1:36" x14ac:dyDescent="0.3">
      <c r="A210" s="168">
        <v>45153</v>
      </c>
      <c r="B210" s="83">
        <v>46.74</v>
      </c>
      <c r="C210" s="83">
        <v>47.82</v>
      </c>
      <c r="D210" s="83">
        <v>47.92</v>
      </c>
      <c r="E210" s="83">
        <v>45.84</v>
      </c>
      <c r="F210" s="83" t="s">
        <v>2440</v>
      </c>
      <c r="G210" s="284">
        <v>-3.6400000000000002E-2</v>
      </c>
      <c r="I210" s="168">
        <v>45166</v>
      </c>
      <c r="J210" s="286">
        <v>2935.71</v>
      </c>
      <c r="K210" s="286">
        <v>2915.46</v>
      </c>
      <c r="L210" s="286">
        <v>2939.34</v>
      </c>
      <c r="M210" s="286">
        <v>2915.46</v>
      </c>
      <c r="N210" s="284" t="s">
        <v>1219</v>
      </c>
      <c r="P210" s="168">
        <v>45161</v>
      </c>
      <c r="Q210" s="286">
        <v>4.8571999999999997</v>
      </c>
      <c r="R210" s="286">
        <v>4.9367000000000001</v>
      </c>
      <c r="S210" s="286">
        <v>4.9432999999999998</v>
      </c>
      <c r="T210" s="286">
        <v>4.8456999999999999</v>
      </c>
      <c r="U210" s="284">
        <v>-1.6500000000000001E-2</v>
      </c>
      <c r="W210" s="168">
        <v>45148</v>
      </c>
      <c r="X210" s="288">
        <v>118350</v>
      </c>
      <c r="Y210" s="288">
        <v>118412</v>
      </c>
      <c r="Z210" s="288">
        <v>119438</v>
      </c>
      <c r="AA210" s="288">
        <v>118113</v>
      </c>
      <c r="AB210" s="284" t="s">
        <v>2439</v>
      </c>
      <c r="AC210" s="290">
        <v>-5.0000000000000001E-4</v>
      </c>
      <c r="AE210" s="168"/>
      <c r="AF210" s="286"/>
      <c r="AG210" s="286"/>
      <c r="AH210" s="286"/>
      <c r="AI210" s="286"/>
      <c r="AJ210" s="284"/>
    </row>
    <row r="211" spans="1:36" x14ac:dyDescent="0.3">
      <c r="A211" s="167">
        <v>45152</v>
      </c>
      <c r="B211" s="171">
        <v>48.51</v>
      </c>
      <c r="C211" s="171">
        <v>48.26</v>
      </c>
      <c r="D211" s="171">
        <v>48.56</v>
      </c>
      <c r="E211" s="171">
        <v>47.67</v>
      </c>
      <c r="F211" s="171" t="s">
        <v>2438</v>
      </c>
      <c r="G211" s="283">
        <v>4.7999999999999996E-3</v>
      </c>
      <c r="I211" s="167">
        <v>45163</v>
      </c>
      <c r="J211" s="285">
        <v>2911.99</v>
      </c>
      <c r="K211" s="285">
        <v>2901.53</v>
      </c>
      <c r="L211" s="285">
        <v>2924.13</v>
      </c>
      <c r="M211" s="285">
        <v>2887.45</v>
      </c>
      <c r="N211" s="283" t="s">
        <v>1203</v>
      </c>
      <c r="P211" s="167">
        <v>45160</v>
      </c>
      <c r="Q211" s="285">
        <v>4.9386000000000001</v>
      </c>
      <c r="R211" s="285">
        <v>4.9802</v>
      </c>
      <c r="S211" s="285">
        <v>4.9805000000000001</v>
      </c>
      <c r="T211" s="285">
        <v>4.9250999999999996</v>
      </c>
      <c r="U211" s="283">
        <v>-8.2000000000000007E-3</v>
      </c>
      <c r="W211" s="167">
        <v>45147</v>
      </c>
      <c r="X211" s="287">
        <v>118409</v>
      </c>
      <c r="Y211" s="287">
        <v>119090</v>
      </c>
      <c r="Z211" s="287">
        <v>119090</v>
      </c>
      <c r="AA211" s="287">
        <v>117901</v>
      </c>
      <c r="AB211" s="283" t="s">
        <v>1667</v>
      </c>
      <c r="AC211" s="289">
        <v>-5.7000000000000002E-3</v>
      </c>
      <c r="AE211" s="167"/>
      <c r="AF211" s="285"/>
      <c r="AG211" s="285"/>
      <c r="AH211" s="285"/>
      <c r="AI211" s="285"/>
      <c r="AJ211" s="283"/>
    </row>
    <row r="212" spans="1:36" x14ac:dyDescent="0.3">
      <c r="A212" s="168">
        <v>45149</v>
      </c>
      <c r="B212" s="83">
        <v>48.28</v>
      </c>
      <c r="C212" s="83">
        <v>47.7</v>
      </c>
      <c r="D212" s="83">
        <v>48.57</v>
      </c>
      <c r="E212" s="83">
        <v>47.59</v>
      </c>
      <c r="F212" s="83" t="s">
        <v>2197</v>
      </c>
      <c r="G212" s="284">
        <v>2.07E-2</v>
      </c>
      <c r="I212" s="168">
        <v>45162</v>
      </c>
      <c r="J212" s="286">
        <v>2906.25</v>
      </c>
      <c r="K212" s="286">
        <v>2939.41</v>
      </c>
      <c r="L212" s="286">
        <v>2947.75</v>
      </c>
      <c r="M212" s="286">
        <v>2903.75</v>
      </c>
      <c r="N212" s="284" t="s">
        <v>2437</v>
      </c>
      <c r="P212" s="168">
        <v>45159</v>
      </c>
      <c r="Q212" s="286">
        <v>4.9793000000000003</v>
      </c>
      <c r="R212" s="286">
        <v>4.9683999999999999</v>
      </c>
      <c r="S212" s="286">
        <v>4.9966999999999997</v>
      </c>
      <c r="T212" s="286">
        <v>4.9562999999999997</v>
      </c>
      <c r="U212" s="284">
        <v>2E-3</v>
      </c>
      <c r="W212" s="168">
        <v>45146</v>
      </c>
      <c r="X212" s="288">
        <v>119090</v>
      </c>
      <c r="Y212" s="288">
        <v>119378</v>
      </c>
      <c r="Z212" s="288">
        <v>119553</v>
      </c>
      <c r="AA212" s="288">
        <v>117492</v>
      </c>
      <c r="AB212" s="284" t="s">
        <v>2155</v>
      </c>
      <c r="AC212" s="290">
        <v>-2.3999999999999998E-3</v>
      </c>
      <c r="AE212" s="168"/>
      <c r="AF212" s="286"/>
      <c r="AG212" s="286"/>
      <c r="AH212" s="286"/>
      <c r="AI212" s="286"/>
      <c r="AJ212" s="284"/>
    </row>
    <row r="213" spans="1:36" x14ac:dyDescent="0.3">
      <c r="A213" s="167">
        <v>45148</v>
      </c>
      <c r="B213" s="171">
        <v>47.3</v>
      </c>
      <c r="C213" s="171">
        <v>48.12</v>
      </c>
      <c r="D213" s="171">
        <v>48.47</v>
      </c>
      <c r="E213" s="171">
        <v>46.88</v>
      </c>
      <c r="F213" s="171" t="s">
        <v>2436</v>
      </c>
      <c r="G213" s="283">
        <v>-1.54E-2</v>
      </c>
      <c r="I213" s="167">
        <v>45161</v>
      </c>
      <c r="J213" s="285">
        <v>2937.7</v>
      </c>
      <c r="K213" s="285">
        <v>2908.39</v>
      </c>
      <c r="L213" s="285">
        <v>2942.58</v>
      </c>
      <c r="M213" s="285">
        <v>2908.27</v>
      </c>
      <c r="N213" s="283" t="s">
        <v>1876</v>
      </c>
      <c r="P213" s="167">
        <v>45156</v>
      </c>
      <c r="Q213" s="285">
        <v>4.9694000000000003</v>
      </c>
      <c r="R213" s="285">
        <v>4.976</v>
      </c>
      <c r="S213" s="285">
        <v>5.0023999999999997</v>
      </c>
      <c r="T213" s="285">
        <v>4.9566999999999997</v>
      </c>
      <c r="U213" s="283">
        <v>-1.2999999999999999E-3</v>
      </c>
      <c r="W213" s="167">
        <v>45145</v>
      </c>
      <c r="X213" s="287">
        <v>119380</v>
      </c>
      <c r="Y213" s="287">
        <v>119509</v>
      </c>
      <c r="Z213" s="287">
        <v>120104</v>
      </c>
      <c r="AA213" s="287">
        <v>118894</v>
      </c>
      <c r="AB213" s="283" t="s">
        <v>2435</v>
      </c>
      <c r="AC213" s="289">
        <v>-1.1000000000000001E-3</v>
      </c>
      <c r="AE213" s="167"/>
      <c r="AF213" s="285"/>
      <c r="AG213" s="285"/>
      <c r="AH213" s="285"/>
      <c r="AI213" s="285"/>
      <c r="AJ213" s="283"/>
    </row>
    <row r="214" spans="1:36" x14ac:dyDescent="0.3">
      <c r="A214" s="168">
        <v>45147</v>
      </c>
      <c r="B214" s="83">
        <v>48.04</v>
      </c>
      <c r="C214" s="83">
        <v>48.28</v>
      </c>
      <c r="D214" s="83">
        <v>48.55</v>
      </c>
      <c r="E214" s="83">
        <v>47.6</v>
      </c>
      <c r="F214" s="83" t="s">
        <v>2434</v>
      </c>
      <c r="G214" s="284">
        <v>5.4000000000000003E-3</v>
      </c>
      <c r="I214" s="168">
        <v>45160</v>
      </c>
      <c r="J214" s="286">
        <v>2909.19</v>
      </c>
      <c r="K214" s="286">
        <v>2912.42</v>
      </c>
      <c r="L214" s="286">
        <v>2925.3</v>
      </c>
      <c r="M214" s="286">
        <v>2906.69</v>
      </c>
      <c r="N214" s="284" t="s">
        <v>1206</v>
      </c>
      <c r="P214" s="168">
        <v>45155</v>
      </c>
      <c r="Q214" s="286">
        <v>4.9757999999999996</v>
      </c>
      <c r="R214" s="286">
        <v>4.9882999999999997</v>
      </c>
      <c r="S214" s="286">
        <v>4.9969999999999999</v>
      </c>
      <c r="T214" s="286">
        <v>4.9583000000000004</v>
      </c>
      <c r="U214" s="284">
        <v>-2.3999999999999998E-3</v>
      </c>
      <c r="W214" s="168">
        <v>45142</v>
      </c>
      <c r="X214" s="288">
        <v>119508</v>
      </c>
      <c r="Y214" s="288">
        <v>120586</v>
      </c>
      <c r="Z214" s="288">
        <v>121442</v>
      </c>
      <c r="AA214" s="288">
        <v>119215</v>
      </c>
      <c r="AB214" s="284" t="s">
        <v>2355</v>
      </c>
      <c r="AC214" s="290">
        <v>-8.8999999999999999E-3</v>
      </c>
      <c r="AE214" s="168"/>
      <c r="AF214" s="286"/>
      <c r="AG214" s="286"/>
      <c r="AH214" s="286"/>
      <c r="AI214" s="286"/>
      <c r="AJ214" s="284"/>
    </row>
    <row r="215" spans="1:36" x14ac:dyDescent="0.3">
      <c r="A215" s="167">
        <v>45146</v>
      </c>
      <c r="B215" s="171">
        <v>47.78</v>
      </c>
      <c r="C215" s="171">
        <v>46.92</v>
      </c>
      <c r="D215" s="171">
        <v>47.89</v>
      </c>
      <c r="E215" s="171">
        <v>46.57</v>
      </c>
      <c r="F215" s="171" t="s">
        <v>2433</v>
      </c>
      <c r="G215" s="283">
        <v>1E-3</v>
      </c>
      <c r="I215" s="167">
        <v>45159</v>
      </c>
      <c r="J215" s="285">
        <v>2910.52</v>
      </c>
      <c r="K215" s="285">
        <v>2897.94</v>
      </c>
      <c r="L215" s="285">
        <v>2915.08</v>
      </c>
      <c r="M215" s="285">
        <v>2892.18</v>
      </c>
      <c r="N215" s="283" t="s">
        <v>2432</v>
      </c>
      <c r="P215" s="167">
        <v>45154</v>
      </c>
      <c r="Q215" s="285">
        <v>4.9878999999999998</v>
      </c>
      <c r="R215" s="285">
        <v>4.9859</v>
      </c>
      <c r="S215" s="285">
        <v>4.9931000000000001</v>
      </c>
      <c r="T215" s="285">
        <v>4.9501999999999997</v>
      </c>
      <c r="U215" s="283">
        <v>6.9999999999999999E-4</v>
      </c>
      <c r="W215" s="167">
        <v>45141</v>
      </c>
      <c r="X215" s="287">
        <v>120586</v>
      </c>
      <c r="Y215" s="287">
        <v>120859</v>
      </c>
      <c r="Z215" s="287">
        <v>122619</v>
      </c>
      <c r="AA215" s="287">
        <v>120365</v>
      </c>
      <c r="AB215" s="283" t="s">
        <v>1765</v>
      </c>
      <c r="AC215" s="289">
        <v>-2.3E-3</v>
      </c>
      <c r="AE215" s="167"/>
      <c r="AF215" s="285"/>
      <c r="AG215" s="285"/>
      <c r="AH215" s="285"/>
      <c r="AI215" s="285"/>
      <c r="AJ215" s="283"/>
    </row>
    <row r="216" spans="1:36" x14ac:dyDescent="0.3">
      <c r="A216" s="168">
        <v>45145</v>
      </c>
      <c r="B216" s="83">
        <v>47.73</v>
      </c>
      <c r="C216" s="83">
        <v>47.42</v>
      </c>
      <c r="D216" s="83">
        <v>48.12</v>
      </c>
      <c r="E216" s="83">
        <v>46.84</v>
      </c>
      <c r="F216" s="83" t="s">
        <v>2431</v>
      </c>
      <c r="G216" s="284">
        <v>5.0000000000000001E-3</v>
      </c>
      <c r="I216" s="168">
        <v>45156</v>
      </c>
      <c r="J216" s="286">
        <v>2897.5</v>
      </c>
      <c r="K216" s="286">
        <v>2899.73</v>
      </c>
      <c r="L216" s="286">
        <v>2903.16</v>
      </c>
      <c r="M216" s="286">
        <v>2877.12</v>
      </c>
      <c r="N216" s="284" t="s">
        <v>1387</v>
      </c>
      <c r="P216" s="168">
        <v>45153</v>
      </c>
      <c r="Q216" s="286">
        <v>4.9844999999999997</v>
      </c>
      <c r="R216" s="286">
        <v>4.9635999999999996</v>
      </c>
      <c r="S216" s="286">
        <v>4.9983000000000004</v>
      </c>
      <c r="T216" s="286">
        <v>4.9588000000000001</v>
      </c>
      <c r="U216" s="284">
        <v>4.5999999999999999E-3</v>
      </c>
      <c r="W216" s="168">
        <v>45140</v>
      </c>
      <c r="X216" s="288">
        <v>120859</v>
      </c>
      <c r="Y216" s="288">
        <v>121249</v>
      </c>
      <c r="Z216" s="288">
        <v>121252</v>
      </c>
      <c r="AA216" s="288">
        <v>119798</v>
      </c>
      <c r="AB216" s="284" t="s">
        <v>1800</v>
      </c>
      <c r="AC216" s="290">
        <v>-3.2000000000000002E-3</v>
      </c>
      <c r="AE216" s="168"/>
      <c r="AF216" s="286"/>
      <c r="AG216" s="286"/>
      <c r="AH216" s="286"/>
      <c r="AI216" s="286"/>
      <c r="AJ216" s="284"/>
    </row>
    <row r="217" spans="1:36" x14ac:dyDescent="0.3">
      <c r="A217" s="167">
        <v>45142</v>
      </c>
      <c r="B217" s="171">
        <v>47.49</v>
      </c>
      <c r="C217" s="171">
        <v>46.82</v>
      </c>
      <c r="D217" s="171">
        <v>48.98</v>
      </c>
      <c r="E217" s="171">
        <v>46.82</v>
      </c>
      <c r="F217" s="171" t="s">
        <v>2430</v>
      </c>
      <c r="G217" s="283">
        <v>8.6999999999999994E-3</v>
      </c>
      <c r="I217" s="167">
        <v>45155</v>
      </c>
      <c r="J217" s="285">
        <v>2901.84</v>
      </c>
      <c r="K217" s="285">
        <v>2922.44</v>
      </c>
      <c r="L217" s="285">
        <v>2929.74</v>
      </c>
      <c r="M217" s="285">
        <v>2898.23</v>
      </c>
      <c r="N217" s="283" t="s">
        <v>1675</v>
      </c>
      <c r="P217" s="167">
        <v>45152</v>
      </c>
      <c r="Q217" s="285">
        <v>4.9615</v>
      </c>
      <c r="R217" s="285">
        <v>4.9126000000000003</v>
      </c>
      <c r="S217" s="285">
        <v>4.9715999999999996</v>
      </c>
      <c r="T217" s="285">
        <v>4.9101999999999997</v>
      </c>
      <c r="U217" s="283">
        <v>1.1599999999999999E-2</v>
      </c>
      <c r="W217" s="167">
        <v>45139</v>
      </c>
      <c r="X217" s="287">
        <v>121248</v>
      </c>
      <c r="Y217" s="287">
        <v>121945</v>
      </c>
      <c r="Z217" s="287">
        <v>121945</v>
      </c>
      <c r="AA217" s="287">
        <v>120154</v>
      </c>
      <c r="AB217" s="283" t="s">
        <v>2092</v>
      </c>
      <c r="AC217" s="289">
        <v>-5.7000000000000002E-3</v>
      </c>
      <c r="AE217" s="167"/>
      <c r="AF217" s="285"/>
      <c r="AG217" s="285"/>
      <c r="AH217" s="285"/>
      <c r="AI217" s="285"/>
      <c r="AJ217" s="283"/>
    </row>
    <row r="218" spans="1:36" x14ac:dyDescent="0.3">
      <c r="A218" s="168">
        <v>45141</v>
      </c>
      <c r="B218" s="83">
        <v>47.08</v>
      </c>
      <c r="C218" s="83">
        <v>46.23</v>
      </c>
      <c r="D218" s="83">
        <v>47.32</v>
      </c>
      <c r="E218" s="83">
        <v>46.15</v>
      </c>
      <c r="F218" s="83" t="s">
        <v>1360</v>
      </c>
      <c r="G218" s="284">
        <v>4.2200000000000001E-2</v>
      </c>
      <c r="I218" s="168">
        <v>45154</v>
      </c>
      <c r="J218" s="286">
        <v>2925.63</v>
      </c>
      <c r="K218" s="286">
        <v>2943.86</v>
      </c>
      <c r="L218" s="286">
        <v>2948.1</v>
      </c>
      <c r="M218" s="286">
        <v>2923.03</v>
      </c>
      <c r="N218" s="284" t="s">
        <v>1281</v>
      </c>
      <c r="P218" s="168">
        <v>45149</v>
      </c>
      <c r="Q218" s="286">
        <v>4.9047999999999998</v>
      </c>
      <c r="R218" s="286">
        <v>4.8929999999999998</v>
      </c>
      <c r="S218" s="286">
        <v>4.9104000000000001</v>
      </c>
      <c r="T218" s="286">
        <v>4.8608000000000002</v>
      </c>
      <c r="U218" s="284">
        <v>2.5000000000000001E-3</v>
      </c>
      <c r="W218" s="168">
        <v>45138</v>
      </c>
      <c r="X218" s="288">
        <v>121943</v>
      </c>
      <c r="Y218" s="288">
        <v>120188</v>
      </c>
      <c r="Z218" s="288">
        <v>122149</v>
      </c>
      <c r="AA218" s="288">
        <v>120188</v>
      </c>
      <c r="AB218" s="284" t="s">
        <v>2105</v>
      </c>
      <c r="AC218" s="290">
        <v>1.46E-2</v>
      </c>
      <c r="AE218" s="168"/>
      <c r="AF218" s="286"/>
      <c r="AG218" s="286"/>
      <c r="AH218" s="286"/>
      <c r="AI218" s="286"/>
      <c r="AJ218" s="284"/>
    </row>
    <row r="219" spans="1:36" x14ac:dyDescent="0.3">
      <c r="A219" s="167">
        <v>45140</v>
      </c>
      <c r="B219" s="171">
        <v>45.18</v>
      </c>
      <c r="C219" s="171">
        <v>45.82</v>
      </c>
      <c r="D219" s="171">
        <v>45.88</v>
      </c>
      <c r="E219" s="171">
        <v>44.68</v>
      </c>
      <c r="F219" s="171" t="s">
        <v>1311</v>
      </c>
      <c r="G219" s="283">
        <v>-1.2E-2</v>
      </c>
      <c r="I219" s="167">
        <v>45153</v>
      </c>
      <c r="J219" s="285">
        <v>2948.22</v>
      </c>
      <c r="K219" s="285">
        <v>2978.53</v>
      </c>
      <c r="L219" s="285">
        <v>2979.62</v>
      </c>
      <c r="M219" s="285">
        <v>2942.7</v>
      </c>
      <c r="N219" s="283" t="s">
        <v>1241</v>
      </c>
      <c r="P219" s="167">
        <v>45148</v>
      </c>
      <c r="Q219" s="285">
        <v>4.8924000000000003</v>
      </c>
      <c r="R219" s="285">
        <v>4.9028999999999998</v>
      </c>
      <c r="S219" s="285">
        <v>4.9057000000000004</v>
      </c>
      <c r="T219" s="285">
        <v>4.84</v>
      </c>
      <c r="U219" s="283">
        <v>-2E-3</v>
      </c>
      <c r="W219" s="167">
        <v>45135</v>
      </c>
      <c r="X219" s="287">
        <v>120187</v>
      </c>
      <c r="Y219" s="287">
        <v>120002</v>
      </c>
      <c r="Z219" s="287">
        <v>120660</v>
      </c>
      <c r="AA219" s="287">
        <v>119706</v>
      </c>
      <c r="AB219" s="283" t="s">
        <v>2429</v>
      </c>
      <c r="AC219" s="289">
        <v>1.6000000000000001E-3</v>
      </c>
      <c r="AE219" s="167"/>
      <c r="AF219" s="285"/>
      <c r="AG219" s="285"/>
      <c r="AH219" s="285"/>
      <c r="AI219" s="285"/>
      <c r="AJ219" s="283"/>
    </row>
    <row r="220" spans="1:36" x14ac:dyDescent="0.3">
      <c r="A220" s="168">
        <v>45139</v>
      </c>
      <c r="B220" s="83">
        <v>45.73</v>
      </c>
      <c r="C220" s="83">
        <v>45.2</v>
      </c>
      <c r="D220" s="83">
        <v>46.09</v>
      </c>
      <c r="E220" s="83">
        <v>44.86</v>
      </c>
      <c r="F220" s="83" t="s">
        <v>2308</v>
      </c>
      <c r="G220" s="284">
        <v>3.8999999999999998E-3</v>
      </c>
      <c r="I220" s="168">
        <v>45152</v>
      </c>
      <c r="J220" s="286">
        <v>2976.86</v>
      </c>
      <c r="K220" s="286">
        <v>2971.2</v>
      </c>
      <c r="L220" s="286">
        <v>2977.44</v>
      </c>
      <c r="M220" s="286">
        <v>2955.71</v>
      </c>
      <c r="N220" s="284" t="s">
        <v>1701</v>
      </c>
      <c r="P220" s="168">
        <v>45147</v>
      </c>
      <c r="Q220" s="286">
        <v>4.9020000000000001</v>
      </c>
      <c r="R220" s="286">
        <v>4.9009</v>
      </c>
      <c r="S220" s="286">
        <v>4.9165999999999999</v>
      </c>
      <c r="T220" s="286">
        <v>4.8738000000000001</v>
      </c>
      <c r="U220" s="284">
        <v>5.0000000000000001E-4</v>
      </c>
      <c r="W220" s="168">
        <v>45134</v>
      </c>
      <c r="X220" s="288">
        <v>119990</v>
      </c>
      <c r="Y220" s="288">
        <v>122560</v>
      </c>
      <c r="Z220" s="288">
        <v>122599</v>
      </c>
      <c r="AA220" s="288">
        <v>119825</v>
      </c>
      <c r="AB220" s="284" t="s">
        <v>1280</v>
      </c>
      <c r="AC220" s="290">
        <v>-2.1000000000000001E-2</v>
      </c>
      <c r="AE220" s="168"/>
      <c r="AF220" s="286"/>
      <c r="AG220" s="286"/>
      <c r="AH220" s="286"/>
      <c r="AI220" s="286"/>
      <c r="AJ220" s="284"/>
    </row>
    <row r="221" spans="1:36" x14ac:dyDescent="0.3">
      <c r="A221" s="167">
        <v>45138</v>
      </c>
      <c r="B221" s="171">
        <v>45.55</v>
      </c>
      <c r="C221" s="171">
        <v>45.73</v>
      </c>
      <c r="D221" s="171">
        <v>46.49</v>
      </c>
      <c r="E221" s="171">
        <v>45.13</v>
      </c>
      <c r="F221" s="171" t="s">
        <v>2417</v>
      </c>
      <c r="G221" s="283">
        <v>1.0200000000000001E-2</v>
      </c>
      <c r="I221" s="167">
        <v>45149</v>
      </c>
      <c r="J221" s="285">
        <v>2972.73</v>
      </c>
      <c r="K221" s="285">
        <v>2981.16</v>
      </c>
      <c r="L221" s="285">
        <v>2982.56</v>
      </c>
      <c r="M221" s="285">
        <v>2961.3</v>
      </c>
      <c r="N221" s="283" t="s">
        <v>1446</v>
      </c>
      <c r="P221" s="167">
        <v>45146</v>
      </c>
      <c r="Q221" s="285">
        <v>4.8996000000000004</v>
      </c>
      <c r="R221" s="285">
        <v>4.8985000000000003</v>
      </c>
      <c r="S221" s="285">
        <v>4.9417999999999997</v>
      </c>
      <c r="T221" s="285">
        <v>4.8895</v>
      </c>
      <c r="U221" s="283">
        <v>-1E-4</v>
      </c>
      <c r="W221" s="167">
        <v>45133</v>
      </c>
      <c r="X221" s="287">
        <v>122560</v>
      </c>
      <c r="Y221" s="287">
        <v>122003</v>
      </c>
      <c r="Z221" s="287">
        <v>122747</v>
      </c>
      <c r="AA221" s="287">
        <v>121370</v>
      </c>
      <c r="AB221" s="283" t="s">
        <v>2019</v>
      </c>
      <c r="AC221" s="289">
        <v>4.4999999999999997E-3</v>
      </c>
      <c r="AE221" s="167"/>
      <c r="AF221" s="285"/>
      <c r="AG221" s="285"/>
      <c r="AH221" s="285"/>
      <c r="AI221" s="285"/>
      <c r="AJ221" s="283"/>
    </row>
    <row r="222" spans="1:36" x14ac:dyDescent="0.3">
      <c r="A222" s="168">
        <v>45135</v>
      </c>
      <c r="B222" s="83">
        <v>45.09</v>
      </c>
      <c r="C222" s="83">
        <v>45.29</v>
      </c>
      <c r="D222" s="83">
        <v>45.82</v>
      </c>
      <c r="E222" s="83">
        <v>44.63</v>
      </c>
      <c r="F222" s="83" t="s">
        <v>2428</v>
      </c>
      <c r="G222" s="284">
        <v>1.6000000000000001E-3</v>
      </c>
      <c r="I222" s="168">
        <v>45148</v>
      </c>
      <c r="J222" s="286">
        <v>2984.81</v>
      </c>
      <c r="K222" s="286">
        <v>2975.75</v>
      </c>
      <c r="L222" s="286">
        <v>3015.34</v>
      </c>
      <c r="M222" s="286">
        <v>2975.07</v>
      </c>
      <c r="N222" s="284" t="s">
        <v>1412</v>
      </c>
      <c r="P222" s="168">
        <v>45145</v>
      </c>
      <c r="Q222" s="286">
        <v>4.8998999999999997</v>
      </c>
      <c r="R222" s="286">
        <v>4.8734999999999999</v>
      </c>
      <c r="S222" s="286">
        <v>4.9151999999999996</v>
      </c>
      <c r="T222" s="286">
        <v>4.8681000000000001</v>
      </c>
      <c r="U222" s="284">
        <v>5.4999999999999997E-3</v>
      </c>
      <c r="W222" s="168">
        <v>45132</v>
      </c>
      <c r="X222" s="288">
        <v>122008</v>
      </c>
      <c r="Y222" s="288">
        <v>121344</v>
      </c>
      <c r="Z222" s="288">
        <v>123010</v>
      </c>
      <c r="AA222" s="288">
        <v>121344</v>
      </c>
      <c r="AB222" s="284" t="s">
        <v>2018</v>
      </c>
      <c r="AC222" s="290">
        <v>5.4999999999999997E-3</v>
      </c>
      <c r="AE222" s="168"/>
      <c r="AF222" s="286"/>
      <c r="AG222" s="286"/>
      <c r="AH222" s="286"/>
      <c r="AI222" s="286"/>
      <c r="AJ222" s="284"/>
    </row>
    <row r="223" spans="1:36" x14ac:dyDescent="0.3">
      <c r="A223" s="167">
        <v>45134</v>
      </c>
      <c r="B223" s="171">
        <v>45.02</v>
      </c>
      <c r="C223" s="171">
        <v>46</v>
      </c>
      <c r="D223" s="171">
        <v>46.39</v>
      </c>
      <c r="E223" s="171">
        <v>44.83</v>
      </c>
      <c r="F223" s="171" t="s">
        <v>2427</v>
      </c>
      <c r="G223" s="283">
        <v>-1.0999999999999999E-2</v>
      </c>
      <c r="I223" s="167">
        <v>45147</v>
      </c>
      <c r="J223" s="285">
        <v>2976.31</v>
      </c>
      <c r="K223" s="285">
        <v>2988.85</v>
      </c>
      <c r="L223" s="285">
        <v>2995.29</v>
      </c>
      <c r="M223" s="285">
        <v>2972.73</v>
      </c>
      <c r="N223" s="283" t="s">
        <v>2295</v>
      </c>
      <c r="P223" s="167">
        <v>45142</v>
      </c>
      <c r="Q223" s="285">
        <v>4.8733000000000004</v>
      </c>
      <c r="R223" s="285">
        <v>4.9184999999999999</v>
      </c>
      <c r="S223" s="285">
        <v>4.9200999999999997</v>
      </c>
      <c r="T223" s="285">
        <v>4.8452999999999999</v>
      </c>
      <c r="U223" s="283">
        <v>-8.8999999999999999E-3</v>
      </c>
      <c r="W223" s="167">
        <v>45131</v>
      </c>
      <c r="X223" s="287">
        <v>121342</v>
      </c>
      <c r="Y223" s="287">
        <v>120220</v>
      </c>
      <c r="Z223" s="287">
        <v>121772</v>
      </c>
      <c r="AA223" s="287">
        <v>120099</v>
      </c>
      <c r="AB223" s="283" t="s">
        <v>2066</v>
      </c>
      <c r="AC223" s="289">
        <v>9.4000000000000004E-3</v>
      </c>
      <c r="AE223" s="167"/>
      <c r="AF223" s="285"/>
      <c r="AG223" s="285"/>
      <c r="AH223" s="285"/>
      <c r="AI223" s="285"/>
      <c r="AJ223" s="283"/>
    </row>
    <row r="224" spans="1:36" x14ac:dyDescent="0.3">
      <c r="A224" s="168">
        <v>45133</v>
      </c>
      <c r="B224" s="83">
        <v>45.52</v>
      </c>
      <c r="C224" s="83">
        <v>44.37</v>
      </c>
      <c r="D224" s="83">
        <v>45.6</v>
      </c>
      <c r="E224" s="83">
        <v>44.01</v>
      </c>
      <c r="F224" s="83" t="s">
        <v>2426</v>
      </c>
      <c r="G224" s="284">
        <v>1.4E-2</v>
      </c>
      <c r="I224" s="168">
        <v>45146</v>
      </c>
      <c r="J224" s="286">
        <v>2988.1</v>
      </c>
      <c r="K224" s="286">
        <v>3004.77</v>
      </c>
      <c r="L224" s="286">
        <v>3005.04</v>
      </c>
      <c r="M224" s="286">
        <v>2969.94</v>
      </c>
      <c r="N224" s="284" t="s">
        <v>2179</v>
      </c>
      <c r="P224" s="168">
        <v>45141</v>
      </c>
      <c r="Q224" s="286">
        <v>4.9169999999999998</v>
      </c>
      <c r="R224" s="286">
        <v>4.8125999999999998</v>
      </c>
      <c r="S224" s="286">
        <v>4.9223999999999997</v>
      </c>
      <c r="T224" s="286">
        <v>4.8122999999999996</v>
      </c>
      <c r="U224" s="284">
        <v>2.18E-2</v>
      </c>
      <c r="W224" s="168">
        <v>45128</v>
      </c>
      <c r="X224" s="288">
        <v>120217</v>
      </c>
      <c r="Y224" s="288">
        <v>118090</v>
      </c>
      <c r="Z224" s="288">
        <v>120373</v>
      </c>
      <c r="AA224" s="288">
        <v>118086</v>
      </c>
      <c r="AB224" s="284" t="s">
        <v>2298</v>
      </c>
      <c r="AC224" s="290">
        <v>1.8100000000000002E-2</v>
      </c>
      <c r="AE224" s="168"/>
      <c r="AF224" s="286"/>
      <c r="AG224" s="286"/>
      <c r="AH224" s="286"/>
      <c r="AI224" s="286"/>
      <c r="AJ224" s="284"/>
    </row>
    <row r="225" spans="1:36" x14ac:dyDescent="0.3">
      <c r="A225" s="167">
        <v>45132</v>
      </c>
      <c r="B225" s="171">
        <v>44.89</v>
      </c>
      <c r="C225" s="171">
        <v>46.14</v>
      </c>
      <c r="D225" s="171">
        <v>46.41</v>
      </c>
      <c r="E225" s="171">
        <v>44.75</v>
      </c>
      <c r="F225" s="171" t="s">
        <v>2177</v>
      </c>
      <c r="G225" s="283">
        <v>-2.6200000000000001E-2</v>
      </c>
      <c r="I225" s="167">
        <v>45145</v>
      </c>
      <c r="J225" s="285">
        <v>3003.77</v>
      </c>
      <c r="K225" s="285">
        <v>2984.44</v>
      </c>
      <c r="L225" s="285">
        <v>3004.64</v>
      </c>
      <c r="M225" s="285">
        <v>2980.33</v>
      </c>
      <c r="N225" s="283" t="s">
        <v>1815</v>
      </c>
      <c r="P225" s="167">
        <v>45140</v>
      </c>
      <c r="Q225" s="285">
        <v>4.8120000000000003</v>
      </c>
      <c r="R225" s="285">
        <v>4.7934999999999999</v>
      </c>
      <c r="S225" s="285">
        <v>4.8224999999999998</v>
      </c>
      <c r="T225" s="285">
        <v>4.7807000000000004</v>
      </c>
      <c r="U225" s="283">
        <v>4.4000000000000003E-3</v>
      </c>
      <c r="W225" s="167">
        <v>45127</v>
      </c>
      <c r="X225" s="287">
        <v>118083</v>
      </c>
      <c r="Y225" s="287">
        <v>117558</v>
      </c>
      <c r="Z225" s="287">
        <v>118290</v>
      </c>
      <c r="AA225" s="287">
        <v>117484</v>
      </c>
      <c r="AB225" s="283" t="s">
        <v>2384</v>
      </c>
      <c r="AC225" s="289">
        <v>4.4999999999999997E-3</v>
      </c>
      <c r="AE225" s="167"/>
      <c r="AF225" s="285"/>
      <c r="AG225" s="285"/>
      <c r="AH225" s="285"/>
      <c r="AI225" s="285"/>
      <c r="AJ225" s="283"/>
    </row>
    <row r="226" spans="1:36" x14ac:dyDescent="0.3">
      <c r="A226" s="168">
        <v>45131</v>
      </c>
      <c r="B226" s="83">
        <v>46.1</v>
      </c>
      <c r="C226" s="83">
        <v>45.51</v>
      </c>
      <c r="D226" s="83">
        <v>46.1</v>
      </c>
      <c r="E226" s="83">
        <v>45.19</v>
      </c>
      <c r="F226" s="83" t="s">
        <v>1625</v>
      </c>
      <c r="G226" s="284">
        <v>2.2100000000000002E-2</v>
      </c>
      <c r="I226" s="168">
        <v>45142</v>
      </c>
      <c r="J226" s="286">
        <v>2986.54</v>
      </c>
      <c r="K226" s="286">
        <v>2990.47</v>
      </c>
      <c r="L226" s="286">
        <v>3017.15</v>
      </c>
      <c r="M226" s="286">
        <v>2983.83</v>
      </c>
      <c r="N226" s="284" t="s">
        <v>1292</v>
      </c>
      <c r="P226" s="168">
        <v>45139</v>
      </c>
      <c r="Q226" s="286">
        <v>4.7911000000000001</v>
      </c>
      <c r="R226" s="286">
        <v>4.7294999999999998</v>
      </c>
      <c r="S226" s="286">
        <v>4.8007999999999997</v>
      </c>
      <c r="T226" s="286">
        <v>4.7279999999999998</v>
      </c>
      <c r="U226" s="284">
        <v>1.4200000000000001E-2</v>
      </c>
      <c r="W226" s="168">
        <v>45126</v>
      </c>
      <c r="X226" s="288">
        <v>117552</v>
      </c>
      <c r="Y226" s="288">
        <v>117842</v>
      </c>
      <c r="Z226" s="288">
        <v>118011</v>
      </c>
      <c r="AA226" s="288">
        <v>116660</v>
      </c>
      <c r="AB226" s="284" t="s">
        <v>2079</v>
      </c>
      <c r="AC226" s="290">
        <v>-2.5000000000000001E-3</v>
      </c>
      <c r="AE226" s="168"/>
      <c r="AF226" s="286"/>
      <c r="AG226" s="286"/>
      <c r="AH226" s="286"/>
      <c r="AI226" s="286"/>
      <c r="AJ226" s="284"/>
    </row>
    <row r="227" spans="1:36" x14ac:dyDescent="0.3">
      <c r="A227" s="167">
        <v>45128</v>
      </c>
      <c r="B227" s="171">
        <v>45.1</v>
      </c>
      <c r="C227" s="171">
        <v>44.54</v>
      </c>
      <c r="D227" s="171">
        <v>45.43</v>
      </c>
      <c r="E227" s="171">
        <v>44.41</v>
      </c>
      <c r="F227" s="171" t="s">
        <v>2301</v>
      </c>
      <c r="G227" s="283">
        <v>2.1899999999999999E-2</v>
      </c>
      <c r="I227" s="167">
        <v>45141</v>
      </c>
      <c r="J227" s="285">
        <v>2990.13</v>
      </c>
      <c r="K227" s="285">
        <v>3000</v>
      </c>
      <c r="L227" s="285">
        <v>3000.18</v>
      </c>
      <c r="M227" s="285">
        <v>2980.34</v>
      </c>
      <c r="N227" s="283" t="s">
        <v>1578</v>
      </c>
      <c r="P227" s="167">
        <v>45138</v>
      </c>
      <c r="Q227" s="285">
        <v>4.7241</v>
      </c>
      <c r="R227" s="285">
        <v>4.7304000000000004</v>
      </c>
      <c r="S227" s="285">
        <v>4.7606999999999999</v>
      </c>
      <c r="T227" s="285">
        <v>4.7130000000000001</v>
      </c>
      <c r="U227" s="283">
        <v>-2E-3</v>
      </c>
      <c r="W227" s="167">
        <v>45125</v>
      </c>
      <c r="X227" s="287">
        <v>117841</v>
      </c>
      <c r="Y227" s="287">
        <v>118218</v>
      </c>
      <c r="Z227" s="287">
        <v>118732</v>
      </c>
      <c r="AA227" s="287">
        <v>117324</v>
      </c>
      <c r="AB227" s="283" t="s">
        <v>2425</v>
      </c>
      <c r="AC227" s="289">
        <v>-3.2000000000000002E-3</v>
      </c>
      <c r="AE227" s="167"/>
      <c r="AF227" s="285"/>
      <c r="AG227" s="285"/>
      <c r="AH227" s="285"/>
      <c r="AI227" s="285"/>
      <c r="AJ227" s="283"/>
    </row>
    <row r="228" spans="1:36" x14ac:dyDescent="0.3">
      <c r="A228" s="168">
        <v>45127</v>
      </c>
      <c r="B228" s="83">
        <v>44.13</v>
      </c>
      <c r="C228" s="83">
        <v>44.33</v>
      </c>
      <c r="D228" s="83">
        <v>44.47</v>
      </c>
      <c r="E228" s="83">
        <v>43.98</v>
      </c>
      <c r="F228" s="83" t="s">
        <v>1600</v>
      </c>
      <c r="G228" s="284">
        <v>1.4E-3</v>
      </c>
      <c r="I228" s="168">
        <v>45140</v>
      </c>
      <c r="J228" s="286">
        <v>3000.53</v>
      </c>
      <c r="K228" s="286">
        <v>3048.98</v>
      </c>
      <c r="L228" s="286">
        <v>3048.98</v>
      </c>
      <c r="M228" s="286">
        <v>2997.65</v>
      </c>
      <c r="N228" s="284" t="s">
        <v>1823</v>
      </c>
      <c r="P228" s="168">
        <v>45135</v>
      </c>
      <c r="Q228" s="286">
        <v>4.7336</v>
      </c>
      <c r="R228" s="286">
        <v>4.7435</v>
      </c>
      <c r="S228" s="286">
        <v>4.75</v>
      </c>
      <c r="T228" s="286">
        <v>4.6950000000000003</v>
      </c>
      <c r="U228" s="284">
        <v>-1.9E-3</v>
      </c>
      <c r="W228" s="168">
        <v>45124</v>
      </c>
      <c r="X228" s="288">
        <v>118219</v>
      </c>
      <c r="Y228" s="288">
        <v>117711</v>
      </c>
      <c r="Z228" s="288">
        <v>118302</v>
      </c>
      <c r="AA228" s="288">
        <v>116591</v>
      </c>
      <c r="AB228" s="284" t="s">
        <v>2424</v>
      </c>
      <c r="AC228" s="290">
        <v>4.3E-3</v>
      </c>
      <c r="AE228" s="168"/>
      <c r="AF228" s="286"/>
      <c r="AG228" s="286"/>
      <c r="AH228" s="286"/>
      <c r="AI228" s="286"/>
      <c r="AJ228" s="284"/>
    </row>
    <row r="229" spans="1:36" x14ac:dyDescent="0.3">
      <c r="A229" s="167">
        <v>45126</v>
      </c>
      <c r="B229" s="171">
        <v>44.07</v>
      </c>
      <c r="C229" s="171">
        <v>43.29</v>
      </c>
      <c r="D229" s="171">
        <v>44.12</v>
      </c>
      <c r="E229" s="171">
        <v>43.15</v>
      </c>
      <c r="F229" s="171" t="s">
        <v>1679</v>
      </c>
      <c r="G229" s="283">
        <v>2.2200000000000001E-2</v>
      </c>
      <c r="I229" s="167">
        <v>45139</v>
      </c>
      <c r="J229" s="285">
        <v>3048.6</v>
      </c>
      <c r="K229" s="285">
        <v>3062.21</v>
      </c>
      <c r="L229" s="285">
        <v>3062.68</v>
      </c>
      <c r="M229" s="285">
        <v>3042.98</v>
      </c>
      <c r="N229" s="283" t="s">
        <v>1966</v>
      </c>
      <c r="P229" s="167">
        <v>45134</v>
      </c>
      <c r="Q229" s="285">
        <v>4.7423999999999999</v>
      </c>
      <c r="R229" s="285">
        <v>4.7380000000000004</v>
      </c>
      <c r="S229" s="285">
        <v>4.7595999999999998</v>
      </c>
      <c r="T229" s="285">
        <v>4.7081</v>
      </c>
      <c r="U229" s="283">
        <v>1.2999999999999999E-3</v>
      </c>
      <c r="W229" s="167">
        <v>45121</v>
      </c>
      <c r="X229" s="287">
        <v>117711</v>
      </c>
      <c r="Y229" s="287">
        <v>119268</v>
      </c>
      <c r="Z229" s="287">
        <v>119329</v>
      </c>
      <c r="AA229" s="287">
        <v>117526</v>
      </c>
      <c r="AB229" s="283" t="s">
        <v>1421</v>
      </c>
      <c r="AC229" s="289">
        <v>-1.2999999999999999E-2</v>
      </c>
      <c r="AE229" s="167"/>
      <c r="AF229" s="285"/>
      <c r="AG229" s="285"/>
      <c r="AH229" s="285"/>
      <c r="AI229" s="285"/>
      <c r="AJ229" s="283"/>
    </row>
    <row r="230" spans="1:36" x14ac:dyDescent="0.3">
      <c r="A230" s="168">
        <v>45125</v>
      </c>
      <c r="B230" s="83">
        <v>43.11</v>
      </c>
      <c r="C230" s="83">
        <v>42.93</v>
      </c>
      <c r="D230" s="83">
        <v>43.49</v>
      </c>
      <c r="E230" s="83">
        <v>42.24</v>
      </c>
      <c r="F230" s="83" t="s">
        <v>1645</v>
      </c>
      <c r="G230" s="284">
        <v>2.8299999999999999E-2</v>
      </c>
      <c r="I230" s="168">
        <v>45138</v>
      </c>
      <c r="J230" s="286">
        <v>3064.3</v>
      </c>
      <c r="K230" s="286">
        <v>3057.89</v>
      </c>
      <c r="L230" s="286">
        <v>3067.27</v>
      </c>
      <c r="M230" s="286">
        <v>3054.64</v>
      </c>
      <c r="N230" s="284" t="s">
        <v>1417</v>
      </c>
      <c r="P230" s="168">
        <v>45133</v>
      </c>
      <c r="Q230" s="286">
        <v>4.7363999999999997</v>
      </c>
      <c r="R230" s="286">
        <v>4.7507999999999999</v>
      </c>
      <c r="S230" s="286">
        <v>4.7561</v>
      </c>
      <c r="T230" s="286">
        <v>4.7220000000000004</v>
      </c>
      <c r="U230" s="284">
        <v>-2.8E-3</v>
      </c>
      <c r="W230" s="168">
        <v>45120</v>
      </c>
      <c r="X230" s="288">
        <v>119264</v>
      </c>
      <c r="Y230" s="288">
        <v>117671</v>
      </c>
      <c r="Z230" s="288">
        <v>119739</v>
      </c>
      <c r="AA230" s="288">
        <v>117668</v>
      </c>
      <c r="AB230" s="284" t="s">
        <v>1240</v>
      </c>
      <c r="AC230" s="290">
        <v>1.3599999999999999E-2</v>
      </c>
      <c r="AE230" s="168"/>
      <c r="AF230" s="286"/>
      <c r="AG230" s="286"/>
      <c r="AH230" s="286"/>
      <c r="AI230" s="286"/>
      <c r="AJ230" s="284"/>
    </row>
    <row r="231" spans="1:36" x14ac:dyDescent="0.3">
      <c r="A231" s="167">
        <v>45124</v>
      </c>
      <c r="B231" s="171">
        <v>41.92</v>
      </c>
      <c r="C231" s="171">
        <v>40.9</v>
      </c>
      <c r="D231" s="171">
        <v>42.03</v>
      </c>
      <c r="E231" s="171">
        <v>40.57</v>
      </c>
      <c r="F231" s="171" t="s">
        <v>2423</v>
      </c>
      <c r="G231" s="283">
        <v>1.1299999999999999E-2</v>
      </c>
      <c r="I231" s="167">
        <v>45135</v>
      </c>
      <c r="J231" s="285">
        <v>3057.84</v>
      </c>
      <c r="K231" s="285">
        <v>3034.54</v>
      </c>
      <c r="L231" s="285">
        <v>3060.8</v>
      </c>
      <c r="M231" s="285">
        <v>3030.06</v>
      </c>
      <c r="N231" s="283" t="s">
        <v>2422</v>
      </c>
      <c r="P231" s="167">
        <v>45132</v>
      </c>
      <c r="Q231" s="285">
        <v>4.7497999999999996</v>
      </c>
      <c r="R231" s="285">
        <v>4.7274000000000003</v>
      </c>
      <c r="S231" s="285">
        <v>4.7603999999999997</v>
      </c>
      <c r="T231" s="285">
        <v>4.7159000000000004</v>
      </c>
      <c r="U231" s="283">
        <v>4.7999999999999996E-3</v>
      </c>
      <c r="W231" s="167">
        <v>45119</v>
      </c>
      <c r="X231" s="287">
        <v>117666</v>
      </c>
      <c r="Y231" s="287">
        <v>117557</v>
      </c>
      <c r="Z231" s="287">
        <v>119156</v>
      </c>
      <c r="AA231" s="287">
        <v>117557</v>
      </c>
      <c r="AB231" s="283" t="s">
        <v>2386</v>
      </c>
      <c r="AC231" s="289">
        <v>8.9999999999999998E-4</v>
      </c>
      <c r="AE231" s="167"/>
      <c r="AF231" s="285"/>
      <c r="AG231" s="285"/>
      <c r="AH231" s="285"/>
      <c r="AI231" s="285"/>
      <c r="AJ231" s="283"/>
    </row>
    <row r="232" spans="1:36" x14ac:dyDescent="0.3">
      <c r="A232" s="168">
        <v>45121</v>
      </c>
      <c r="B232" s="83">
        <v>41.45</v>
      </c>
      <c r="C232" s="83">
        <v>42.66</v>
      </c>
      <c r="D232" s="83">
        <v>42.98</v>
      </c>
      <c r="E232" s="83">
        <v>41.11</v>
      </c>
      <c r="F232" s="83" t="s">
        <v>2275</v>
      </c>
      <c r="G232" s="284">
        <v>-3.1899999999999998E-2</v>
      </c>
      <c r="I232" s="168">
        <v>45134</v>
      </c>
      <c r="J232" s="286">
        <v>3034.41</v>
      </c>
      <c r="K232" s="286">
        <v>3045.2</v>
      </c>
      <c r="L232" s="286">
        <v>3071.01</v>
      </c>
      <c r="M232" s="286">
        <v>3031.57</v>
      </c>
      <c r="N232" s="284" t="s">
        <v>1573</v>
      </c>
      <c r="P232" s="168">
        <v>45131</v>
      </c>
      <c r="Q232" s="286">
        <v>4.7271000000000001</v>
      </c>
      <c r="R232" s="286">
        <v>4.7797000000000001</v>
      </c>
      <c r="S232" s="286">
        <v>4.7839999999999998</v>
      </c>
      <c r="T232" s="286">
        <v>4.7229000000000001</v>
      </c>
      <c r="U232" s="284">
        <v>-1.0999999999999999E-2</v>
      </c>
      <c r="W232" s="168">
        <v>45118</v>
      </c>
      <c r="X232" s="288">
        <v>117556</v>
      </c>
      <c r="Y232" s="288">
        <v>117942</v>
      </c>
      <c r="Z232" s="288">
        <v>117942</v>
      </c>
      <c r="AA232" s="288">
        <v>115704</v>
      </c>
      <c r="AB232" s="284" t="s">
        <v>1965</v>
      </c>
      <c r="AC232" s="290">
        <v>-3.3E-3</v>
      </c>
      <c r="AE232" s="168"/>
      <c r="AF232" s="286"/>
      <c r="AG232" s="286"/>
      <c r="AH232" s="286"/>
      <c r="AI232" s="286"/>
      <c r="AJ232" s="284"/>
    </row>
    <row r="233" spans="1:36" x14ac:dyDescent="0.3">
      <c r="A233" s="167">
        <v>45120</v>
      </c>
      <c r="B233" s="171">
        <v>42.82</v>
      </c>
      <c r="C233" s="171">
        <v>41.53</v>
      </c>
      <c r="D233" s="171">
        <v>43.33</v>
      </c>
      <c r="E233" s="171">
        <v>41.53</v>
      </c>
      <c r="F233" s="171" t="s">
        <v>2421</v>
      </c>
      <c r="G233" s="283">
        <v>3.2300000000000002E-2</v>
      </c>
      <c r="I233" s="167">
        <v>45133</v>
      </c>
      <c r="J233" s="285">
        <v>3044.7</v>
      </c>
      <c r="K233" s="285">
        <v>3046.69</v>
      </c>
      <c r="L233" s="285">
        <v>3053.98</v>
      </c>
      <c r="M233" s="285">
        <v>3035.38</v>
      </c>
      <c r="N233" s="283" t="s">
        <v>1486</v>
      </c>
      <c r="P233" s="167">
        <v>45128</v>
      </c>
      <c r="Q233" s="285">
        <v>4.7794999999999996</v>
      </c>
      <c r="R233" s="285">
        <v>4.8011999999999997</v>
      </c>
      <c r="S233" s="285">
        <v>4.8257000000000003</v>
      </c>
      <c r="T233" s="285">
        <v>4.7596999999999996</v>
      </c>
      <c r="U233" s="283">
        <v>-3.8999999999999998E-3</v>
      </c>
      <c r="W233" s="167">
        <v>45117</v>
      </c>
      <c r="X233" s="287">
        <v>117942</v>
      </c>
      <c r="Y233" s="287">
        <v>118897</v>
      </c>
      <c r="Z233" s="287">
        <v>118897</v>
      </c>
      <c r="AA233" s="287">
        <v>117814</v>
      </c>
      <c r="AB233" s="283" t="s">
        <v>1300</v>
      </c>
      <c r="AC233" s="289">
        <v>-8.0000000000000002E-3</v>
      </c>
      <c r="AE233" s="167"/>
      <c r="AF233" s="285"/>
      <c r="AG233" s="285"/>
      <c r="AH233" s="285"/>
      <c r="AI233" s="285"/>
      <c r="AJ233" s="283"/>
    </row>
    <row r="234" spans="1:36" x14ac:dyDescent="0.3">
      <c r="A234" s="168">
        <v>45119</v>
      </c>
      <c r="B234" s="83">
        <v>41.48</v>
      </c>
      <c r="C234" s="83">
        <v>40.99</v>
      </c>
      <c r="D234" s="83">
        <v>41.73</v>
      </c>
      <c r="E234" s="83">
        <v>40.67</v>
      </c>
      <c r="F234" s="83" t="s">
        <v>2420</v>
      </c>
      <c r="G234" s="284">
        <v>2.0899999999999998E-2</v>
      </c>
      <c r="I234" s="168">
        <v>45132</v>
      </c>
      <c r="J234" s="286">
        <v>3045.39</v>
      </c>
      <c r="K234" s="286">
        <v>3036.13</v>
      </c>
      <c r="L234" s="286">
        <v>3052.25</v>
      </c>
      <c r="M234" s="286">
        <v>3035.58</v>
      </c>
      <c r="N234" s="284" t="s">
        <v>1508</v>
      </c>
      <c r="P234" s="168">
        <v>45127</v>
      </c>
      <c r="Q234" s="286">
        <v>4.798</v>
      </c>
      <c r="R234" s="286">
        <v>4.7919999999999998</v>
      </c>
      <c r="S234" s="286">
        <v>4.8122999999999996</v>
      </c>
      <c r="T234" s="286">
        <v>4.7680999999999996</v>
      </c>
      <c r="U234" s="284">
        <v>1.5E-3</v>
      </c>
      <c r="W234" s="168">
        <v>45114</v>
      </c>
      <c r="X234" s="288">
        <v>118898</v>
      </c>
      <c r="Y234" s="288">
        <v>117427</v>
      </c>
      <c r="Z234" s="288">
        <v>119549</v>
      </c>
      <c r="AA234" s="288">
        <v>117427</v>
      </c>
      <c r="AB234" s="284" t="s">
        <v>1620</v>
      </c>
      <c r="AC234" s="290">
        <v>1.2500000000000001E-2</v>
      </c>
      <c r="AE234" s="168"/>
      <c r="AF234" s="286"/>
      <c r="AG234" s="286"/>
      <c r="AH234" s="286"/>
      <c r="AI234" s="286"/>
      <c r="AJ234" s="284"/>
    </row>
    <row r="235" spans="1:36" x14ac:dyDescent="0.3">
      <c r="A235" s="167">
        <v>45118</v>
      </c>
      <c r="B235" s="171">
        <v>40.630000000000003</v>
      </c>
      <c r="C235" s="171">
        <v>39.65</v>
      </c>
      <c r="D235" s="171">
        <v>40.94</v>
      </c>
      <c r="E235" s="171">
        <v>39.04</v>
      </c>
      <c r="F235" s="171" t="s">
        <v>1616</v>
      </c>
      <c r="G235" s="283">
        <v>3.0599999999999999E-2</v>
      </c>
      <c r="I235" s="167">
        <v>45131</v>
      </c>
      <c r="J235" s="285">
        <v>3037.44</v>
      </c>
      <c r="K235" s="285">
        <v>3030.32</v>
      </c>
      <c r="L235" s="285">
        <v>3040.77</v>
      </c>
      <c r="M235" s="285">
        <v>3027.03</v>
      </c>
      <c r="N235" s="283" t="s">
        <v>1412</v>
      </c>
      <c r="P235" s="167">
        <v>45126</v>
      </c>
      <c r="Q235" s="285">
        <v>4.7908999999999997</v>
      </c>
      <c r="R235" s="285">
        <v>4.8108000000000004</v>
      </c>
      <c r="S235" s="285">
        <v>4.8224</v>
      </c>
      <c r="T235" s="285">
        <v>4.7789999999999999</v>
      </c>
      <c r="U235" s="283">
        <v>-4.1000000000000003E-3</v>
      </c>
      <c r="W235" s="167">
        <v>45113</v>
      </c>
      <c r="X235" s="287">
        <v>117426</v>
      </c>
      <c r="Y235" s="287">
        <v>119548</v>
      </c>
      <c r="Z235" s="287">
        <v>119548</v>
      </c>
      <c r="AA235" s="287">
        <v>117096</v>
      </c>
      <c r="AB235" s="283" t="s">
        <v>2186</v>
      </c>
      <c r="AC235" s="289">
        <v>-1.78E-2</v>
      </c>
      <c r="AE235" s="167"/>
      <c r="AF235" s="285"/>
      <c r="AG235" s="285"/>
      <c r="AH235" s="285"/>
      <c r="AI235" s="285"/>
      <c r="AJ235" s="283"/>
    </row>
    <row r="236" spans="1:36" x14ac:dyDescent="0.3">
      <c r="A236" s="168">
        <v>45117</v>
      </c>
      <c r="B236" s="83">
        <v>39.43</v>
      </c>
      <c r="C236" s="83">
        <v>39.21</v>
      </c>
      <c r="D236" s="83">
        <v>39.840000000000003</v>
      </c>
      <c r="E236" s="83">
        <v>39.15</v>
      </c>
      <c r="F236" s="83" t="s">
        <v>2419</v>
      </c>
      <c r="G236" s="284">
        <v>3.5999999999999999E-3</v>
      </c>
      <c r="I236" s="168">
        <v>45128</v>
      </c>
      <c r="J236" s="286">
        <v>3028.71</v>
      </c>
      <c r="K236" s="286">
        <v>3029.97</v>
      </c>
      <c r="L236" s="286">
        <v>3038.47</v>
      </c>
      <c r="M236" s="286">
        <v>3025.57</v>
      </c>
      <c r="N236" s="284" t="s">
        <v>1405</v>
      </c>
      <c r="P236" s="168">
        <v>45125</v>
      </c>
      <c r="Q236" s="286">
        <v>4.8105000000000002</v>
      </c>
      <c r="R236" s="286">
        <v>4.8067000000000002</v>
      </c>
      <c r="S236" s="286">
        <v>4.8281000000000001</v>
      </c>
      <c r="T236" s="286">
        <v>4.7942999999999998</v>
      </c>
      <c r="U236" s="284">
        <v>8.0000000000000004E-4</v>
      </c>
      <c r="W236" s="168">
        <v>45112</v>
      </c>
      <c r="X236" s="288">
        <v>119549</v>
      </c>
      <c r="Y236" s="288">
        <v>119072</v>
      </c>
      <c r="Z236" s="288">
        <v>120200</v>
      </c>
      <c r="AA236" s="288">
        <v>118688</v>
      </c>
      <c r="AB236" s="284" t="s">
        <v>2418</v>
      </c>
      <c r="AC236" s="290">
        <v>4.0000000000000001E-3</v>
      </c>
      <c r="AE236" s="168"/>
      <c r="AF236" s="286"/>
      <c r="AG236" s="286"/>
      <c r="AH236" s="286"/>
      <c r="AI236" s="286"/>
      <c r="AJ236" s="284"/>
    </row>
    <row r="237" spans="1:36" x14ac:dyDescent="0.3">
      <c r="A237" s="167">
        <v>45114</v>
      </c>
      <c r="B237" s="171">
        <v>39.29</v>
      </c>
      <c r="C237" s="171">
        <v>38.04</v>
      </c>
      <c r="D237" s="171">
        <v>39.65</v>
      </c>
      <c r="E237" s="171">
        <v>38.04</v>
      </c>
      <c r="F237" s="171" t="s">
        <v>2234</v>
      </c>
      <c r="G237" s="283">
        <v>3.15E-2</v>
      </c>
      <c r="I237" s="167">
        <v>45127</v>
      </c>
      <c r="J237" s="285">
        <v>3029.7</v>
      </c>
      <c r="K237" s="285">
        <v>3048.93</v>
      </c>
      <c r="L237" s="285">
        <v>3051.6</v>
      </c>
      <c r="M237" s="285">
        <v>3025.92</v>
      </c>
      <c r="N237" s="283" t="s">
        <v>1373</v>
      </c>
      <c r="P237" s="167">
        <v>45124</v>
      </c>
      <c r="Q237" s="285">
        <v>4.8066000000000004</v>
      </c>
      <c r="R237" s="285">
        <v>4.7896000000000001</v>
      </c>
      <c r="S237" s="285">
        <v>4.8506999999999998</v>
      </c>
      <c r="T237" s="285">
        <v>4.7896000000000001</v>
      </c>
      <c r="U237" s="283">
        <v>3.5999999999999999E-3</v>
      </c>
      <c r="W237" s="167">
        <v>45111</v>
      </c>
      <c r="X237" s="287">
        <v>119076</v>
      </c>
      <c r="Y237" s="287">
        <v>119673</v>
      </c>
      <c r="Z237" s="287">
        <v>119678</v>
      </c>
      <c r="AA237" s="287">
        <v>118830</v>
      </c>
      <c r="AB237" s="283" t="s">
        <v>2417</v>
      </c>
      <c r="AC237" s="289">
        <v>-5.0000000000000001E-3</v>
      </c>
      <c r="AE237" s="167"/>
      <c r="AF237" s="285"/>
      <c r="AG237" s="285"/>
      <c r="AH237" s="285"/>
      <c r="AI237" s="285"/>
      <c r="AJ237" s="283"/>
    </row>
    <row r="238" spans="1:36" x14ac:dyDescent="0.3">
      <c r="A238" s="168">
        <v>45113</v>
      </c>
      <c r="B238" s="83">
        <v>38.090000000000003</v>
      </c>
      <c r="C238" s="83">
        <v>38.39</v>
      </c>
      <c r="D238" s="83">
        <v>38.72</v>
      </c>
      <c r="E238" s="83">
        <v>37.83</v>
      </c>
      <c r="F238" s="83" t="s">
        <v>2409</v>
      </c>
      <c r="G238" s="284">
        <v>-1.2200000000000001E-2</v>
      </c>
      <c r="I238" s="168">
        <v>45126</v>
      </c>
      <c r="J238" s="286">
        <v>3047.99</v>
      </c>
      <c r="K238" s="286">
        <v>3043.01</v>
      </c>
      <c r="L238" s="286">
        <v>3055.4</v>
      </c>
      <c r="M238" s="286">
        <v>3040.35</v>
      </c>
      <c r="N238" s="284" t="s">
        <v>1572</v>
      </c>
      <c r="P238" s="168">
        <v>45121</v>
      </c>
      <c r="Q238" s="286">
        <v>4.7893999999999997</v>
      </c>
      <c r="R238" s="286">
        <v>4.7965</v>
      </c>
      <c r="S238" s="286">
        <v>4.8154000000000003</v>
      </c>
      <c r="T238" s="286">
        <v>4.7756999999999996</v>
      </c>
      <c r="U238" s="284">
        <v>-1.6000000000000001E-3</v>
      </c>
      <c r="W238" s="168">
        <v>45110</v>
      </c>
      <c r="X238" s="288">
        <v>119673</v>
      </c>
      <c r="Y238" s="288">
        <v>118092</v>
      </c>
      <c r="Z238" s="288">
        <v>119877</v>
      </c>
      <c r="AA238" s="288">
        <v>118092</v>
      </c>
      <c r="AB238" s="284" t="s">
        <v>1485</v>
      </c>
      <c r="AC238" s="290">
        <v>1.34E-2</v>
      </c>
      <c r="AE238" s="168"/>
      <c r="AF238" s="286"/>
      <c r="AG238" s="286"/>
      <c r="AH238" s="286"/>
      <c r="AI238" s="286"/>
      <c r="AJ238" s="284"/>
    </row>
    <row r="239" spans="1:36" x14ac:dyDescent="0.3">
      <c r="A239" s="167">
        <v>45112</v>
      </c>
      <c r="B239" s="171">
        <v>38.56</v>
      </c>
      <c r="C239" s="171">
        <v>38.549999999999997</v>
      </c>
      <c r="D239" s="171">
        <v>39.119999999999997</v>
      </c>
      <c r="E239" s="171">
        <v>38.450000000000003</v>
      </c>
      <c r="F239" s="171" t="s">
        <v>2416</v>
      </c>
      <c r="G239" s="283">
        <v>1.52E-2</v>
      </c>
      <c r="I239" s="167">
        <v>45125</v>
      </c>
      <c r="J239" s="285">
        <v>3042.53</v>
      </c>
      <c r="K239" s="285">
        <v>3022.32</v>
      </c>
      <c r="L239" s="285">
        <v>3044.33</v>
      </c>
      <c r="M239" s="285">
        <v>3020.04</v>
      </c>
      <c r="N239" s="283" t="s">
        <v>1680</v>
      </c>
      <c r="P239" s="167">
        <v>45120</v>
      </c>
      <c r="Q239" s="285">
        <v>4.7971000000000004</v>
      </c>
      <c r="R239" s="285">
        <v>4.8201000000000001</v>
      </c>
      <c r="S239" s="285">
        <v>4.8273000000000001</v>
      </c>
      <c r="T239" s="285">
        <v>4.7858000000000001</v>
      </c>
      <c r="U239" s="283">
        <v>-4.4000000000000003E-3</v>
      </c>
      <c r="W239" s="167">
        <v>45107</v>
      </c>
      <c r="X239" s="287">
        <v>118087</v>
      </c>
      <c r="Y239" s="287">
        <v>118388</v>
      </c>
      <c r="Z239" s="287">
        <v>119447</v>
      </c>
      <c r="AA239" s="287">
        <v>118087</v>
      </c>
      <c r="AB239" s="283" t="s">
        <v>2415</v>
      </c>
      <c r="AC239" s="289">
        <v>-2.5000000000000001E-3</v>
      </c>
      <c r="AE239" s="167"/>
      <c r="AF239" s="285"/>
      <c r="AG239" s="285"/>
      <c r="AH239" s="285"/>
      <c r="AI239" s="285"/>
      <c r="AJ239" s="283"/>
    </row>
    <row r="240" spans="1:36" x14ac:dyDescent="0.3">
      <c r="A240" s="168">
        <v>45111</v>
      </c>
      <c r="B240" s="83">
        <v>37.979999999999997</v>
      </c>
      <c r="C240" s="83">
        <v>37.700000000000003</v>
      </c>
      <c r="D240" s="83">
        <v>38.47</v>
      </c>
      <c r="E240" s="83">
        <v>37.69</v>
      </c>
      <c r="F240" s="83" t="s">
        <v>2414</v>
      </c>
      <c r="G240" s="284">
        <v>1.66E-2</v>
      </c>
      <c r="I240" s="168">
        <v>45124</v>
      </c>
      <c r="J240" s="286">
        <v>3021.96</v>
      </c>
      <c r="K240" s="286">
        <v>3016.02</v>
      </c>
      <c r="L240" s="286">
        <v>3027.52</v>
      </c>
      <c r="M240" s="286">
        <v>3010.31</v>
      </c>
      <c r="N240" s="284" t="s">
        <v>1227</v>
      </c>
      <c r="P240" s="168">
        <v>45119</v>
      </c>
      <c r="Q240" s="286">
        <v>4.8183999999999996</v>
      </c>
      <c r="R240" s="286">
        <v>4.8532000000000002</v>
      </c>
      <c r="S240" s="286">
        <v>4.8616000000000001</v>
      </c>
      <c r="T240" s="286">
        <v>4.7831999999999999</v>
      </c>
      <c r="U240" s="284">
        <v>-7.3000000000000001E-3</v>
      </c>
      <c r="W240" s="168">
        <v>45106</v>
      </c>
      <c r="X240" s="288">
        <v>118383</v>
      </c>
      <c r="Y240" s="288">
        <v>116683</v>
      </c>
      <c r="Z240" s="288">
        <v>118623</v>
      </c>
      <c r="AA240" s="288">
        <v>116683</v>
      </c>
      <c r="AB240" s="284" t="s">
        <v>2413</v>
      </c>
      <c r="AC240" s="290">
        <v>1.46E-2</v>
      </c>
      <c r="AE240" s="168"/>
      <c r="AF240" s="286"/>
      <c r="AG240" s="286"/>
      <c r="AH240" s="286"/>
      <c r="AI240" s="286"/>
      <c r="AJ240" s="284"/>
    </row>
    <row r="241" spans="1:36" x14ac:dyDescent="0.3">
      <c r="A241" s="167">
        <v>45110</v>
      </c>
      <c r="B241" s="171">
        <v>37.36</v>
      </c>
      <c r="C241" s="171">
        <v>37.39</v>
      </c>
      <c r="D241" s="171">
        <v>38.6</v>
      </c>
      <c r="E241" s="171">
        <v>37.340000000000003</v>
      </c>
      <c r="F241" s="171" t="s">
        <v>2412</v>
      </c>
      <c r="G241" s="283">
        <v>9.1999999999999998E-3</v>
      </c>
      <c r="I241" s="167">
        <v>45121</v>
      </c>
      <c r="J241" s="285">
        <v>3017.94</v>
      </c>
      <c r="K241" s="285">
        <v>3022.19</v>
      </c>
      <c r="L241" s="285">
        <v>3028.48</v>
      </c>
      <c r="M241" s="285">
        <v>3013.63</v>
      </c>
      <c r="N241" s="283" t="s">
        <v>1204</v>
      </c>
      <c r="P241" s="167">
        <v>45118</v>
      </c>
      <c r="Q241" s="285">
        <v>4.8537999999999997</v>
      </c>
      <c r="R241" s="285">
        <v>4.8985000000000003</v>
      </c>
      <c r="S241" s="285">
        <v>4.9234999999999998</v>
      </c>
      <c r="T241" s="285">
        <v>4.8520000000000003</v>
      </c>
      <c r="U241" s="283">
        <v>-8.9999999999999993E-3</v>
      </c>
      <c r="W241" s="167">
        <v>45105</v>
      </c>
      <c r="X241" s="287">
        <v>116681</v>
      </c>
      <c r="Y241" s="287">
        <v>117524</v>
      </c>
      <c r="Z241" s="287">
        <v>117937</v>
      </c>
      <c r="AA241" s="287">
        <v>116560</v>
      </c>
      <c r="AB241" s="283" t="s">
        <v>1696</v>
      </c>
      <c r="AC241" s="289">
        <v>-7.1999999999999998E-3</v>
      </c>
      <c r="AE241" s="167"/>
      <c r="AF241" s="285"/>
      <c r="AG241" s="285"/>
      <c r="AH241" s="285"/>
      <c r="AI241" s="285"/>
      <c r="AJ241" s="283"/>
    </row>
    <row r="242" spans="1:36" x14ac:dyDescent="0.3">
      <c r="A242" s="168">
        <v>45107</v>
      </c>
      <c r="B242" s="83">
        <v>37.020000000000003</v>
      </c>
      <c r="C242" s="83">
        <v>36.44</v>
      </c>
      <c r="D242" s="83">
        <v>37.68</v>
      </c>
      <c r="E242" s="83">
        <v>36.44</v>
      </c>
      <c r="F242" s="83" t="s">
        <v>1714</v>
      </c>
      <c r="G242" s="284">
        <v>2.18E-2</v>
      </c>
      <c r="I242" s="168">
        <v>45120</v>
      </c>
      <c r="J242" s="286">
        <v>3019.71</v>
      </c>
      <c r="K242" s="286">
        <v>2988.46</v>
      </c>
      <c r="L242" s="286">
        <v>3024.42</v>
      </c>
      <c r="M242" s="286">
        <v>2988.03</v>
      </c>
      <c r="N242" s="284" t="s">
        <v>1307</v>
      </c>
      <c r="P242" s="168">
        <v>45117</v>
      </c>
      <c r="Q242" s="286">
        <v>4.8978000000000002</v>
      </c>
      <c r="R242" s="286">
        <v>4.8696000000000002</v>
      </c>
      <c r="S242" s="286">
        <v>4.9038000000000004</v>
      </c>
      <c r="T242" s="286">
        <v>4.8535000000000004</v>
      </c>
      <c r="U242" s="284">
        <v>5.3E-3</v>
      </c>
      <c r="W242" s="168">
        <v>45104</v>
      </c>
      <c r="X242" s="288">
        <v>117523</v>
      </c>
      <c r="Y242" s="288">
        <v>118246</v>
      </c>
      <c r="Z242" s="288">
        <v>119212</v>
      </c>
      <c r="AA242" s="288">
        <v>116561</v>
      </c>
      <c r="AB242" s="284" t="s">
        <v>2027</v>
      </c>
      <c r="AC242" s="290">
        <v>-6.1000000000000004E-3</v>
      </c>
      <c r="AE242" s="168"/>
      <c r="AF242" s="286"/>
      <c r="AG242" s="286"/>
      <c r="AH242" s="286"/>
      <c r="AI242" s="286"/>
      <c r="AJ242" s="284"/>
    </row>
    <row r="243" spans="1:36" x14ac:dyDescent="0.3">
      <c r="A243" s="167">
        <v>45106</v>
      </c>
      <c r="B243" s="171">
        <v>36.229999999999997</v>
      </c>
      <c r="C243" s="171">
        <v>36.14</v>
      </c>
      <c r="D243" s="171">
        <v>36.44</v>
      </c>
      <c r="E243" s="171">
        <v>35.9</v>
      </c>
      <c r="F243" s="171" t="s">
        <v>2411</v>
      </c>
      <c r="G243" s="283">
        <v>4.1999999999999997E-3</v>
      </c>
      <c r="I243" s="167">
        <v>45119</v>
      </c>
      <c r="J243" s="285">
        <v>2987.19</v>
      </c>
      <c r="K243" s="285">
        <v>2956.11</v>
      </c>
      <c r="L243" s="285">
        <v>2994.07</v>
      </c>
      <c r="M243" s="285">
        <v>2955.41</v>
      </c>
      <c r="N243" s="283" t="s">
        <v>2084</v>
      </c>
      <c r="P243" s="167">
        <v>45114</v>
      </c>
      <c r="Q243" s="285">
        <v>4.8719999999999999</v>
      </c>
      <c r="R243" s="285">
        <v>4.9195000000000002</v>
      </c>
      <c r="S243" s="285">
        <v>4.9359999999999999</v>
      </c>
      <c r="T243" s="285">
        <v>4.8474000000000004</v>
      </c>
      <c r="U243" s="283">
        <v>-9.5999999999999992E-3</v>
      </c>
      <c r="W243" s="167">
        <v>45103</v>
      </c>
      <c r="X243" s="287">
        <v>118243</v>
      </c>
      <c r="Y243" s="287">
        <v>118977</v>
      </c>
      <c r="Z243" s="287">
        <v>119148</v>
      </c>
      <c r="AA243" s="287">
        <v>117491</v>
      </c>
      <c r="AB243" s="283" t="s">
        <v>2410</v>
      </c>
      <c r="AC243" s="289">
        <v>-6.1999999999999998E-3</v>
      </c>
      <c r="AE243" s="167"/>
      <c r="AF243" s="285"/>
      <c r="AG243" s="285"/>
      <c r="AH243" s="285"/>
      <c r="AI243" s="285"/>
      <c r="AJ243" s="283"/>
    </row>
    <row r="244" spans="1:36" x14ac:dyDescent="0.3">
      <c r="A244" s="168">
        <v>45105</v>
      </c>
      <c r="B244" s="83">
        <v>36.08</v>
      </c>
      <c r="C244" s="83">
        <v>35.700000000000003</v>
      </c>
      <c r="D244" s="83">
        <v>36.46</v>
      </c>
      <c r="E244" s="83">
        <v>35.57</v>
      </c>
      <c r="F244" s="83" t="s">
        <v>2409</v>
      </c>
      <c r="G244" s="284">
        <v>9.4999999999999998E-3</v>
      </c>
      <c r="I244" s="168">
        <v>45118</v>
      </c>
      <c r="J244" s="286">
        <v>2953.12</v>
      </c>
      <c r="K244" s="286">
        <v>2934.43</v>
      </c>
      <c r="L244" s="286">
        <v>2956.43</v>
      </c>
      <c r="M244" s="286">
        <v>2933.91</v>
      </c>
      <c r="N244" s="284" t="s">
        <v>1561</v>
      </c>
      <c r="P244" s="168">
        <v>45113</v>
      </c>
      <c r="Q244" s="286">
        <v>4.9192999999999998</v>
      </c>
      <c r="R244" s="286">
        <v>4.8460000000000001</v>
      </c>
      <c r="S244" s="286">
        <v>4.9507000000000003</v>
      </c>
      <c r="T244" s="286">
        <v>4.8411999999999997</v>
      </c>
      <c r="U244" s="284">
        <v>1.47E-2</v>
      </c>
      <c r="W244" s="168">
        <v>45100</v>
      </c>
      <c r="X244" s="288">
        <v>118977</v>
      </c>
      <c r="Y244" s="288">
        <v>118959</v>
      </c>
      <c r="Z244" s="288">
        <v>119386</v>
      </c>
      <c r="AA244" s="288">
        <v>118178</v>
      </c>
      <c r="AB244" s="284" t="s">
        <v>2264</v>
      </c>
      <c r="AC244" s="290">
        <v>4.0000000000000002E-4</v>
      </c>
      <c r="AE244" s="168"/>
      <c r="AF244" s="286"/>
      <c r="AG244" s="286"/>
      <c r="AH244" s="286"/>
      <c r="AI244" s="286"/>
      <c r="AJ244" s="284"/>
    </row>
    <row r="245" spans="1:36" x14ac:dyDescent="0.3">
      <c r="A245" s="167">
        <v>45104</v>
      </c>
      <c r="B245" s="171">
        <v>35.74</v>
      </c>
      <c r="C245" s="171">
        <v>36.94</v>
      </c>
      <c r="D245" s="171">
        <v>36.99</v>
      </c>
      <c r="E245" s="171">
        <v>35.090000000000003</v>
      </c>
      <c r="F245" s="171" t="s">
        <v>2408</v>
      </c>
      <c r="G245" s="283">
        <v>-3.3500000000000002E-2</v>
      </c>
      <c r="I245" s="167">
        <v>45117</v>
      </c>
      <c r="J245" s="285">
        <v>2931.05</v>
      </c>
      <c r="K245" s="285">
        <v>2925.03</v>
      </c>
      <c r="L245" s="285">
        <v>2933.78</v>
      </c>
      <c r="M245" s="285">
        <v>2920.32</v>
      </c>
      <c r="N245" s="283" t="s">
        <v>1222</v>
      </c>
      <c r="P245" s="167">
        <v>45112</v>
      </c>
      <c r="Q245" s="285">
        <v>4.8478000000000003</v>
      </c>
      <c r="R245" s="285">
        <v>4.8413000000000004</v>
      </c>
      <c r="S245" s="285">
        <v>4.8710000000000004</v>
      </c>
      <c r="T245" s="285">
        <v>4.8348000000000004</v>
      </c>
      <c r="U245" s="283">
        <v>1.4E-3</v>
      </c>
      <c r="W245" s="167">
        <v>45099</v>
      </c>
      <c r="X245" s="287">
        <v>118934</v>
      </c>
      <c r="Y245" s="287">
        <v>120420</v>
      </c>
      <c r="Z245" s="287">
        <v>120420</v>
      </c>
      <c r="AA245" s="287">
        <v>118018</v>
      </c>
      <c r="AB245" s="283" t="s">
        <v>2407</v>
      </c>
      <c r="AC245" s="289">
        <v>-1.23E-2</v>
      </c>
      <c r="AE245" s="167"/>
      <c r="AF245" s="285"/>
      <c r="AG245" s="285"/>
      <c r="AH245" s="285"/>
      <c r="AI245" s="285"/>
      <c r="AJ245" s="283"/>
    </row>
    <row r="246" spans="1:36" x14ac:dyDescent="0.3">
      <c r="A246" s="168">
        <v>45103</v>
      </c>
      <c r="B246" s="83">
        <v>36.979999999999997</v>
      </c>
      <c r="C246" s="83">
        <v>38.15</v>
      </c>
      <c r="D246" s="83">
        <v>38.49</v>
      </c>
      <c r="E246" s="83">
        <v>36.979999999999997</v>
      </c>
      <c r="F246" s="83" t="s">
        <v>1742</v>
      </c>
      <c r="G246" s="284">
        <v>-3.0599999999999999E-2</v>
      </c>
      <c r="I246" s="168">
        <v>45114</v>
      </c>
      <c r="J246" s="286">
        <v>2924.19</v>
      </c>
      <c r="K246" s="286">
        <v>2924.76</v>
      </c>
      <c r="L246" s="286">
        <v>2945.01</v>
      </c>
      <c r="M246" s="286">
        <v>2920.06</v>
      </c>
      <c r="N246" s="284" t="s">
        <v>1621</v>
      </c>
      <c r="P246" s="168">
        <v>45111</v>
      </c>
      <c r="Q246" s="286">
        <v>4.8407999999999998</v>
      </c>
      <c r="R246" s="286">
        <v>4.8079000000000001</v>
      </c>
      <c r="S246" s="286">
        <v>4.8499999999999996</v>
      </c>
      <c r="T246" s="286">
        <v>4.7827999999999999</v>
      </c>
      <c r="U246" s="284">
        <v>6.8999999999999999E-3</v>
      </c>
      <c r="W246" s="168">
        <v>45098</v>
      </c>
      <c r="X246" s="288">
        <v>120420</v>
      </c>
      <c r="Y246" s="288">
        <v>119623</v>
      </c>
      <c r="Z246" s="288">
        <v>120519</v>
      </c>
      <c r="AA246" s="288">
        <v>119332</v>
      </c>
      <c r="AB246" s="284" t="s">
        <v>1714</v>
      </c>
      <c r="AC246" s="290">
        <v>6.7000000000000002E-3</v>
      </c>
      <c r="AE246" s="168"/>
      <c r="AF246" s="286"/>
      <c r="AG246" s="286"/>
      <c r="AH246" s="286"/>
      <c r="AI246" s="286"/>
      <c r="AJ246" s="284"/>
    </row>
    <row r="247" spans="1:36" x14ac:dyDescent="0.3">
      <c r="A247" s="167">
        <v>45100</v>
      </c>
      <c r="B247" s="171">
        <v>38.15</v>
      </c>
      <c r="C247" s="171">
        <v>37.9</v>
      </c>
      <c r="D247" s="171">
        <v>38.21</v>
      </c>
      <c r="E247" s="171">
        <v>37.17</v>
      </c>
      <c r="F247" s="171" t="s">
        <v>2406</v>
      </c>
      <c r="G247" s="283">
        <v>-2.3E-3</v>
      </c>
      <c r="I247" s="167">
        <v>45113</v>
      </c>
      <c r="J247" s="285">
        <v>2924.55</v>
      </c>
      <c r="K247" s="285">
        <v>2958.75</v>
      </c>
      <c r="L247" s="285">
        <v>2958.89</v>
      </c>
      <c r="M247" s="285">
        <v>2910.39</v>
      </c>
      <c r="N247" s="283" t="s">
        <v>1903</v>
      </c>
      <c r="P247" s="167">
        <v>45110</v>
      </c>
      <c r="Q247" s="285">
        <v>4.8076999999999996</v>
      </c>
      <c r="R247" s="285">
        <v>4.7885</v>
      </c>
      <c r="S247" s="285">
        <v>4.8124000000000002</v>
      </c>
      <c r="T247" s="285">
        <v>4.7591999999999999</v>
      </c>
      <c r="U247" s="283">
        <v>4.4999999999999997E-3</v>
      </c>
      <c r="W247" s="167">
        <v>45097</v>
      </c>
      <c r="X247" s="287">
        <v>119622</v>
      </c>
      <c r="Y247" s="287">
        <v>119858</v>
      </c>
      <c r="Z247" s="287">
        <v>119858</v>
      </c>
      <c r="AA247" s="287">
        <v>118416</v>
      </c>
      <c r="AB247" s="283" t="s">
        <v>2297</v>
      </c>
      <c r="AC247" s="289">
        <v>-2E-3</v>
      </c>
      <c r="AE247" s="167"/>
      <c r="AF247" s="285"/>
      <c r="AG247" s="285"/>
      <c r="AH247" s="285"/>
      <c r="AI247" s="285"/>
      <c r="AJ247" s="283"/>
    </row>
    <row r="248" spans="1:36" x14ac:dyDescent="0.3">
      <c r="A248" s="168">
        <v>45099</v>
      </c>
      <c r="B248" s="83">
        <v>38.24</v>
      </c>
      <c r="C248" s="83">
        <v>37.950000000000003</v>
      </c>
      <c r="D248" s="83">
        <v>38.31</v>
      </c>
      <c r="E248" s="83">
        <v>37.369999999999997</v>
      </c>
      <c r="F248" s="83" t="s">
        <v>1671</v>
      </c>
      <c r="G248" s="284">
        <v>-9.5999999999999992E-3</v>
      </c>
      <c r="I248" s="168">
        <v>45112</v>
      </c>
      <c r="J248" s="286">
        <v>2960.76</v>
      </c>
      <c r="K248" s="286">
        <v>2969.89</v>
      </c>
      <c r="L248" s="286">
        <v>2970.88</v>
      </c>
      <c r="M248" s="286">
        <v>2955.47</v>
      </c>
      <c r="N248" s="284" t="s">
        <v>1511</v>
      </c>
      <c r="P248" s="168">
        <v>45107</v>
      </c>
      <c r="Q248" s="286">
        <v>4.7859999999999996</v>
      </c>
      <c r="R248" s="286">
        <v>4.8559000000000001</v>
      </c>
      <c r="S248" s="286">
        <v>4.8708999999999998</v>
      </c>
      <c r="T248" s="286">
        <v>4.7827999999999999</v>
      </c>
      <c r="U248" s="284">
        <v>-1.43E-2</v>
      </c>
      <c r="W248" s="168">
        <v>45096</v>
      </c>
      <c r="X248" s="288">
        <v>119858</v>
      </c>
      <c r="Y248" s="288">
        <v>118757</v>
      </c>
      <c r="Z248" s="288">
        <v>119939</v>
      </c>
      <c r="AA248" s="288">
        <v>118558</v>
      </c>
      <c r="AB248" s="284" t="s">
        <v>2405</v>
      </c>
      <c r="AC248" s="290">
        <v>9.2999999999999992E-3</v>
      </c>
      <c r="AE248" s="168"/>
      <c r="AF248" s="286"/>
      <c r="AG248" s="286"/>
      <c r="AH248" s="286"/>
      <c r="AI248" s="286"/>
      <c r="AJ248" s="284"/>
    </row>
    <row r="249" spans="1:36" x14ac:dyDescent="0.3">
      <c r="A249" s="167">
        <v>45098</v>
      </c>
      <c r="B249" s="171">
        <v>38.61</v>
      </c>
      <c r="C249" s="171">
        <v>36.090000000000003</v>
      </c>
      <c r="D249" s="171">
        <v>38.71</v>
      </c>
      <c r="E249" s="171">
        <v>35.99</v>
      </c>
      <c r="F249" s="171" t="s">
        <v>2404</v>
      </c>
      <c r="G249" s="283">
        <v>6.9400000000000003E-2</v>
      </c>
      <c r="I249" s="167">
        <v>45111</v>
      </c>
      <c r="J249" s="285">
        <v>2971.7</v>
      </c>
      <c r="K249" s="285">
        <v>2971.08</v>
      </c>
      <c r="L249" s="285">
        <v>2972.55</v>
      </c>
      <c r="M249" s="285">
        <v>2969.62</v>
      </c>
      <c r="N249" s="283" t="s">
        <v>1621</v>
      </c>
      <c r="P249" s="167">
        <v>45106</v>
      </c>
      <c r="Q249" s="285">
        <v>4.8552999999999997</v>
      </c>
      <c r="R249" s="285">
        <v>4.8516000000000004</v>
      </c>
      <c r="S249" s="285">
        <v>4.875</v>
      </c>
      <c r="T249" s="285">
        <v>4.8282999999999996</v>
      </c>
      <c r="U249" s="283">
        <v>1E-3</v>
      </c>
      <c r="W249" s="167">
        <v>45093</v>
      </c>
      <c r="X249" s="287">
        <v>118758</v>
      </c>
      <c r="Y249" s="287">
        <v>119208</v>
      </c>
      <c r="Z249" s="287">
        <v>119555</v>
      </c>
      <c r="AA249" s="287">
        <v>118487</v>
      </c>
      <c r="AB249" s="283" t="s">
        <v>2339</v>
      </c>
      <c r="AC249" s="289">
        <v>-3.8999999999999998E-3</v>
      </c>
      <c r="AE249" s="167"/>
      <c r="AF249" s="285"/>
      <c r="AG249" s="285"/>
      <c r="AH249" s="285"/>
      <c r="AI249" s="285"/>
      <c r="AJ249" s="283"/>
    </row>
    <row r="250" spans="1:36" x14ac:dyDescent="0.3">
      <c r="A250" s="168">
        <v>45097</v>
      </c>
      <c r="B250" s="83">
        <v>36.1</v>
      </c>
      <c r="C250" s="83">
        <v>35.89</v>
      </c>
      <c r="D250" s="83">
        <v>36.159999999999997</v>
      </c>
      <c r="E250" s="83">
        <v>34.99</v>
      </c>
      <c r="F250" s="83" t="s">
        <v>1291</v>
      </c>
      <c r="G250" s="284">
        <v>2.8E-3</v>
      </c>
      <c r="I250" s="168">
        <v>45110</v>
      </c>
      <c r="J250" s="286">
        <v>2972.03</v>
      </c>
      <c r="K250" s="286">
        <v>2967.65</v>
      </c>
      <c r="L250" s="286">
        <v>2972.43</v>
      </c>
      <c r="M250" s="286">
        <v>2966.44</v>
      </c>
      <c r="N250" s="284" t="s">
        <v>1572</v>
      </c>
      <c r="P250" s="168">
        <v>45105</v>
      </c>
      <c r="Q250" s="286">
        <v>4.8506</v>
      </c>
      <c r="R250" s="286">
        <v>4.8121</v>
      </c>
      <c r="S250" s="286">
        <v>4.8716999999999997</v>
      </c>
      <c r="T250" s="286">
        <v>4.8097000000000003</v>
      </c>
      <c r="U250" s="284">
        <v>8.3999999999999995E-3</v>
      </c>
      <c r="W250" s="168">
        <v>45092</v>
      </c>
      <c r="X250" s="288">
        <v>119221</v>
      </c>
      <c r="Y250" s="288">
        <v>119068</v>
      </c>
      <c r="Z250" s="288">
        <v>119686</v>
      </c>
      <c r="AA250" s="288">
        <v>118693</v>
      </c>
      <c r="AB250" s="284" t="s">
        <v>2351</v>
      </c>
      <c r="AC250" s="290">
        <v>1.2999999999999999E-3</v>
      </c>
      <c r="AE250" s="168"/>
      <c r="AF250" s="286"/>
      <c r="AG250" s="286"/>
      <c r="AH250" s="286"/>
      <c r="AI250" s="286"/>
      <c r="AJ250" s="284"/>
    </row>
    <row r="251" spans="1:36" x14ac:dyDescent="0.3">
      <c r="A251" s="167">
        <v>45096</v>
      </c>
      <c r="B251" s="171">
        <v>36</v>
      </c>
      <c r="C251" s="171">
        <v>36.28</v>
      </c>
      <c r="D251" s="171">
        <v>36.39</v>
      </c>
      <c r="E251" s="171">
        <v>35.630000000000003</v>
      </c>
      <c r="F251" s="171" t="s">
        <v>2403</v>
      </c>
      <c r="G251" s="283">
        <v>-5.7999999999999996E-3</v>
      </c>
      <c r="I251" s="167">
        <v>45107</v>
      </c>
      <c r="J251" s="285">
        <v>2966.72</v>
      </c>
      <c r="K251" s="285">
        <v>2932.2</v>
      </c>
      <c r="L251" s="285">
        <v>2970.73</v>
      </c>
      <c r="M251" s="285">
        <v>2930.49</v>
      </c>
      <c r="N251" s="283" t="s">
        <v>2402</v>
      </c>
      <c r="P251" s="167">
        <v>45104</v>
      </c>
      <c r="Q251" s="285">
        <v>4.8102999999999998</v>
      </c>
      <c r="R251" s="285">
        <v>4.7649999999999997</v>
      </c>
      <c r="S251" s="285">
        <v>4.8148</v>
      </c>
      <c r="T251" s="285">
        <v>4.7504999999999997</v>
      </c>
      <c r="U251" s="283">
        <v>8.9999999999999993E-3</v>
      </c>
      <c r="W251" s="167">
        <v>45091</v>
      </c>
      <c r="X251" s="287">
        <v>119069</v>
      </c>
      <c r="Y251" s="287">
        <v>116753</v>
      </c>
      <c r="Z251" s="287">
        <v>119085</v>
      </c>
      <c r="AA251" s="287">
        <v>116745</v>
      </c>
      <c r="AB251" s="283" t="s">
        <v>2401</v>
      </c>
      <c r="AC251" s="289">
        <v>1.9900000000000001E-2</v>
      </c>
      <c r="AE251" s="167"/>
      <c r="AF251" s="285"/>
      <c r="AG251" s="285"/>
      <c r="AH251" s="285"/>
      <c r="AI251" s="285"/>
      <c r="AJ251" s="283"/>
    </row>
    <row r="252" spans="1:36" x14ac:dyDescent="0.3">
      <c r="A252" s="168">
        <v>45093</v>
      </c>
      <c r="B252" s="83">
        <v>36.21</v>
      </c>
      <c r="C252" s="83">
        <v>35.5</v>
      </c>
      <c r="D252" s="83">
        <v>36.31</v>
      </c>
      <c r="E252" s="83">
        <v>35.1</v>
      </c>
      <c r="F252" s="83" t="s">
        <v>2400</v>
      </c>
      <c r="G252" s="284">
        <v>1.8800000000000001E-2</v>
      </c>
      <c r="I252" s="168">
        <v>45106</v>
      </c>
      <c r="J252" s="286">
        <v>2933.86</v>
      </c>
      <c r="K252" s="286">
        <v>2926.62</v>
      </c>
      <c r="L252" s="286">
        <v>2933.86</v>
      </c>
      <c r="M252" s="286">
        <v>2920.3</v>
      </c>
      <c r="N252" s="284" t="s">
        <v>1569</v>
      </c>
      <c r="P252" s="168">
        <v>45103</v>
      </c>
      <c r="Q252" s="286">
        <v>4.7675000000000001</v>
      </c>
      <c r="R252" s="286">
        <v>4.7838000000000003</v>
      </c>
      <c r="S252" s="286">
        <v>4.7869999999999999</v>
      </c>
      <c r="T252" s="286">
        <v>4.7579000000000002</v>
      </c>
      <c r="U252" s="284">
        <v>-3.8999999999999998E-3</v>
      </c>
      <c r="W252" s="168">
        <v>45090</v>
      </c>
      <c r="X252" s="288">
        <v>116743</v>
      </c>
      <c r="Y252" s="288">
        <v>117337</v>
      </c>
      <c r="Z252" s="288">
        <v>117924</v>
      </c>
      <c r="AA252" s="288">
        <v>116363</v>
      </c>
      <c r="AB252" s="284" t="s">
        <v>2399</v>
      </c>
      <c r="AC252" s="290">
        <v>-5.1000000000000004E-3</v>
      </c>
      <c r="AE252" s="168"/>
      <c r="AF252" s="286"/>
      <c r="AG252" s="286"/>
      <c r="AH252" s="286"/>
      <c r="AI252" s="286"/>
      <c r="AJ252" s="284"/>
    </row>
    <row r="253" spans="1:36" x14ac:dyDescent="0.3">
      <c r="A253" s="167">
        <v>45092</v>
      </c>
      <c r="B253" s="171">
        <v>35.54</v>
      </c>
      <c r="C253" s="171">
        <v>35.340000000000003</v>
      </c>
      <c r="D253" s="171">
        <v>35.69</v>
      </c>
      <c r="E253" s="171">
        <v>35.11</v>
      </c>
      <c r="F253" s="171" t="s">
        <v>1814</v>
      </c>
      <c r="G253" s="283">
        <v>5.5999999999999999E-3</v>
      </c>
      <c r="I253" s="167">
        <v>45105</v>
      </c>
      <c r="J253" s="285">
        <v>2924.92</v>
      </c>
      <c r="K253" s="285">
        <v>2922.74</v>
      </c>
      <c r="L253" s="285">
        <v>2932.59</v>
      </c>
      <c r="M253" s="285">
        <v>2917.22</v>
      </c>
      <c r="N253" s="283" t="s">
        <v>1227</v>
      </c>
      <c r="P253" s="167">
        <v>45100</v>
      </c>
      <c r="Q253" s="285">
        <v>4.7864000000000004</v>
      </c>
      <c r="R253" s="285">
        <v>4.7718999999999996</v>
      </c>
      <c r="S253" s="285">
        <v>4.8072999999999997</v>
      </c>
      <c r="T253" s="285">
        <v>4.7652999999999999</v>
      </c>
      <c r="U253" s="283">
        <v>3.7000000000000002E-3</v>
      </c>
      <c r="W253" s="167">
        <v>45089</v>
      </c>
      <c r="X253" s="287">
        <v>117336</v>
      </c>
      <c r="Y253" s="287">
        <v>117022</v>
      </c>
      <c r="Z253" s="287">
        <v>117735</v>
      </c>
      <c r="AA253" s="287">
        <v>116704</v>
      </c>
      <c r="AB253" s="283" t="s">
        <v>2368</v>
      </c>
      <c r="AC253" s="289">
        <v>2.7000000000000001E-3</v>
      </c>
      <c r="AE253" s="167"/>
      <c r="AF253" s="285"/>
      <c r="AG253" s="285"/>
      <c r="AH253" s="285"/>
      <c r="AI253" s="285"/>
      <c r="AJ253" s="283"/>
    </row>
    <row r="254" spans="1:36" x14ac:dyDescent="0.3">
      <c r="A254" s="168">
        <v>45091</v>
      </c>
      <c r="B254" s="83">
        <v>35.340000000000003</v>
      </c>
      <c r="C254" s="83">
        <v>34.43</v>
      </c>
      <c r="D254" s="83">
        <v>35.340000000000003</v>
      </c>
      <c r="E254" s="83">
        <v>34.22</v>
      </c>
      <c r="F254" s="83" t="s">
        <v>2398</v>
      </c>
      <c r="G254" s="284">
        <v>3.09E-2</v>
      </c>
      <c r="I254" s="168">
        <v>45104</v>
      </c>
      <c r="J254" s="286">
        <v>2921.19</v>
      </c>
      <c r="K254" s="286">
        <v>2895.03</v>
      </c>
      <c r="L254" s="286">
        <v>2924.76</v>
      </c>
      <c r="M254" s="286">
        <v>2893.5</v>
      </c>
      <c r="N254" s="284" t="s">
        <v>2389</v>
      </c>
      <c r="P254" s="168">
        <v>45099</v>
      </c>
      <c r="Q254" s="286">
        <v>4.7689000000000004</v>
      </c>
      <c r="R254" s="286">
        <v>4.7648000000000001</v>
      </c>
      <c r="S254" s="286">
        <v>4.7884000000000002</v>
      </c>
      <c r="T254" s="286">
        <v>4.7507000000000001</v>
      </c>
      <c r="U254" s="284">
        <v>1.1999999999999999E-3</v>
      </c>
      <c r="W254" s="168">
        <v>45086</v>
      </c>
      <c r="X254" s="288">
        <v>117019</v>
      </c>
      <c r="Y254" s="288">
        <v>115489</v>
      </c>
      <c r="Z254" s="288">
        <v>117603</v>
      </c>
      <c r="AA254" s="288">
        <v>115489</v>
      </c>
      <c r="AB254" s="284" t="s">
        <v>2373</v>
      </c>
      <c r="AC254" s="290">
        <v>1.3299999999999999E-2</v>
      </c>
      <c r="AE254" s="168"/>
      <c r="AF254" s="286"/>
      <c r="AG254" s="286"/>
      <c r="AH254" s="286"/>
      <c r="AI254" s="286"/>
      <c r="AJ254" s="284"/>
    </row>
    <row r="255" spans="1:36" x14ac:dyDescent="0.3">
      <c r="A255" s="167">
        <v>45090</v>
      </c>
      <c r="B255" s="171">
        <v>34.28</v>
      </c>
      <c r="C255" s="171">
        <v>33.56</v>
      </c>
      <c r="D255" s="171">
        <v>34.369999999999997</v>
      </c>
      <c r="E255" s="171">
        <v>33.36</v>
      </c>
      <c r="F255" s="171" t="s">
        <v>1796</v>
      </c>
      <c r="G255" s="283">
        <v>3.6200000000000003E-2</v>
      </c>
      <c r="I255" s="167">
        <v>45103</v>
      </c>
      <c r="J255" s="285">
        <v>2894.93</v>
      </c>
      <c r="K255" s="285">
        <v>2903.42</v>
      </c>
      <c r="L255" s="285">
        <v>2911.51</v>
      </c>
      <c r="M255" s="285">
        <v>2894.6</v>
      </c>
      <c r="N255" s="283" t="s">
        <v>1602</v>
      </c>
      <c r="P255" s="167">
        <v>45098</v>
      </c>
      <c r="Q255" s="285">
        <v>4.7629999999999999</v>
      </c>
      <c r="R255" s="285">
        <v>4.7907000000000002</v>
      </c>
      <c r="S255" s="285">
        <v>4.8170000000000002</v>
      </c>
      <c r="T255" s="285">
        <v>4.7624000000000004</v>
      </c>
      <c r="U255" s="283">
        <v>-5.7000000000000002E-3</v>
      </c>
      <c r="W255" s="167">
        <v>45084</v>
      </c>
      <c r="X255" s="287">
        <v>115488</v>
      </c>
      <c r="Y255" s="287">
        <v>114610</v>
      </c>
      <c r="Z255" s="287">
        <v>115978</v>
      </c>
      <c r="AA255" s="287">
        <v>114610</v>
      </c>
      <c r="AB255" s="283" t="s">
        <v>1464</v>
      </c>
      <c r="AC255" s="289">
        <v>7.7000000000000002E-3</v>
      </c>
      <c r="AE255" s="167"/>
      <c r="AF255" s="285"/>
      <c r="AG255" s="285"/>
      <c r="AH255" s="285"/>
      <c r="AI255" s="285"/>
      <c r="AJ255" s="283"/>
    </row>
    <row r="256" spans="1:36" x14ac:dyDescent="0.3">
      <c r="A256" s="168">
        <v>45089</v>
      </c>
      <c r="B256" s="83">
        <v>33.090000000000003</v>
      </c>
      <c r="C256" s="83">
        <v>34.340000000000003</v>
      </c>
      <c r="D256" s="83">
        <v>34.340000000000003</v>
      </c>
      <c r="E256" s="83">
        <v>32.86</v>
      </c>
      <c r="F256" s="83" t="s">
        <v>2397</v>
      </c>
      <c r="G256" s="284">
        <v>-3.8899999999999997E-2</v>
      </c>
      <c r="I256" s="168">
        <v>45100</v>
      </c>
      <c r="J256" s="286">
        <v>2902.34</v>
      </c>
      <c r="K256" s="286">
        <v>2931.19</v>
      </c>
      <c r="L256" s="286">
        <v>2931.25</v>
      </c>
      <c r="M256" s="286">
        <v>2899.76</v>
      </c>
      <c r="N256" s="284" t="s">
        <v>1241</v>
      </c>
      <c r="P256" s="168">
        <v>45097</v>
      </c>
      <c r="Q256" s="286">
        <v>4.7901999999999996</v>
      </c>
      <c r="R256" s="286">
        <v>4.7779999999999996</v>
      </c>
      <c r="S256" s="286">
        <v>4.8086000000000002</v>
      </c>
      <c r="T256" s="286">
        <v>4.7733999999999996</v>
      </c>
      <c r="U256" s="284">
        <v>2.7000000000000001E-3</v>
      </c>
      <c r="W256" s="168">
        <v>45083</v>
      </c>
      <c r="X256" s="288">
        <v>114610</v>
      </c>
      <c r="Y256" s="288">
        <v>112697</v>
      </c>
      <c r="Z256" s="288">
        <v>114783</v>
      </c>
      <c r="AA256" s="288">
        <v>112696</v>
      </c>
      <c r="AB256" s="284" t="s">
        <v>2396</v>
      </c>
      <c r="AC256" s="290">
        <v>1.7000000000000001E-2</v>
      </c>
      <c r="AE256" s="168"/>
      <c r="AF256" s="286"/>
      <c r="AG256" s="286"/>
      <c r="AH256" s="286"/>
      <c r="AI256" s="286"/>
      <c r="AJ256" s="284"/>
    </row>
    <row r="257" spans="1:36" x14ac:dyDescent="0.3">
      <c r="A257" s="167">
        <v>45086</v>
      </c>
      <c r="B257" s="171">
        <v>34.42</v>
      </c>
      <c r="C257" s="171">
        <v>34.909999999999997</v>
      </c>
      <c r="D257" s="171">
        <v>35.14</v>
      </c>
      <c r="E257" s="171">
        <v>34.21</v>
      </c>
      <c r="F257" s="171" t="s">
        <v>1355</v>
      </c>
      <c r="G257" s="283">
        <v>-8.8999999999999999E-3</v>
      </c>
      <c r="I257" s="167">
        <v>45099</v>
      </c>
      <c r="J257" s="285">
        <v>2930.37</v>
      </c>
      <c r="K257" s="285">
        <v>2930.34</v>
      </c>
      <c r="L257" s="285">
        <v>2931.14</v>
      </c>
      <c r="M257" s="285">
        <v>2916.31</v>
      </c>
      <c r="N257" s="283" t="s">
        <v>2292</v>
      </c>
      <c r="P257" s="167">
        <v>45096</v>
      </c>
      <c r="Q257" s="285">
        <v>4.7771999999999997</v>
      </c>
      <c r="R257" s="285">
        <v>4.8201999999999998</v>
      </c>
      <c r="S257" s="285">
        <v>4.8319999999999999</v>
      </c>
      <c r="T257" s="285">
        <v>4.7587000000000002</v>
      </c>
      <c r="U257" s="283">
        <v>-8.8999999999999999E-3</v>
      </c>
      <c r="W257" s="167">
        <v>45082</v>
      </c>
      <c r="X257" s="287">
        <v>112696</v>
      </c>
      <c r="Y257" s="287">
        <v>112558</v>
      </c>
      <c r="Z257" s="287">
        <v>113071</v>
      </c>
      <c r="AA257" s="287">
        <v>111736</v>
      </c>
      <c r="AB257" s="283" t="s">
        <v>1445</v>
      </c>
      <c r="AC257" s="289">
        <v>1.1999999999999999E-3</v>
      </c>
      <c r="AE257" s="167"/>
      <c r="AF257" s="285"/>
      <c r="AG257" s="285"/>
      <c r="AH257" s="285"/>
      <c r="AI257" s="285"/>
      <c r="AJ257" s="283"/>
    </row>
    <row r="258" spans="1:36" x14ac:dyDescent="0.3">
      <c r="A258" s="168">
        <v>45084</v>
      </c>
      <c r="B258" s="83">
        <v>34.729999999999997</v>
      </c>
      <c r="C258" s="83">
        <v>34.54</v>
      </c>
      <c r="D258" s="83">
        <v>35.07</v>
      </c>
      <c r="E258" s="83">
        <v>34.229999999999997</v>
      </c>
      <c r="F258" s="83" t="s">
        <v>2395</v>
      </c>
      <c r="G258" s="284">
        <v>1.49E-2</v>
      </c>
      <c r="I258" s="168">
        <v>45098</v>
      </c>
      <c r="J258" s="286">
        <v>2927.72</v>
      </c>
      <c r="K258" s="286">
        <v>2939.92</v>
      </c>
      <c r="L258" s="286">
        <v>2941.31</v>
      </c>
      <c r="M258" s="286">
        <v>2923.78</v>
      </c>
      <c r="N258" s="284" t="s">
        <v>1446</v>
      </c>
      <c r="P258" s="168">
        <v>45093</v>
      </c>
      <c r="Q258" s="286">
        <v>4.8198999999999996</v>
      </c>
      <c r="R258" s="286">
        <v>4.8112000000000004</v>
      </c>
      <c r="S258" s="286">
        <v>4.8506</v>
      </c>
      <c r="T258" s="286">
        <v>4.806</v>
      </c>
      <c r="U258" s="284">
        <v>2E-3</v>
      </c>
      <c r="W258" s="168">
        <v>45079</v>
      </c>
      <c r="X258" s="288">
        <v>112558</v>
      </c>
      <c r="Y258" s="288">
        <v>110568</v>
      </c>
      <c r="Z258" s="288">
        <v>113070</v>
      </c>
      <c r="AA258" s="288">
        <v>110567</v>
      </c>
      <c r="AB258" s="284" t="s">
        <v>2394</v>
      </c>
      <c r="AC258" s="290">
        <v>1.7999999999999999E-2</v>
      </c>
      <c r="AE258" s="168"/>
      <c r="AF258" s="286"/>
      <c r="AG258" s="286"/>
      <c r="AH258" s="286"/>
      <c r="AI258" s="286"/>
      <c r="AJ258" s="284"/>
    </row>
    <row r="259" spans="1:36" x14ac:dyDescent="0.3">
      <c r="A259" s="167">
        <v>45083</v>
      </c>
      <c r="B259" s="171">
        <v>34.229999999999997</v>
      </c>
      <c r="C259" s="171">
        <v>34.840000000000003</v>
      </c>
      <c r="D259" s="171">
        <v>34.9</v>
      </c>
      <c r="E259" s="171">
        <v>33.97</v>
      </c>
      <c r="F259" s="171" t="s">
        <v>1427</v>
      </c>
      <c r="G259" s="283">
        <v>-3.0300000000000001E-2</v>
      </c>
      <c r="I259" s="167">
        <v>45097</v>
      </c>
      <c r="J259" s="285">
        <v>2939.54</v>
      </c>
      <c r="K259" s="285">
        <v>2954.18</v>
      </c>
      <c r="L259" s="285">
        <v>2955.51</v>
      </c>
      <c r="M259" s="285">
        <v>2929.15</v>
      </c>
      <c r="N259" s="283" t="s">
        <v>1788</v>
      </c>
      <c r="P259" s="167">
        <v>45092</v>
      </c>
      <c r="Q259" s="285">
        <v>4.8102</v>
      </c>
      <c r="R259" s="285">
        <v>4.8144</v>
      </c>
      <c r="S259" s="285">
        <v>4.8445999999999998</v>
      </c>
      <c r="T259" s="285">
        <v>4.7949000000000002</v>
      </c>
      <c r="U259" s="283">
        <v>-8.9999999999999998E-4</v>
      </c>
      <c r="W259" s="167">
        <v>45078</v>
      </c>
      <c r="X259" s="287">
        <v>110565</v>
      </c>
      <c r="Y259" s="287">
        <v>108339</v>
      </c>
      <c r="Z259" s="287">
        <v>110745</v>
      </c>
      <c r="AA259" s="287">
        <v>108335</v>
      </c>
      <c r="AB259" s="283" t="s">
        <v>2393</v>
      </c>
      <c r="AC259" s="289">
        <v>2.06E-2</v>
      </c>
      <c r="AE259" s="167"/>
      <c r="AF259" s="285"/>
      <c r="AG259" s="285"/>
      <c r="AH259" s="285"/>
      <c r="AI259" s="285"/>
      <c r="AJ259" s="283"/>
    </row>
    <row r="260" spans="1:36" x14ac:dyDescent="0.3">
      <c r="A260" s="168">
        <v>45082</v>
      </c>
      <c r="B260" s="83">
        <v>35.29</v>
      </c>
      <c r="C260" s="83">
        <v>35.85</v>
      </c>
      <c r="D260" s="83">
        <v>35.86</v>
      </c>
      <c r="E260" s="83">
        <v>34.630000000000003</v>
      </c>
      <c r="F260" s="83" t="s">
        <v>2392</v>
      </c>
      <c r="G260" s="284">
        <v>8.0000000000000004E-4</v>
      </c>
      <c r="I260" s="168">
        <v>45096</v>
      </c>
      <c r="J260" s="286">
        <v>2955.12</v>
      </c>
      <c r="K260" s="286">
        <v>2962.95</v>
      </c>
      <c r="L260" s="286">
        <v>2962.95</v>
      </c>
      <c r="M260" s="286">
        <v>2954.33</v>
      </c>
      <c r="N260" s="284" t="s">
        <v>1467</v>
      </c>
      <c r="P260" s="168">
        <v>45091</v>
      </c>
      <c r="Q260" s="286">
        <v>4.8146000000000004</v>
      </c>
      <c r="R260" s="286">
        <v>4.8627000000000002</v>
      </c>
      <c r="S260" s="286">
        <v>4.8677999999999999</v>
      </c>
      <c r="T260" s="286">
        <v>4.7961999999999998</v>
      </c>
      <c r="U260" s="284">
        <v>-9.7999999999999997E-3</v>
      </c>
      <c r="W260" s="168">
        <v>45077</v>
      </c>
      <c r="X260" s="288">
        <v>108335</v>
      </c>
      <c r="Y260" s="288">
        <v>108967</v>
      </c>
      <c r="Z260" s="288">
        <v>109137</v>
      </c>
      <c r="AA260" s="288">
        <v>108193</v>
      </c>
      <c r="AB260" s="284" t="s">
        <v>2391</v>
      </c>
      <c r="AC260" s="290">
        <v>-5.7999999999999996E-3</v>
      </c>
      <c r="AE260" s="168"/>
      <c r="AF260" s="286"/>
      <c r="AG260" s="286"/>
      <c r="AH260" s="286"/>
      <c r="AI260" s="286"/>
      <c r="AJ260" s="284"/>
    </row>
    <row r="261" spans="1:36" x14ac:dyDescent="0.3">
      <c r="A261" s="167">
        <v>45079</v>
      </c>
      <c r="B261" s="171">
        <v>35.26</v>
      </c>
      <c r="C261" s="171">
        <v>34.840000000000003</v>
      </c>
      <c r="D261" s="171">
        <v>35.450000000000003</v>
      </c>
      <c r="E261" s="171">
        <v>34.770000000000003</v>
      </c>
      <c r="F261" s="171" t="s">
        <v>1512</v>
      </c>
      <c r="G261" s="283">
        <v>3.3700000000000001E-2</v>
      </c>
      <c r="I261" s="167">
        <v>45093</v>
      </c>
      <c r="J261" s="285">
        <v>2962.34</v>
      </c>
      <c r="K261" s="285">
        <v>2968.55</v>
      </c>
      <c r="L261" s="285">
        <v>2982.52</v>
      </c>
      <c r="M261" s="285">
        <v>2961.45</v>
      </c>
      <c r="N261" s="283" t="s">
        <v>1349</v>
      </c>
      <c r="P261" s="167">
        <v>45090</v>
      </c>
      <c r="Q261" s="285">
        <v>4.8621999999999996</v>
      </c>
      <c r="R261" s="285">
        <v>4.8621999999999996</v>
      </c>
      <c r="S261" s="285">
        <v>4.8799000000000001</v>
      </c>
      <c r="T261" s="285">
        <v>4.8475000000000001</v>
      </c>
      <c r="U261" s="283">
        <v>2.0000000000000001E-4</v>
      </c>
      <c r="W261" s="167">
        <v>45076</v>
      </c>
      <c r="X261" s="287">
        <v>108967</v>
      </c>
      <c r="Y261" s="287">
        <v>110333</v>
      </c>
      <c r="Z261" s="287">
        <v>111291</v>
      </c>
      <c r="AA261" s="287">
        <v>108552</v>
      </c>
      <c r="AB261" s="283" t="s">
        <v>2390</v>
      </c>
      <c r="AC261" s="289">
        <v>-1.24E-2</v>
      </c>
      <c r="AE261" s="167"/>
      <c r="AF261" s="285"/>
      <c r="AG261" s="285"/>
      <c r="AH261" s="285"/>
      <c r="AI261" s="285"/>
      <c r="AJ261" s="283"/>
    </row>
    <row r="262" spans="1:36" x14ac:dyDescent="0.3">
      <c r="A262" s="168">
        <v>45078</v>
      </c>
      <c r="B262" s="83">
        <v>34.119999999999997</v>
      </c>
      <c r="C262" s="83">
        <v>34.24</v>
      </c>
      <c r="D262" s="83">
        <v>34.479999999999997</v>
      </c>
      <c r="E262" s="83">
        <v>33.630000000000003</v>
      </c>
      <c r="F262" s="83" t="s">
        <v>1869</v>
      </c>
      <c r="G262" s="284">
        <v>-5.9999999999999995E-4</v>
      </c>
      <c r="I262" s="168">
        <v>45092</v>
      </c>
      <c r="J262" s="286">
        <v>2966.43</v>
      </c>
      <c r="K262" s="286">
        <v>2937.44</v>
      </c>
      <c r="L262" s="286">
        <v>2974.72</v>
      </c>
      <c r="M262" s="286">
        <v>2931.81</v>
      </c>
      <c r="N262" s="284" t="s">
        <v>2389</v>
      </c>
      <c r="P262" s="168">
        <v>45089</v>
      </c>
      <c r="Q262" s="286">
        <v>4.8613</v>
      </c>
      <c r="R262" s="286">
        <v>4.8794000000000004</v>
      </c>
      <c r="S262" s="286">
        <v>4.9006999999999996</v>
      </c>
      <c r="T262" s="286">
        <v>4.8611000000000004</v>
      </c>
      <c r="U262" s="284">
        <v>-3.5999999999999999E-3</v>
      </c>
      <c r="W262" s="168">
        <v>45075</v>
      </c>
      <c r="X262" s="288">
        <v>110333</v>
      </c>
      <c r="Y262" s="288">
        <v>110906</v>
      </c>
      <c r="Z262" s="288">
        <v>111168</v>
      </c>
      <c r="AA262" s="288">
        <v>110195</v>
      </c>
      <c r="AB262" s="284" t="s">
        <v>2388</v>
      </c>
      <c r="AC262" s="290">
        <v>-5.1999999999999998E-3</v>
      </c>
      <c r="AE262" s="168"/>
      <c r="AF262" s="286"/>
      <c r="AG262" s="286"/>
      <c r="AH262" s="286"/>
      <c r="AI262" s="286"/>
      <c r="AJ262" s="284"/>
    </row>
    <row r="263" spans="1:36" x14ac:dyDescent="0.3">
      <c r="A263" s="167">
        <v>45077</v>
      </c>
      <c r="B263" s="171">
        <v>34.14</v>
      </c>
      <c r="C263" s="171">
        <v>33.5</v>
      </c>
      <c r="D263" s="171">
        <v>34.22</v>
      </c>
      <c r="E263" s="171">
        <v>33.299999999999997</v>
      </c>
      <c r="F263" s="171" t="s">
        <v>1457</v>
      </c>
      <c r="G263" s="283">
        <v>1.8E-3</v>
      </c>
      <c r="I263" s="167">
        <v>45091</v>
      </c>
      <c r="J263" s="285">
        <v>2939.59</v>
      </c>
      <c r="K263" s="285">
        <v>2929.87</v>
      </c>
      <c r="L263" s="285">
        <v>2948.76</v>
      </c>
      <c r="M263" s="285">
        <v>2918.44</v>
      </c>
      <c r="N263" s="283" t="s">
        <v>1346</v>
      </c>
      <c r="P263" s="167">
        <v>45086</v>
      </c>
      <c r="Q263" s="285">
        <v>4.8791000000000002</v>
      </c>
      <c r="R263" s="285">
        <v>4.9207999999999998</v>
      </c>
      <c r="S263" s="285">
        <v>4.9276</v>
      </c>
      <c r="T263" s="285">
        <v>4.8524000000000003</v>
      </c>
      <c r="U263" s="283">
        <v>-8.9999999999999993E-3</v>
      </c>
      <c r="W263" s="167">
        <v>45072</v>
      </c>
      <c r="X263" s="287">
        <v>110906</v>
      </c>
      <c r="Y263" s="287">
        <v>110058</v>
      </c>
      <c r="Z263" s="287">
        <v>111706</v>
      </c>
      <c r="AA263" s="287">
        <v>109900</v>
      </c>
      <c r="AB263" s="283" t="s">
        <v>1746</v>
      </c>
      <c r="AC263" s="289">
        <v>7.7000000000000002E-3</v>
      </c>
      <c r="AE263" s="167"/>
      <c r="AF263" s="285"/>
      <c r="AG263" s="285"/>
      <c r="AH263" s="285"/>
      <c r="AI263" s="285"/>
      <c r="AJ263" s="283"/>
    </row>
    <row r="264" spans="1:36" x14ac:dyDescent="0.3">
      <c r="A264" s="168">
        <v>45076</v>
      </c>
      <c r="B264" s="83">
        <v>34.08</v>
      </c>
      <c r="C264" s="83">
        <v>35.090000000000003</v>
      </c>
      <c r="D264" s="83">
        <v>35.35</v>
      </c>
      <c r="E264" s="83">
        <v>33.53</v>
      </c>
      <c r="F264" s="83" t="s">
        <v>2387</v>
      </c>
      <c r="G264" s="284">
        <v>-2.8199999999999999E-2</v>
      </c>
      <c r="I264" s="168">
        <v>45090</v>
      </c>
      <c r="J264" s="286">
        <v>2929.68</v>
      </c>
      <c r="K264" s="286">
        <v>2907.67</v>
      </c>
      <c r="L264" s="286">
        <v>2932.77</v>
      </c>
      <c r="M264" s="286">
        <v>2907.37</v>
      </c>
      <c r="N264" s="284" t="s">
        <v>1219</v>
      </c>
      <c r="P264" s="168">
        <v>45084</v>
      </c>
      <c r="Q264" s="286">
        <v>4.9234999999999998</v>
      </c>
      <c r="R264" s="286">
        <v>4.9134000000000002</v>
      </c>
      <c r="S264" s="286">
        <v>4.9325000000000001</v>
      </c>
      <c r="T264" s="286">
        <v>4.8994999999999997</v>
      </c>
      <c r="U264" s="284">
        <v>2.2000000000000001E-3</v>
      </c>
      <c r="W264" s="168">
        <v>45071</v>
      </c>
      <c r="X264" s="288">
        <v>110054</v>
      </c>
      <c r="Y264" s="288">
        <v>108800</v>
      </c>
      <c r="Z264" s="288">
        <v>111115</v>
      </c>
      <c r="AA264" s="288">
        <v>108800</v>
      </c>
      <c r="AB264" s="284" t="s">
        <v>2016</v>
      </c>
      <c r="AC264" s="290">
        <v>1.15E-2</v>
      </c>
      <c r="AE264" s="168"/>
      <c r="AF264" s="286"/>
      <c r="AG264" s="286"/>
      <c r="AH264" s="286"/>
      <c r="AI264" s="286"/>
      <c r="AJ264" s="284"/>
    </row>
    <row r="265" spans="1:36" x14ac:dyDescent="0.3">
      <c r="A265" s="167">
        <v>45075</v>
      </c>
      <c r="B265" s="171">
        <v>35.06</v>
      </c>
      <c r="C265" s="171">
        <v>35.21</v>
      </c>
      <c r="D265" s="171">
        <v>35.479999999999997</v>
      </c>
      <c r="E265" s="171">
        <v>34.99</v>
      </c>
      <c r="F265" s="171" t="s">
        <v>2386</v>
      </c>
      <c r="G265" s="283">
        <v>-6.4999999999999997E-3</v>
      </c>
      <c r="I265" s="167">
        <v>45089</v>
      </c>
      <c r="J265" s="285">
        <v>2906.01</v>
      </c>
      <c r="K265" s="285">
        <v>2885.79</v>
      </c>
      <c r="L265" s="285">
        <v>2907.01</v>
      </c>
      <c r="M265" s="285">
        <v>2884.81</v>
      </c>
      <c r="N265" s="283" t="s">
        <v>1641</v>
      </c>
      <c r="P265" s="167">
        <v>45083</v>
      </c>
      <c r="Q265" s="285">
        <v>4.9124999999999996</v>
      </c>
      <c r="R265" s="285">
        <v>4.9291999999999998</v>
      </c>
      <c r="S265" s="285">
        <v>4.9564000000000004</v>
      </c>
      <c r="T265" s="285">
        <v>4.9004000000000003</v>
      </c>
      <c r="U265" s="283">
        <v>-3.3E-3</v>
      </c>
      <c r="W265" s="167">
        <v>45070</v>
      </c>
      <c r="X265" s="287">
        <v>108800</v>
      </c>
      <c r="Y265" s="287">
        <v>109920</v>
      </c>
      <c r="Z265" s="287">
        <v>109920</v>
      </c>
      <c r="AA265" s="287">
        <v>108546</v>
      </c>
      <c r="AB265" s="283" t="s">
        <v>1916</v>
      </c>
      <c r="AC265" s="289">
        <v>-1.03E-2</v>
      </c>
      <c r="AE265" s="167"/>
      <c r="AF265" s="285"/>
      <c r="AG265" s="285"/>
      <c r="AH265" s="285"/>
      <c r="AI265" s="285"/>
      <c r="AJ265" s="283"/>
    </row>
    <row r="266" spans="1:36" x14ac:dyDescent="0.3">
      <c r="A266" s="168">
        <v>45072</v>
      </c>
      <c r="B266" s="83">
        <v>35.29</v>
      </c>
      <c r="C266" s="83">
        <v>36.03</v>
      </c>
      <c r="D266" s="83">
        <v>36.28</v>
      </c>
      <c r="E266" s="83">
        <v>35.119999999999997</v>
      </c>
      <c r="F266" s="83" t="s">
        <v>1493</v>
      </c>
      <c r="G266" s="284">
        <v>-7.9000000000000008E-3</v>
      </c>
      <c r="I266" s="168">
        <v>45086</v>
      </c>
      <c r="J266" s="286">
        <v>2885.63</v>
      </c>
      <c r="K266" s="286">
        <v>2883.82</v>
      </c>
      <c r="L266" s="286">
        <v>2898.14</v>
      </c>
      <c r="M266" s="286">
        <v>2881.27</v>
      </c>
      <c r="N266" s="284" t="s">
        <v>1426</v>
      </c>
      <c r="P266" s="168">
        <v>45082</v>
      </c>
      <c r="Q266" s="286">
        <v>4.9288999999999996</v>
      </c>
      <c r="R266" s="286">
        <v>4.9581</v>
      </c>
      <c r="S266" s="286">
        <v>4.9764999999999997</v>
      </c>
      <c r="T266" s="286">
        <v>4.9120999999999997</v>
      </c>
      <c r="U266" s="284">
        <v>-5.7000000000000002E-3</v>
      </c>
      <c r="W266" s="168">
        <v>45069</v>
      </c>
      <c r="X266" s="288">
        <v>109929</v>
      </c>
      <c r="Y266" s="288">
        <v>110213</v>
      </c>
      <c r="Z266" s="288">
        <v>111325</v>
      </c>
      <c r="AA266" s="288">
        <v>109713</v>
      </c>
      <c r="AB266" s="284" t="s">
        <v>2177</v>
      </c>
      <c r="AC266" s="290">
        <v>-2.5999999999999999E-3</v>
      </c>
      <c r="AE266" s="168"/>
      <c r="AF266" s="286"/>
      <c r="AG266" s="286"/>
      <c r="AH266" s="286"/>
      <c r="AI266" s="286"/>
      <c r="AJ266" s="284"/>
    </row>
    <row r="267" spans="1:36" x14ac:dyDescent="0.3">
      <c r="A267" s="167">
        <v>45071</v>
      </c>
      <c r="B267" s="171">
        <v>35.57</v>
      </c>
      <c r="C267" s="171">
        <v>36.19</v>
      </c>
      <c r="D267" s="171">
        <v>36.29</v>
      </c>
      <c r="E267" s="171">
        <v>35.15</v>
      </c>
      <c r="F267" s="171" t="s">
        <v>2385</v>
      </c>
      <c r="G267" s="283">
        <v>-8.8999999999999999E-3</v>
      </c>
      <c r="I267" s="167">
        <v>45085</v>
      </c>
      <c r="J267" s="285">
        <v>2882.13</v>
      </c>
      <c r="K267" s="285">
        <v>2866.14</v>
      </c>
      <c r="L267" s="285">
        <v>2884.53</v>
      </c>
      <c r="M267" s="285">
        <v>2864</v>
      </c>
      <c r="N267" s="283" t="s">
        <v>1612</v>
      </c>
      <c r="P267" s="167">
        <v>45079</v>
      </c>
      <c r="Q267" s="285">
        <v>4.9570999999999996</v>
      </c>
      <c r="R267" s="285">
        <v>5.0148000000000001</v>
      </c>
      <c r="S267" s="285">
        <v>5.0152000000000001</v>
      </c>
      <c r="T267" s="285">
        <v>4.9452999999999996</v>
      </c>
      <c r="U267" s="283">
        <v>-1.1299999999999999E-2</v>
      </c>
      <c r="W267" s="167">
        <v>45068</v>
      </c>
      <c r="X267" s="287">
        <v>110213</v>
      </c>
      <c r="Y267" s="287">
        <v>110745</v>
      </c>
      <c r="Z267" s="287">
        <v>111643</v>
      </c>
      <c r="AA267" s="287">
        <v>110178</v>
      </c>
      <c r="AB267" s="283" t="s">
        <v>1246</v>
      </c>
      <c r="AC267" s="289">
        <v>-4.7999999999999996E-3</v>
      </c>
      <c r="AE267" s="167"/>
      <c r="AF267" s="285"/>
      <c r="AG267" s="285"/>
      <c r="AH267" s="285"/>
      <c r="AI267" s="285"/>
      <c r="AJ267" s="283"/>
    </row>
    <row r="268" spans="1:36" x14ac:dyDescent="0.3">
      <c r="A268" s="168">
        <v>45070</v>
      </c>
      <c r="B268" s="83">
        <v>35.89</v>
      </c>
      <c r="C268" s="83">
        <v>36.15</v>
      </c>
      <c r="D268" s="83">
        <v>36.74</v>
      </c>
      <c r="E268" s="83">
        <v>35.770000000000003</v>
      </c>
      <c r="F268" s="83" t="s">
        <v>2043</v>
      </c>
      <c r="G268" s="284">
        <v>-5.7999999999999996E-3</v>
      </c>
      <c r="I268" s="168">
        <v>45084</v>
      </c>
      <c r="J268" s="286">
        <v>2866.59</v>
      </c>
      <c r="K268" s="286">
        <v>2879.84</v>
      </c>
      <c r="L268" s="286">
        <v>2886.99</v>
      </c>
      <c r="M268" s="286">
        <v>2863.17</v>
      </c>
      <c r="N268" s="284" t="s">
        <v>1446</v>
      </c>
      <c r="P268" s="168">
        <v>45078</v>
      </c>
      <c r="Q268" s="286">
        <v>5.0140000000000002</v>
      </c>
      <c r="R268" s="286">
        <v>5.0552999999999999</v>
      </c>
      <c r="S268" s="286">
        <v>5.0587999999999997</v>
      </c>
      <c r="T268" s="286">
        <v>5.0044000000000004</v>
      </c>
      <c r="U268" s="284">
        <v>-8.6E-3</v>
      </c>
      <c r="W268" s="168">
        <v>45065</v>
      </c>
      <c r="X268" s="288">
        <v>110745</v>
      </c>
      <c r="Y268" s="288">
        <v>110113</v>
      </c>
      <c r="Z268" s="288">
        <v>111211</v>
      </c>
      <c r="AA268" s="288">
        <v>109787</v>
      </c>
      <c r="AB268" s="284" t="s">
        <v>1761</v>
      </c>
      <c r="AC268" s="290">
        <v>5.7999999999999996E-3</v>
      </c>
      <c r="AE268" s="168"/>
      <c r="AF268" s="286"/>
      <c r="AG268" s="286"/>
      <c r="AH268" s="286"/>
      <c r="AI268" s="286"/>
      <c r="AJ268" s="284"/>
    </row>
    <row r="269" spans="1:36" x14ac:dyDescent="0.3">
      <c r="A269" s="167">
        <v>45069</v>
      </c>
      <c r="B269" s="171">
        <v>36.1</v>
      </c>
      <c r="C269" s="171">
        <v>36.340000000000003</v>
      </c>
      <c r="D269" s="171">
        <v>36.69</v>
      </c>
      <c r="E269" s="171">
        <v>35.96</v>
      </c>
      <c r="F269" s="171" t="s">
        <v>2384</v>
      </c>
      <c r="G269" s="283">
        <v>-8.0000000000000004E-4</v>
      </c>
      <c r="I269" s="167">
        <v>45083</v>
      </c>
      <c r="J269" s="285">
        <v>2877.97</v>
      </c>
      <c r="K269" s="285">
        <v>2869.46</v>
      </c>
      <c r="L269" s="285">
        <v>2880.5</v>
      </c>
      <c r="M269" s="285">
        <v>2865.13</v>
      </c>
      <c r="N269" s="283" t="s">
        <v>2235</v>
      </c>
      <c r="P269" s="167">
        <v>45077</v>
      </c>
      <c r="Q269" s="285">
        <v>5.0574000000000003</v>
      </c>
      <c r="R269" s="285">
        <v>5.0365000000000002</v>
      </c>
      <c r="S269" s="285">
        <v>5.1279000000000003</v>
      </c>
      <c r="T269" s="285">
        <v>5.0365000000000002</v>
      </c>
      <c r="U269" s="283">
        <v>4.3E-3</v>
      </c>
      <c r="W269" s="167">
        <v>45064</v>
      </c>
      <c r="X269" s="287">
        <v>110108</v>
      </c>
      <c r="Y269" s="287">
        <v>109459</v>
      </c>
      <c r="Z269" s="287">
        <v>110206</v>
      </c>
      <c r="AA269" s="287">
        <v>108864</v>
      </c>
      <c r="AB269" s="283" t="s">
        <v>1531</v>
      </c>
      <c r="AC269" s="289">
        <v>5.8999999999999999E-3</v>
      </c>
      <c r="AE269" s="167"/>
      <c r="AF269" s="285"/>
      <c r="AG269" s="285"/>
      <c r="AH269" s="285"/>
      <c r="AI269" s="285"/>
      <c r="AJ269" s="283"/>
    </row>
    <row r="270" spans="1:36" x14ac:dyDescent="0.3">
      <c r="A270" s="168">
        <v>45068</v>
      </c>
      <c r="B270" s="83">
        <v>36.130000000000003</v>
      </c>
      <c r="C270" s="83">
        <v>36.92</v>
      </c>
      <c r="D270" s="83">
        <v>37.26</v>
      </c>
      <c r="E270" s="83">
        <v>35.92</v>
      </c>
      <c r="F270" s="83" t="s">
        <v>1429</v>
      </c>
      <c r="G270" s="284">
        <v>-2.1100000000000001E-2</v>
      </c>
      <c r="I270" s="168">
        <v>45082</v>
      </c>
      <c r="J270" s="286">
        <v>2870.27</v>
      </c>
      <c r="K270" s="286">
        <v>2872.83</v>
      </c>
      <c r="L270" s="286">
        <v>2882.83</v>
      </c>
      <c r="M270" s="286">
        <v>2867.59</v>
      </c>
      <c r="N270" s="284" t="s">
        <v>2383</v>
      </c>
      <c r="P270" s="168">
        <v>45076</v>
      </c>
      <c r="Q270" s="286">
        <v>5.0357000000000003</v>
      </c>
      <c r="R270" s="286">
        <v>5.0174000000000003</v>
      </c>
      <c r="S270" s="286">
        <v>5.07</v>
      </c>
      <c r="T270" s="286">
        <v>4.9989999999999997</v>
      </c>
      <c r="U270" s="284">
        <v>3.7000000000000002E-3</v>
      </c>
      <c r="W270" s="168">
        <v>45063</v>
      </c>
      <c r="X270" s="288">
        <v>109460</v>
      </c>
      <c r="Y270" s="288">
        <v>108194</v>
      </c>
      <c r="Z270" s="288">
        <v>109774</v>
      </c>
      <c r="AA270" s="288">
        <v>108188</v>
      </c>
      <c r="AB270" s="284" t="s">
        <v>2382</v>
      </c>
      <c r="AC270" s="290">
        <v>1.17E-2</v>
      </c>
      <c r="AE270" s="168"/>
      <c r="AF270" s="286"/>
      <c r="AG270" s="286"/>
      <c r="AH270" s="286"/>
      <c r="AI270" s="286"/>
      <c r="AJ270" s="284"/>
    </row>
    <row r="271" spans="1:36" x14ac:dyDescent="0.3">
      <c r="A271" s="167">
        <v>45065</v>
      </c>
      <c r="B271" s="171">
        <v>36.909999999999997</v>
      </c>
      <c r="C271" s="171">
        <v>36.92</v>
      </c>
      <c r="D271" s="171">
        <v>37.28</v>
      </c>
      <c r="E271" s="171">
        <v>36.51</v>
      </c>
      <c r="F271" s="171" t="s">
        <v>2381</v>
      </c>
      <c r="G271" s="283">
        <v>1.7100000000000001E-2</v>
      </c>
      <c r="I271" s="167">
        <v>45079</v>
      </c>
      <c r="J271" s="285">
        <v>2873.37</v>
      </c>
      <c r="K271" s="285">
        <v>2834.8</v>
      </c>
      <c r="L271" s="285">
        <v>2875.71</v>
      </c>
      <c r="M271" s="285">
        <v>2834.8</v>
      </c>
      <c r="N271" s="283" t="s">
        <v>2380</v>
      </c>
      <c r="P271" s="167">
        <v>45075</v>
      </c>
      <c r="Q271" s="285">
        <v>5.0171000000000001</v>
      </c>
      <c r="R271" s="285">
        <v>4.9942000000000002</v>
      </c>
      <c r="S271" s="285">
        <v>5.0209000000000001</v>
      </c>
      <c r="T271" s="285">
        <v>4.9736000000000002</v>
      </c>
      <c r="U271" s="283">
        <v>4.5999999999999999E-3</v>
      </c>
      <c r="W271" s="167">
        <v>45062</v>
      </c>
      <c r="X271" s="287">
        <v>108194</v>
      </c>
      <c r="Y271" s="287">
        <v>109029</v>
      </c>
      <c r="Z271" s="287">
        <v>110151</v>
      </c>
      <c r="AA271" s="287">
        <v>108085</v>
      </c>
      <c r="AB271" s="283" t="s">
        <v>2379</v>
      </c>
      <c r="AC271" s="289">
        <v>-7.7000000000000002E-3</v>
      </c>
      <c r="AE271" s="167"/>
      <c r="AF271" s="285"/>
      <c r="AG271" s="285"/>
      <c r="AH271" s="285"/>
      <c r="AI271" s="285"/>
      <c r="AJ271" s="283"/>
    </row>
    <row r="272" spans="1:36" x14ac:dyDescent="0.3">
      <c r="A272" s="168">
        <v>45064</v>
      </c>
      <c r="B272" s="83">
        <v>36.29</v>
      </c>
      <c r="C272" s="83">
        <v>36.35</v>
      </c>
      <c r="D272" s="83">
        <v>36.43</v>
      </c>
      <c r="E272" s="83">
        <v>35.549999999999997</v>
      </c>
      <c r="F272" s="83" t="s">
        <v>1762</v>
      </c>
      <c r="G272" s="284">
        <v>-4.1000000000000003E-3</v>
      </c>
      <c r="I272" s="168">
        <v>45078</v>
      </c>
      <c r="J272" s="286">
        <v>2831.66</v>
      </c>
      <c r="K272" s="286">
        <v>2803.68</v>
      </c>
      <c r="L272" s="286">
        <v>2839.3</v>
      </c>
      <c r="M272" s="286">
        <v>2803.4</v>
      </c>
      <c r="N272" s="284" t="s">
        <v>1259</v>
      </c>
      <c r="P272" s="168">
        <v>45072</v>
      </c>
      <c r="Q272" s="286">
        <v>4.9939</v>
      </c>
      <c r="R272" s="286">
        <v>5.0374999999999996</v>
      </c>
      <c r="S272" s="286">
        <v>5.0374999999999996</v>
      </c>
      <c r="T272" s="286">
        <v>4.9774000000000003</v>
      </c>
      <c r="U272" s="284">
        <v>-8.3000000000000001E-3</v>
      </c>
      <c r="W272" s="168">
        <v>45061</v>
      </c>
      <c r="X272" s="288">
        <v>109029</v>
      </c>
      <c r="Y272" s="288">
        <v>108469</v>
      </c>
      <c r="Z272" s="288">
        <v>109271</v>
      </c>
      <c r="AA272" s="288">
        <v>108356</v>
      </c>
      <c r="AB272" s="284" t="s">
        <v>1793</v>
      </c>
      <c r="AC272" s="290">
        <v>5.1999999999999998E-3</v>
      </c>
      <c r="AE272" s="168"/>
      <c r="AF272" s="286"/>
      <c r="AG272" s="286"/>
      <c r="AH272" s="286"/>
      <c r="AI272" s="286"/>
      <c r="AJ272" s="284"/>
    </row>
    <row r="273" spans="1:36" x14ac:dyDescent="0.3">
      <c r="A273" s="167">
        <v>45063</v>
      </c>
      <c r="B273" s="171">
        <v>36.44</v>
      </c>
      <c r="C273" s="171">
        <v>34.83</v>
      </c>
      <c r="D273" s="171">
        <v>36.44</v>
      </c>
      <c r="E273" s="171">
        <v>34.729999999999997</v>
      </c>
      <c r="F273" s="171" t="s">
        <v>1950</v>
      </c>
      <c r="G273" s="283">
        <v>5.8000000000000003E-2</v>
      </c>
      <c r="I273" s="167">
        <v>45077</v>
      </c>
      <c r="J273" s="285">
        <v>2800.56</v>
      </c>
      <c r="K273" s="285">
        <v>2824.18</v>
      </c>
      <c r="L273" s="285">
        <v>2824.22</v>
      </c>
      <c r="M273" s="285">
        <v>2793.42</v>
      </c>
      <c r="N273" s="283" t="s">
        <v>1361</v>
      </c>
      <c r="P273" s="167">
        <v>45071</v>
      </c>
      <c r="Q273" s="285">
        <v>5.0355999999999996</v>
      </c>
      <c r="R273" s="285">
        <v>4.9618000000000002</v>
      </c>
      <c r="S273" s="285">
        <v>5.0448000000000004</v>
      </c>
      <c r="T273" s="285">
        <v>4.9421999999999997</v>
      </c>
      <c r="U273" s="283">
        <v>1.49E-2</v>
      </c>
      <c r="W273" s="167">
        <v>45058</v>
      </c>
      <c r="X273" s="287">
        <v>108464</v>
      </c>
      <c r="Y273" s="287">
        <v>108256</v>
      </c>
      <c r="Z273" s="287">
        <v>108817</v>
      </c>
      <c r="AA273" s="287">
        <v>107497</v>
      </c>
      <c r="AB273" s="283" t="s">
        <v>2378</v>
      </c>
      <c r="AC273" s="289">
        <v>1.9E-3</v>
      </c>
      <c r="AE273" s="167"/>
      <c r="AF273" s="285"/>
      <c r="AG273" s="285"/>
      <c r="AH273" s="285"/>
      <c r="AI273" s="285"/>
      <c r="AJ273" s="283"/>
    </row>
    <row r="274" spans="1:36" x14ac:dyDescent="0.3">
      <c r="A274" s="168">
        <v>45062</v>
      </c>
      <c r="B274" s="83">
        <v>34.44</v>
      </c>
      <c r="C274" s="83">
        <v>34.44</v>
      </c>
      <c r="D274" s="83">
        <v>35.03</v>
      </c>
      <c r="E274" s="83">
        <v>34.22</v>
      </c>
      <c r="F274" s="83" t="s">
        <v>2377</v>
      </c>
      <c r="G274" s="284">
        <v>8.9999999999999998E-4</v>
      </c>
      <c r="I274" s="168">
        <v>45076</v>
      </c>
      <c r="J274" s="286">
        <v>2825.6</v>
      </c>
      <c r="K274" s="286">
        <v>2829.57</v>
      </c>
      <c r="L274" s="286">
        <v>2842.84</v>
      </c>
      <c r="M274" s="286">
        <v>2818.41</v>
      </c>
      <c r="N274" s="284" t="s">
        <v>1430</v>
      </c>
      <c r="P274" s="168">
        <v>45070</v>
      </c>
      <c r="Q274" s="286">
        <v>4.9619</v>
      </c>
      <c r="R274" s="286">
        <v>4.9717000000000002</v>
      </c>
      <c r="S274" s="286">
        <v>4.9767000000000001</v>
      </c>
      <c r="T274" s="286">
        <v>4.9348999999999998</v>
      </c>
      <c r="U274" s="284">
        <v>-1.9E-3</v>
      </c>
      <c r="W274" s="168">
        <v>45057</v>
      </c>
      <c r="X274" s="288">
        <v>108256</v>
      </c>
      <c r="Y274" s="288">
        <v>107446</v>
      </c>
      <c r="Z274" s="288">
        <v>108667</v>
      </c>
      <c r="AA274" s="288">
        <v>106419</v>
      </c>
      <c r="AB274" s="284" t="s">
        <v>2376</v>
      </c>
      <c r="AC274" s="290">
        <v>7.4999999999999997E-3</v>
      </c>
      <c r="AE274" s="168"/>
      <c r="AF274" s="286"/>
      <c r="AG274" s="286"/>
      <c r="AH274" s="286"/>
      <c r="AI274" s="286"/>
      <c r="AJ274" s="284"/>
    </row>
    <row r="275" spans="1:36" x14ac:dyDescent="0.3">
      <c r="A275" s="167">
        <v>45061</v>
      </c>
      <c r="B275" s="171">
        <v>34.409999999999997</v>
      </c>
      <c r="C275" s="171">
        <v>34.549999999999997</v>
      </c>
      <c r="D275" s="171">
        <v>34.909999999999997</v>
      </c>
      <c r="E275" s="171">
        <v>34.35</v>
      </c>
      <c r="F275" s="171" t="s">
        <v>2375</v>
      </c>
      <c r="G275" s="283">
        <v>-8.9999999999999998E-4</v>
      </c>
      <c r="I275" s="167">
        <v>45075</v>
      </c>
      <c r="J275" s="285">
        <v>2830.43</v>
      </c>
      <c r="K275" s="285">
        <v>2830.09</v>
      </c>
      <c r="L275" s="285">
        <v>2833.62</v>
      </c>
      <c r="M275" s="285">
        <v>2829.88</v>
      </c>
      <c r="N275" s="283" t="s">
        <v>2292</v>
      </c>
      <c r="P275" s="167">
        <v>45069</v>
      </c>
      <c r="Q275" s="285">
        <v>4.9714</v>
      </c>
      <c r="R275" s="285">
        <v>4.9664999999999999</v>
      </c>
      <c r="S275" s="285">
        <v>4.9951999999999996</v>
      </c>
      <c r="T275" s="285">
        <v>4.9503000000000004</v>
      </c>
      <c r="U275" s="283">
        <v>8.9999999999999998E-4</v>
      </c>
      <c r="W275" s="167">
        <v>45056</v>
      </c>
      <c r="X275" s="287">
        <v>107448</v>
      </c>
      <c r="Y275" s="287">
        <v>107114</v>
      </c>
      <c r="Z275" s="287">
        <v>107744</v>
      </c>
      <c r="AA275" s="287">
        <v>106538</v>
      </c>
      <c r="AB275" s="283" t="s">
        <v>2374</v>
      </c>
      <c r="AC275" s="289">
        <v>3.0999999999999999E-3</v>
      </c>
      <c r="AE275" s="167"/>
      <c r="AF275" s="285"/>
      <c r="AG275" s="285"/>
      <c r="AH275" s="285"/>
      <c r="AI275" s="285"/>
      <c r="AJ275" s="283"/>
    </row>
    <row r="276" spans="1:36" x14ac:dyDescent="0.3">
      <c r="A276" s="168">
        <v>45058</v>
      </c>
      <c r="B276" s="83">
        <v>34.44</v>
      </c>
      <c r="C276" s="83">
        <v>34.56</v>
      </c>
      <c r="D276" s="83">
        <v>35.08</v>
      </c>
      <c r="E276" s="83">
        <v>34.24</v>
      </c>
      <c r="F276" s="83" t="s">
        <v>2074</v>
      </c>
      <c r="G276" s="284">
        <v>-9.1999999999999998E-3</v>
      </c>
      <c r="I276" s="168">
        <v>45072</v>
      </c>
      <c r="J276" s="286">
        <v>2827.93</v>
      </c>
      <c r="K276" s="286">
        <v>2796.43</v>
      </c>
      <c r="L276" s="286">
        <v>2832.61</v>
      </c>
      <c r="M276" s="286">
        <v>2796.31</v>
      </c>
      <c r="N276" s="284" t="s">
        <v>1259</v>
      </c>
      <c r="P276" s="168">
        <v>45068</v>
      </c>
      <c r="Q276" s="286">
        <v>4.9667000000000003</v>
      </c>
      <c r="R276" s="286">
        <v>4.9983000000000004</v>
      </c>
      <c r="S276" s="286">
        <v>5.0063000000000004</v>
      </c>
      <c r="T276" s="286">
        <v>4.9527999999999999</v>
      </c>
      <c r="U276" s="284">
        <v>-6.3E-3</v>
      </c>
      <c r="W276" s="168">
        <v>45055</v>
      </c>
      <c r="X276" s="288">
        <v>107114</v>
      </c>
      <c r="Y276" s="288">
        <v>106028</v>
      </c>
      <c r="Z276" s="288">
        <v>107731</v>
      </c>
      <c r="AA276" s="288">
        <v>105549</v>
      </c>
      <c r="AB276" s="284" t="s">
        <v>2373</v>
      </c>
      <c r="AC276" s="290">
        <v>1.01E-2</v>
      </c>
      <c r="AE276" s="168"/>
      <c r="AF276" s="286"/>
      <c r="AG276" s="286"/>
      <c r="AH276" s="286"/>
      <c r="AI276" s="286"/>
      <c r="AJ276" s="284"/>
    </row>
    <row r="277" spans="1:36" x14ac:dyDescent="0.3">
      <c r="A277" s="167">
        <v>45057</v>
      </c>
      <c r="B277" s="171">
        <v>34.76</v>
      </c>
      <c r="C277" s="171">
        <v>34.380000000000003</v>
      </c>
      <c r="D277" s="171">
        <v>35</v>
      </c>
      <c r="E277" s="171">
        <v>33.89</v>
      </c>
      <c r="F277" s="171" t="s">
        <v>1800</v>
      </c>
      <c r="G277" s="283">
        <v>4.8999999999999998E-3</v>
      </c>
      <c r="I277" s="167">
        <v>45071</v>
      </c>
      <c r="J277" s="285">
        <v>2796.86</v>
      </c>
      <c r="K277" s="285">
        <v>2787.07</v>
      </c>
      <c r="L277" s="285">
        <v>2803.03</v>
      </c>
      <c r="M277" s="285">
        <v>2782.91</v>
      </c>
      <c r="N277" s="283" t="s">
        <v>1412</v>
      </c>
      <c r="P277" s="167">
        <v>45065</v>
      </c>
      <c r="Q277" s="285">
        <v>4.9981</v>
      </c>
      <c r="R277" s="285">
        <v>4.9668000000000001</v>
      </c>
      <c r="S277" s="285">
        <v>5.0033000000000003</v>
      </c>
      <c r="T277" s="285">
        <v>4.9432999999999998</v>
      </c>
      <c r="U277" s="283">
        <v>6.6E-3</v>
      </c>
      <c r="W277" s="167">
        <v>45054</v>
      </c>
      <c r="X277" s="287">
        <v>106042</v>
      </c>
      <c r="Y277" s="287">
        <v>105161</v>
      </c>
      <c r="Z277" s="287">
        <v>106716</v>
      </c>
      <c r="AA277" s="287">
        <v>105161</v>
      </c>
      <c r="AB277" s="283" t="s">
        <v>1808</v>
      </c>
      <c r="AC277" s="289">
        <v>8.5000000000000006E-3</v>
      </c>
      <c r="AE277" s="167"/>
      <c r="AF277" s="285"/>
      <c r="AG277" s="285"/>
      <c r="AH277" s="285"/>
      <c r="AI277" s="285"/>
      <c r="AJ277" s="283"/>
    </row>
    <row r="278" spans="1:36" x14ac:dyDescent="0.3">
      <c r="A278" s="168">
        <v>45056</v>
      </c>
      <c r="B278" s="83">
        <v>34.590000000000003</v>
      </c>
      <c r="C278" s="83">
        <v>34.64</v>
      </c>
      <c r="D278" s="83">
        <v>34.770000000000003</v>
      </c>
      <c r="E278" s="83">
        <v>34.07</v>
      </c>
      <c r="F278" s="83" t="s">
        <v>2372</v>
      </c>
      <c r="G278" s="284">
        <v>1.1999999999999999E-3</v>
      </c>
      <c r="I278" s="168">
        <v>45070</v>
      </c>
      <c r="J278" s="286">
        <v>2788.82</v>
      </c>
      <c r="K278" s="286">
        <v>2815.57</v>
      </c>
      <c r="L278" s="286">
        <v>2816.45</v>
      </c>
      <c r="M278" s="286">
        <v>2782.6</v>
      </c>
      <c r="N278" s="284" t="s">
        <v>1778</v>
      </c>
      <c r="P278" s="168">
        <v>45064</v>
      </c>
      <c r="Q278" s="286">
        <v>4.9652000000000003</v>
      </c>
      <c r="R278" s="286">
        <v>4.9401000000000002</v>
      </c>
      <c r="S278" s="286">
        <v>4.9817999999999998</v>
      </c>
      <c r="T278" s="286">
        <v>4.9390999999999998</v>
      </c>
      <c r="U278" s="284">
        <v>5.1999999999999998E-3</v>
      </c>
      <c r="W278" s="168">
        <v>45051</v>
      </c>
      <c r="X278" s="288">
        <v>105148</v>
      </c>
      <c r="Y278" s="288">
        <v>102175</v>
      </c>
      <c r="Z278" s="288">
        <v>105306</v>
      </c>
      <c r="AA278" s="288">
        <v>102175</v>
      </c>
      <c r="AB278" s="284" t="s">
        <v>1431</v>
      </c>
      <c r="AC278" s="290">
        <v>2.9100000000000001E-2</v>
      </c>
      <c r="AE278" s="168"/>
      <c r="AF278" s="286"/>
      <c r="AG278" s="286"/>
      <c r="AH278" s="286"/>
      <c r="AI278" s="286"/>
      <c r="AJ278" s="284"/>
    </row>
    <row r="279" spans="1:36" x14ac:dyDescent="0.3">
      <c r="A279" s="167">
        <v>45055</v>
      </c>
      <c r="B279" s="171">
        <v>34.549999999999997</v>
      </c>
      <c r="C279" s="171">
        <v>34.409999999999997</v>
      </c>
      <c r="D279" s="171">
        <v>34.89</v>
      </c>
      <c r="E279" s="171">
        <v>33.68</v>
      </c>
      <c r="F279" s="171" t="s">
        <v>1462</v>
      </c>
      <c r="G279" s="283">
        <v>2.8999999999999998E-3</v>
      </c>
      <c r="I279" s="167">
        <v>45069</v>
      </c>
      <c r="J279" s="285">
        <v>2816.85</v>
      </c>
      <c r="K279" s="285">
        <v>2847.06</v>
      </c>
      <c r="L279" s="285">
        <v>2848.23</v>
      </c>
      <c r="M279" s="285">
        <v>2815.43</v>
      </c>
      <c r="N279" s="283" t="s">
        <v>2060</v>
      </c>
      <c r="P279" s="167">
        <v>45063</v>
      </c>
      <c r="Q279" s="285">
        <v>4.9396000000000004</v>
      </c>
      <c r="R279" s="285">
        <v>4.9410999999999996</v>
      </c>
      <c r="S279" s="285">
        <v>4.9714</v>
      </c>
      <c r="T279" s="285">
        <v>4.9226000000000001</v>
      </c>
      <c r="U279" s="283">
        <v>-1E-4</v>
      </c>
      <c r="W279" s="167">
        <v>45050</v>
      </c>
      <c r="X279" s="287">
        <v>102174</v>
      </c>
      <c r="Y279" s="287">
        <v>101798</v>
      </c>
      <c r="Z279" s="287">
        <v>103321</v>
      </c>
      <c r="AA279" s="287">
        <v>101063</v>
      </c>
      <c r="AB279" s="283" t="s">
        <v>2371</v>
      </c>
      <c r="AC279" s="289">
        <v>3.7000000000000002E-3</v>
      </c>
      <c r="AE279" s="167"/>
      <c r="AF279" s="285"/>
      <c r="AG279" s="285"/>
      <c r="AH279" s="285"/>
      <c r="AI279" s="285"/>
      <c r="AJ279" s="283"/>
    </row>
    <row r="280" spans="1:36" x14ac:dyDescent="0.3">
      <c r="A280" s="168">
        <v>45054</v>
      </c>
      <c r="B280" s="83">
        <v>34.450000000000003</v>
      </c>
      <c r="C280" s="83">
        <v>34.76</v>
      </c>
      <c r="D280" s="83">
        <v>35.11</v>
      </c>
      <c r="E280" s="83">
        <v>34.36</v>
      </c>
      <c r="F280" s="83" t="s">
        <v>2370</v>
      </c>
      <c r="G280" s="284">
        <v>3.5999999999999999E-3</v>
      </c>
      <c r="I280" s="168">
        <v>45068</v>
      </c>
      <c r="J280" s="286">
        <v>2845.71</v>
      </c>
      <c r="K280" s="286">
        <v>2845.31</v>
      </c>
      <c r="L280" s="286">
        <v>2853.5</v>
      </c>
      <c r="M280" s="286">
        <v>2840.39</v>
      </c>
      <c r="N280" s="284" t="s">
        <v>1220</v>
      </c>
      <c r="P280" s="168">
        <v>45062</v>
      </c>
      <c r="Q280" s="286">
        <v>4.9401999999999999</v>
      </c>
      <c r="R280" s="286">
        <v>4.8893000000000004</v>
      </c>
      <c r="S280" s="286">
        <v>4.9542000000000002</v>
      </c>
      <c r="T280" s="286">
        <v>4.8846999999999996</v>
      </c>
      <c r="U280" s="284">
        <v>1.0200000000000001E-2</v>
      </c>
      <c r="W280" s="168">
        <v>45049</v>
      </c>
      <c r="X280" s="288">
        <v>101797</v>
      </c>
      <c r="Y280" s="288">
        <v>101927</v>
      </c>
      <c r="Z280" s="288">
        <v>102331</v>
      </c>
      <c r="AA280" s="288">
        <v>101433</v>
      </c>
      <c r="AB280" s="284" t="s">
        <v>2369</v>
      </c>
      <c r="AC280" s="290">
        <v>-1.2999999999999999E-3</v>
      </c>
      <c r="AE280" s="168"/>
      <c r="AF280" s="286"/>
      <c r="AG280" s="286"/>
      <c r="AH280" s="286"/>
      <c r="AI280" s="286"/>
      <c r="AJ280" s="284"/>
    </row>
    <row r="281" spans="1:36" x14ac:dyDescent="0.3">
      <c r="A281" s="167">
        <v>45052</v>
      </c>
      <c r="B281" s="171">
        <v>34.33</v>
      </c>
      <c r="C281" s="171">
        <v>34.33</v>
      </c>
      <c r="D281" s="171">
        <v>34.33</v>
      </c>
      <c r="E281" s="171">
        <v>34.33</v>
      </c>
      <c r="F281" s="171"/>
      <c r="G281" s="283">
        <v>2.8E-3</v>
      </c>
      <c r="I281" s="167">
        <v>45065</v>
      </c>
      <c r="J281" s="285">
        <v>2842.76</v>
      </c>
      <c r="K281" s="285">
        <v>2841.31</v>
      </c>
      <c r="L281" s="285">
        <v>2854.79</v>
      </c>
      <c r="M281" s="285">
        <v>2840.04</v>
      </c>
      <c r="N281" s="283" t="s">
        <v>2292</v>
      </c>
      <c r="P281" s="167">
        <v>45061</v>
      </c>
      <c r="Q281" s="285">
        <v>4.8903999999999996</v>
      </c>
      <c r="R281" s="285">
        <v>4.9196</v>
      </c>
      <c r="S281" s="285">
        <v>4.9335000000000004</v>
      </c>
      <c r="T281" s="285">
        <v>4.8853</v>
      </c>
      <c r="U281" s="283">
        <v>-5.8999999999999999E-3</v>
      </c>
      <c r="W281" s="167">
        <v>45048</v>
      </c>
      <c r="X281" s="287">
        <v>101927</v>
      </c>
      <c r="Y281" s="287">
        <v>104431</v>
      </c>
      <c r="Z281" s="287">
        <v>104447</v>
      </c>
      <c r="AA281" s="287">
        <v>101569</v>
      </c>
      <c r="AB281" s="283" t="s">
        <v>2368</v>
      </c>
      <c r="AC281" s="289">
        <v>-2.4E-2</v>
      </c>
      <c r="AE281" s="167"/>
      <c r="AF281" s="285"/>
      <c r="AG281" s="285"/>
      <c r="AH281" s="285"/>
      <c r="AI281" s="285"/>
      <c r="AJ281" s="283"/>
    </row>
    <row r="282" spans="1:36" x14ac:dyDescent="0.3">
      <c r="A282" s="168">
        <v>45051</v>
      </c>
      <c r="B282" s="83">
        <v>34.24</v>
      </c>
      <c r="C282" s="83">
        <v>33.47</v>
      </c>
      <c r="D282" s="83">
        <v>34.299999999999997</v>
      </c>
      <c r="E282" s="83">
        <v>33.369999999999997</v>
      </c>
      <c r="F282" s="83" t="s">
        <v>2367</v>
      </c>
      <c r="G282" s="284">
        <v>4.8599999999999997E-2</v>
      </c>
      <c r="I282" s="168">
        <v>45064</v>
      </c>
      <c r="J282" s="286">
        <v>2840.12</v>
      </c>
      <c r="K282" s="286">
        <v>2822.98</v>
      </c>
      <c r="L282" s="286">
        <v>2842.18</v>
      </c>
      <c r="M282" s="286">
        <v>2819.61</v>
      </c>
      <c r="N282" s="284" t="s">
        <v>1680</v>
      </c>
      <c r="P282" s="168">
        <v>45058</v>
      </c>
      <c r="Q282" s="286">
        <v>4.9195000000000002</v>
      </c>
      <c r="R282" s="286">
        <v>4.9307999999999996</v>
      </c>
      <c r="S282" s="286">
        <v>4.9566999999999997</v>
      </c>
      <c r="T282" s="286">
        <v>4.9078999999999997</v>
      </c>
      <c r="U282" s="284">
        <v>-2E-3</v>
      </c>
      <c r="W282" s="168">
        <v>45044</v>
      </c>
      <c r="X282" s="288">
        <v>104432</v>
      </c>
      <c r="Y282" s="288">
        <v>102923</v>
      </c>
      <c r="Z282" s="288">
        <v>104432</v>
      </c>
      <c r="AA282" s="288">
        <v>102449</v>
      </c>
      <c r="AB282" s="284" t="s">
        <v>1589</v>
      </c>
      <c r="AC282" s="290">
        <v>1.47E-2</v>
      </c>
      <c r="AE282" s="168"/>
      <c r="AF282" s="286"/>
      <c r="AG282" s="286"/>
      <c r="AH282" s="286"/>
      <c r="AI282" s="286"/>
      <c r="AJ282" s="284"/>
    </row>
    <row r="283" spans="1:36" x14ac:dyDescent="0.3">
      <c r="A283" s="167">
        <v>45050</v>
      </c>
      <c r="B283" s="171">
        <v>32.65</v>
      </c>
      <c r="C283" s="171">
        <v>34.340000000000003</v>
      </c>
      <c r="D283" s="171">
        <v>34.57</v>
      </c>
      <c r="E283" s="171">
        <v>32.299999999999997</v>
      </c>
      <c r="F283" s="171" t="s">
        <v>2366</v>
      </c>
      <c r="G283" s="283">
        <v>-4.1099999999999998E-2</v>
      </c>
      <c r="I283" s="167">
        <v>45063</v>
      </c>
      <c r="J283" s="285">
        <v>2820.92</v>
      </c>
      <c r="K283" s="285">
        <v>2802.26</v>
      </c>
      <c r="L283" s="285">
        <v>2824.96</v>
      </c>
      <c r="M283" s="285">
        <v>2797.32</v>
      </c>
      <c r="N283" s="283" t="s">
        <v>1517</v>
      </c>
      <c r="P283" s="167">
        <v>45057</v>
      </c>
      <c r="Q283" s="285">
        <v>4.9295</v>
      </c>
      <c r="R283" s="285">
        <v>4.9443000000000001</v>
      </c>
      <c r="S283" s="285">
        <v>4.9847000000000001</v>
      </c>
      <c r="T283" s="285">
        <v>4.9253999999999998</v>
      </c>
      <c r="U283" s="283">
        <v>-2.5999999999999999E-3</v>
      </c>
      <c r="W283" s="167">
        <v>45043</v>
      </c>
      <c r="X283" s="287">
        <v>102923</v>
      </c>
      <c r="Y283" s="287">
        <v>102310</v>
      </c>
      <c r="Z283" s="287">
        <v>103177</v>
      </c>
      <c r="AA283" s="287">
        <v>101975</v>
      </c>
      <c r="AB283" s="283" t="s">
        <v>1890</v>
      </c>
      <c r="AC283" s="289">
        <v>6.0000000000000001E-3</v>
      </c>
      <c r="AE283" s="167"/>
      <c r="AF283" s="285"/>
      <c r="AG283" s="285"/>
      <c r="AH283" s="285"/>
      <c r="AI283" s="285"/>
      <c r="AJ283" s="283"/>
    </row>
    <row r="284" spans="1:36" x14ac:dyDescent="0.3">
      <c r="A284" s="168">
        <v>45049</v>
      </c>
      <c r="B284" s="83">
        <v>34.049999999999997</v>
      </c>
      <c r="C284" s="83">
        <v>33.520000000000003</v>
      </c>
      <c r="D284" s="83">
        <v>34.32</v>
      </c>
      <c r="E284" s="83">
        <v>32.96</v>
      </c>
      <c r="F284" s="83" t="s">
        <v>2364</v>
      </c>
      <c r="G284" s="284">
        <v>1.7299999999999999E-2</v>
      </c>
      <c r="I284" s="168">
        <v>45062</v>
      </c>
      <c r="J284" s="286">
        <v>2802.39</v>
      </c>
      <c r="K284" s="286">
        <v>2821.28</v>
      </c>
      <c r="L284" s="286">
        <v>2822.73</v>
      </c>
      <c r="M284" s="286">
        <v>2801.91</v>
      </c>
      <c r="N284" s="284" t="s">
        <v>1393</v>
      </c>
      <c r="P284" s="168">
        <v>45056</v>
      </c>
      <c r="Q284" s="286">
        <v>4.9424000000000001</v>
      </c>
      <c r="R284" s="286">
        <v>4.9882</v>
      </c>
      <c r="S284" s="286">
        <v>4.9913999999999996</v>
      </c>
      <c r="T284" s="286">
        <v>4.9344999999999999</v>
      </c>
      <c r="U284" s="284">
        <v>-8.8000000000000005E-3</v>
      </c>
      <c r="W284" s="168">
        <v>45042</v>
      </c>
      <c r="X284" s="288">
        <v>102312</v>
      </c>
      <c r="Y284" s="288">
        <v>103220</v>
      </c>
      <c r="Z284" s="288">
        <v>103668</v>
      </c>
      <c r="AA284" s="288">
        <v>102233</v>
      </c>
      <c r="AB284" s="284" t="s">
        <v>2105</v>
      </c>
      <c r="AC284" s="290">
        <v>-8.8000000000000005E-3</v>
      </c>
      <c r="AE284" s="168"/>
      <c r="AF284" s="286"/>
      <c r="AG284" s="286"/>
      <c r="AH284" s="286"/>
      <c r="AI284" s="286"/>
      <c r="AJ284" s="284"/>
    </row>
    <row r="285" spans="1:36" x14ac:dyDescent="0.3">
      <c r="A285" s="167">
        <v>45048</v>
      </c>
      <c r="B285" s="171">
        <v>33.47</v>
      </c>
      <c r="C285" s="171">
        <v>34.49</v>
      </c>
      <c r="D285" s="171">
        <v>34.549999999999997</v>
      </c>
      <c r="E285" s="171">
        <v>32.81</v>
      </c>
      <c r="F285" s="171" t="s">
        <v>2365</v>
      </c>
      <c r="G285" s="283">
        <v>-3.5400000000000001E-2</v>
      </c>
      <c r="I285" s="167">
        <v>45061</v>
      </c>
      <c r="J285" s="285">
        <v>2819.47</v>
      </c>
      <c r="K285" s="285">
        <v>2808.66</v>
      </c>
      <c r="L285" s="285">
        <v>2822.64</v>
      </c>
      <c r="M285" s="285">
        <v>2805.69</v>
      </c>
      <c r="N285" s="283" t="s">
        <v>1433</v>
      </c>
      <c r="P285" s="167">
        <v>45055</v>
      </c>
      <c r="Q285" s="285">
        <v>4.9862000000000002</v>
      </c>
      <c r="R285" s="285">
        <v>5.0096999999999996</v>
      </c>
      <c r="S285" s="285">
        <v>5.0373999999999999</v>
      </c>
      <c r="T285" s="285">
        <v>4.9728000000000003</v>
      </c>
      <c r="U285" s="283">
        <v>-4.7000000000000002E-3</v>
      </c>
      <c r="W285" s="167">
        <v>45041</v>
      </c>
      <c r="X285" s="287">
        <v>103220</v>
      </c>
      <c r="Y285" s="287">
        <v>103947</v>
      </c>
      <c r="Z285" s="287">
        <v>103947</v>
      </c>
      <c r="AA285" s="287">
        <v>102633</v>
      </c>
      <c r="AB285" s="283" t="s">
        <v>2364</v>
      </c>
      <c r="AC285" s="289">
        <v>-7.0000000000000001E-3</v>
      </c>
      <c r="AE285" s="167"/>
      <c r="AF285" s="285"/>
      <c r="AG285" s="285"/>
      <c r="AH285" s="285"/>
      <c r="AI285" s="285"/>
      <c r="AJ285" s="283"/>
    </row>
    <row r="286" spans="1:36" x14ac:dyDescent="0.3">
      <c r="A286" s="168">
        <v>45044</v>
      </c>
      <c r="B286" s="83">
        <v>34.69</v>
      </c>
      <c r="C286" s="83">
        <v>33.590000000000003</v>
      </c>
      <c r="D286" s="83">
        <v>35.01</v>
      </c>
      <c r="E286" s="83">
        <v>33.46</v>
      </c>
      <c r="F286" s="83" t="s">
        <v>1674</v>
      </c>
      <c r="G286" s="284">
        <v>3.3000000000000002E-2</v>
      </c>
      <c r="I286" s="168">
        <v>45058</v>
      </c>
      <c r="J286" s="286">
        <v>2809.35</v>
      </c>
      <c r="K286" s="286">
        <v>2814.49</v>
      </c>
      <c r="L286" s="286">
        <v>2821.17</v>
      </c>
      <c r="M286" s="286">
        <v>2796.21</v>
      </c>
      <c r="N286" s="284" t="s">
        <v>1691</v>
      </c>
      <c r="P286" s="168">
        <v>45054</v>
      </c>
      <c r="Q286" s="286">
        <v>5.0096999999999996</v>
      </c>
      <c r="R286" s="286">
        <v>4.9531000000000001</v>
      </c>
      <c r="S286" s="286">
        <v>5.0186000000000002</v>
      </c>
      <c r="T286" s="286">
        <v>4.9409999999999998</v>
      </c>
      <c r="U286" s="284">
        <v>1.17E-2</v>
      </c>
      <c r="W286" s="168">
        <v>45040</v>
      </c>
      <c r="X286" s="288">
        <v>103947</v>
      </c>
      <c r="Y286" s="288">
        <v>104367</v>
      </c>
      <c r="Z286" s="288">
        <v>104822</v>
      </c>
      <c r="AA286" s="288">
        <v>103247</v>
      </c>
      <c r="AB286" s="284" t="s">
        <v>2363</v>
      </c>
      <c r="AC286" s="290">
        <v>-4.0000000000000001E-3</v>
      </c>
      <c r="AE286" s="168"/>
      <c r="AF286" s="286"/>
      <c r="AG286" s="286"/>
      <c r="AH286" s="286"/>
      <c r="AI286" s="286"/>
      <c r="AJ286" s="284"/>
    </row>
    <row r="287" spans="1:36" x14ac:dyDescent="0.3">
      <c r="A287" s="167">
        <v>45043</v>
      </c>
      <c r="B287" s="171">
        <v>33.590000000000003</v>
      </c>
      <c r="C287" s="171">
        <v>33.75</v>
      </c>
      <c r="D287" s="171">
        <v>33.82</v>
      </c>
      <c r="E287" s="171">
        <v>33.11</v>
      </c>
      <c r="F287" s="171" t="s">
        <v>2362</v>
      </c>
      <c r="G287" s="283">
        <v>4.1999999999999997E-3</v>
      </c>
      <c r="I287" s="167">
        <v>45057</v>
      </c>
      <c r="J287" s="285">
        <v>2814.86</v>
      </c>
      <c r="K287" s="285">
        <v>2823.2</v>
      </c>
      <c r="L287" s="285">
        <v>2824.03</v>
      </c>
      <c r="M287" s="285">
        <v>2801.56</v>
      </c>
      <c r="N287" s="283" t="s">
        <v>1959</v>
      </c>
      <c r="P287" s="167">
        <v>45051</v>
      </c>
      <c r="Q287" s="285">
        <v>4.9518000000000004</v>
      </c>
      <c r="R287" s="285">
        <v>4.9847000000000001</v>
      </c>
      <c r="S287" s="285">
        <v>5.008</v>
      </c>
      <c r="T287" s="285">
        <v>4.9249999999999998</v>
      </c>
      <c r="U287" s="283">
        <v>-6.1000000000000004E-3</v>
      </c>
      <c r="W287" s="167">
        <v>45036</v>
      </c>
      <c r="X287" s="287">
        <v>104367</v>
      </c>
      <c r="Y287" s="287">
        <v>103913</v>
      </c>
      <c r="Z287" s="287">
        <v>104615</v>
      </c>
      <c r="AA287" s="287">
        <v>103087</v>
      </c>
      <c r="AB287" s="283" t="s">
        <v>1283</v>
      </c>
      <c r="AC287" s="289">
        <v>4.4000000000000003E-3</v>
      </c>
      <c r="AE287" s="167"/>
      <c r="AF287" s="285"/>
      <c r="AG287" s="285"/>
      <c r="AH287" s="285"/>
      <c r="AI287" s="285"/>
      <c r="AJ287" s="283"/>
    </row>
    <row r="288" spans="1:36" x14ac:dyDescent="0.3">
      <c r="A288" s="168">
        <v>45042</v>
      </c>
      <c r="B288" s="83">
        <v>33.450000000000003</v>
      </c>
      <c r="C288" s="83">
        <v>34.81</v>
      </c>
      <c r="D288" s="83">
        <v>35.14</v>
      </c>
      <c r="E288" s="83">
        <v>33.340000000000003</v>
      </c>
      <c r="F288" s="83" t="s">
        <v>2361</v>
      </c>
      <c r="G288" s="284">
        <v>-3.32E-2</v>
      </c>
      <c r="I288" s="168">
        <v>45056</v>
      </c>
      <c r="J288" s="286">
        <v>2822.6</v>
      </c>
      <c r="K288" s="286">
        <v>2815.51</v>
      </c>
      <c r="L288" s="286">
        <v>2832.37</v>
      </c>
      <c r="M288" s="286">
        <v>2803.83</v>
      </c>
      <c r="N288" s="284" t="s">
        <v>1508</v>
      </c>
      <c r="P288" s="168">
        <v>45050</v>
      </c>
      <c r="Q288" s="286">
        <v>4.9821999999999997</v>
      </c>
      <c r="R288" s="286">
        <v>4.9958999999999998</v>
      </c>
      <c r="S288" s="286">
        <v>5.0346000000000002</v>
      </c>
      <c r="T288" s="286">
        <v>4.9694000000000003</v>
      </c>
      <c r="U288" s="284">
        <v>-2.5000000000000001E-3</v>
      </c>
      <c r="W288" s="168">
        <v>45035</v>
      </c>
      <c r="X288" s="288">
        <v>103913</v>
      </c>
      <c r="Y288" s="288">
        <v>106149</v>
      </c>
      <c r="Z288" s="288">
        <v>106149</v>
      </c>
      <c r="AA288" s="288">
        <v>103604</v>
      </c>
      <c r="AB288" s="284" t="s">
        <v>1894</v>
      </c>
      <c r="AC288" s="290">
        <v>-2.12E-2</v>
      </c>
      <c r="AE288" s="168"/>
      <c r="AF288" s="286"/>
      <c r="AG288" s="286"/>
      <c r="AH288" s="286"/>
      <c r="AI288" s="286"/>
      <c r="AJ288" s="284"/>
    </row>
    <row r="289" spans="1:36" x14ac:dyDescent="0.3">
      <c r="A289" s="167">
        <v>45041</v>
      </c>
      <c r="B289" s="171">
        <v>34.590000000000003</v>
      </c>
      <c r="C289" s="171">
        <v>35.14</v>
      </c>
      <c r="D289" s="171">
        <v>35.590000000000003</v>
      </c>
      <c r="E289" s="171">
        <v>34.299999999999997</v>
      </c>
      <c r="F289" s="171" t="s">
        <v>1961</v>
      </c>
      <c r="G289" s="283">
        <v>-1.0800000000000001E-2</v>
      </c>
      <c r="I289" s="167">
        <v>45055</v>
      </c>
      <c r="J289" s="285">
        <v>2815.29</v>
      </c>
      <c r="K289" s="285">
        <v>2826.61</v>
      </c>
      <c r="L289" s="285">
        <v>2828.77</v>
      </c>
      <c r="M289" s="285">
        <v>2811.14</v>
      </c>
      <c r="N289" s="283" t="s">
        <v>1225</v>
      </c>
      <c r="P289" s="167">
        <v>45049</v>
      </c>
      <c r="Q289" s="285">
        <v>4.9949000000000003</v>
      </c>
      <c r="R289" s="285">
        <v>5.0397999999999996</v>
      </c>
      <c r="S289" s="285">
        <v>5.0523999999999996</v>
      </c>
      <c r="T289" s="285">
        <v>4.9812000000000003</v>
      </c>
      <c r="U289" s="283">
        <v>-8.6999999999999994E-3</v>
      </c>
      <c r="W289" s="167">
        <v>45034</v>
      </c>
      <c r="X289" s="287">
        <v>106163</v>
      </c>
      <c r="Y289" s="287">
        <v>106023</v>
      </c>
      <c r="Z289" s="287">
        <v>106475</v>
      </c>
      <c r="AA289" s="287">
        <v>105122</v>
      </c>
      <c r="AB289" s="283" t="s">
        <v>2290</v>
      </c>
      <c r="AC289" s="289">
        <v>1.4E-3</v>
      </c>
      <c r="AE289" s="167"/>
      <c r="AF289" s="285"/>
      <c r="AG289" s="285"/>
      <c r="AH289" s="285"/>
      <c r="AI289" s="285"/>
      <c r="AJ289" s="283"/>
    </row>
    <row r="290" spans="1:36" x14ac:dyDescent="0.3">
      <c r="A290" s="168">
        <v>45040</v>
      </c>
      <c r="B290" s="83">
        <v>34.97</v>
      </c>
      <c r="C290" s="83">
        <v>34.049999999999997</v>
      </c>
      <c r="D290" s="83">
        <v>35.28</v>
      </c>
      <c r="E290" s="83">
        <v>33.950000000000003</v>
      </c>
      <c r="F290" s="83" t="s">
        <v>2360</v>
      </c>
      <c r="G290" s="284">
        <v>3.0300000000000001E-2</v>
      </c>
      <c r="I290" s="168">
        <v>45054</v>
      </c>
      <c r="J290" s="286">
        <v>2827.38</v>
      </c>
      <c r="K290" s="286">
        <v>2822.39</v>
      </c>
      <c r="L290" s="286">
        <v>2828.72</v>
      </c>
      <c r="M290" s="286">
        <v>2820.32</v>
      </c>
      <c r="N290" s="284" t="s">
        <v>1536</v>
      </c>
      <c r="P290" s="168">
        <v>45048</v>
      </c>
      <c r="Q290" s="286">
        <v>5.0387000000000004</v>
      </c>
      <c r="R290" s="286">
        <v>4.9893000000000001</v>
      </c>
      <c r="S290" s="286">
        <v>5.0534999999999997</v>
      </c>
      <c r="T290" s="286">
        <v>4.9889000000000001</v>
      </c>
      <c r="U290" s="284">
        <v>0.01</v>
      </c>
      <c r="W290" s="168">
        <v>45033</v>
      </c>
      <c r="X290" s="288">
        <v>106016</v>
      </c>
      <c r="Y290" s="288">
        <v>106279</v>
      </c>
      <c r="Z290" s="288">
        <v>106830</v>
      </c>
      <c r="AA290" s="288">
        <v>105623</v>
      </c>
      <c r="AB290" s="284" t="s">
        <v>2155</v>
      </c>
      <c r="AC290" s="290">
        <v>-2.5000000000000001E-3</v>
      </c>
      <c r="AE290" s="168"/>
      <c r="AF290" s="286"/>
      <c r="AG290" s="286"/>
      <c r="AH290" s="286"/>
      <c r="AI290" s="286"/>
      <c r="AJ290" s="284"/>
    </row>
    <row r="291" spans="1:36" x14ac:dyDescent="0.3">
      <c r="A291" s="167">
        <v>45036</v>
      </c>
      <c r="B291" s="171">
        <v>33.950000000000003</v>
      </c>
      <c r="C291" s="171">
        <v>34</v>
      </c>
      <c r="D291" s="171">
        <v>34.58</v>
      </c>
      <c r="E291" s="171">
        <v>33.770000000000003</v>
      </c>
      <c r="F291" s="171" t="s">
        <v>2359</v>
      </c>
      <c r="G291" s="283">
        <v>-8.6999999999999994E-3</v>
      </c>
      <c r="I291" s="167">
        <v>45051</v>
      </c>
      <c r="J291" s="285">
        <v>2821.99</v>
      </c>
      <c r="K291" s="285">
        <v>2780.42</v>
      </c>
      <c r="L291" s="285">
        <v>2828.62</v>
      </c>
      <c r="M291" s="285">
        <v>2779.52</v>
      </c>
      <c r="N291" s="283" t="s">
        <v>2358</v>
      </c>
      <c r="P291" s="167">
        <v>45047</v>
      </c>
      <c r="Q291" s="285">
        <v>4.9889000000000001</v>
      </c>
      <c r="R291" s="285">
        <v>4.9874999999999998</v>
      </c>
      <c r="S291" s="285">
        <v>4.9894999999999996</v>
      </c>
      <c r="T291" s="285">
        <v>4.9874999999999998</v>
      </c>
      <c r="U291" s="283">
        <v>5.0000000000000001E-4</v>
      </c>
      <c r="W291" s="167">
        <v>45030</v>
      </c>
      <c r="X291" s="287">
        <v>106279</v>
      </c>
      <c r="Y291" s="287">
        <v>106458</v>
      </c>
      <c r="Z291" s="287">
        <v>106701</v>
      </c>
      <c r="AA291" s="287">
        <v>104934</v>
      </c>
      <c r="AB291" s="283" t="s">
        <v>1512</v>
      </c>
      <c r="AC291" s="289">
        <v>-1.6999999999999999E-3</v>
      </c>
      <c r="AE291" s="167"/>
      <c r="AF291" s="285"/>
      <c r="AG291" s="285"/>
      <c r="AH291" s="285"/>
      <c r="AI291" s="285"/>
      <c r="AJ291" s="283"/>
    </row>
    <row r="292" spans="1:36" x14ac:dyDescent="0.3">
      <c r="A292" s="168">
        <v>45035</v>
      </c>
      <c r="B292" s="83">
        <v>34.24</v>
      </c>
      <c r="C292" s="83">
        <v>34.799999999999997</v>
      </c>
      <c r="D292" s="83">
        <v>34.94</v>
      </c>
      <c r="E292" s="83">
        <v>33.71</v>
      </c>
      <c r="F292" s="83" t="s">
        <v>2357</v>
      </c>
      <c r="G292" s="284">
        <v>-2.8299999999999999E-2</v>
      </c>
      <c r="I292" s="168">
        <v>45050</v>
      </c>
      <c r="J292" s="286">
        <v>2779.26</v>
      </c>
      <c r="K292" s="286">
        <v>2797.96</v>
      </c>
      <c r="L292" s="286">
        <v>2799.78</v>
      </c>
      <c r="M292" s="286">
        <v>2774.09</v>
      </c>
      <c r="N292" s="284" t="s">
        <v>1393</v>
      </c>
      <c r="P292" s="168">
        <v>45044</v>
      </c>
      <c r="Q292" s="286">
        <v>4.9865000000000004</v>
      </c>
      <c r="R292" s="286">
        <v>4.9775999999999998</v>
      </c>
      <c r="S292" s="286">
        <v>5.0199999999999996</v>
      </c>
      <c r="T292" s="286">
        <v>4.9775999999999998</v>
      </c>
      <c r="U292" s="284">
        <v>1.9E-3</v>
      </c>
      <c r="W292" s="168">
        <v>45029</v>
      </c>
      <c r="X292" s="288">
        <v>106458</v>
      </c>
      <c r="Y292" s="288">
        <v>106890</v>
      </c>
      <c r="Z292" s="288">
        <v>107037</v>
      </c>
      <c r="AA292" s="288">
        <v>106220</v>
      </c>
      <c r="AB292" s="284" t="s">
        <v>2356</v>
      </c>
      <c r="AC292" s="290">
        <v>-4.0000000000000001E-3</v>
      </c>
      <c r="AE292" s="168"/>
      <c r="AF292" s="286"/>
      <c r="AG292" s="286"/>
      <c r="AH292" s="286"/>
      <c r="AI292" s="286"/>
      <c r="AJ292" s="284"/>
    </row>
    <row r="293" spans="1:36" x14ac:dyDescent="0.3">
      <c r="A293" s="167">
        <v>45034</v>
      </c>
      <c r="B293" s="171">
        <v>35.24</v>
      </c>
      <c r="C293" s="171">
        <v>36.24</v>
      </c>
      <c r="D293" s="171">
        <v>36.24</v>
      </c>
      <c r="E293" s="171">
        <v>34.99</v>
      </c>
      <c r="F293" s="171" t="s">
        <v>2355</v>
      </c>
      <c r="G293" s="283">
        <v>-2.35E-2</v>
      </c>
      <c r="I293" s="167">
        <v>45049</v>
      </c>
      <c r="J293" s="285">
        <v>2796.31</v>
      </c>
      <c r="K293" s="285">
        <v>2804.5</v>
      </c>
      <c r="L293" s="285">
        <v>2823.6</v>
      </c>
      <c r="M293" s="285">
        <v>2796.26</v>
      </c>
      <c r="N293" s="283" t="s">
        <v>1467</v>
      </c>
      <c r="P293" s="167">
        <v>45043</v>
      </c>
      <c r="Q293" s="285">
        <v>4.9771000000000001</v>
      </c>
      <c r="R293" s="285">
        <v>5.0445000000000002</v>
      </c>
      <c r="S293" s="285">
        <v>5.0490000000000004</v>
      </c>
      <c r="T293" s="285">
        <v>4.9692999999999996</v>
      </c>
      <c r="U293" s="283">
        <v>-1.32E-2</v>
      </c>
      <c r="W293" s="167">
        <v>45028</v>
      </c>
      <c r="X293" s="287">
        <v>106890</v>
      </c>
      <c r="Y293" s="287">
        <v>106218</v>
      </c>
      <c r="Z293" s="287">
        <v>108277</v>
      </c>
      <c r="AA293" s="287">
        <v>106217</v>
      </c>
      <c r="AB293" s="283" t="s">
        <v>1971</v>
      </c>
      <c r="AC293" s="289">
        <v>6.4000000000000003E-3</v>
      </c>
      <c r="AE293" s="167"/>
      <c r="AF293" s="285"/>
      <c r="AG293" s="285"/>
      <c r="AH293" s="285"/>
      <c r="AI293" s="285"/>
      <c r="AJ293" s="283"/>
    </row>
    <row r="294" spans="1:36" x14ac:dyDescent="0.3">
      <c r="A294" s="168">
        <v>45033</v>
      </c>
      <c r="B294" s="83">
        <v>36.090000000000003</v>
      </c>
      <c r="C294" s="83">
        <v>36.58</v>
      </c>
      <c r="D294" s="83">
        <v>36.74</v>
      </c>
      <c r="E294" s="83">
        <v>35.869999999999997</v>
      </c>
      <c r="F294" s="83" t="s">
        <v>2031</v>
      </c>
      <c r="G294" s="284">
        <v>-1.44E-2</v>
      </c>
      <c r="I294" s="168">
        <v>45048</v>
      </c>
      <c r="J294" s="286">
        <v>2803.07</v>
      </c>
      <c r="K294" s="286">
        <v>2832.61</v>
      </c>
      <c r="L294" s="286">
        <v>2835.32</v>
      </c>
      <c r="M294" s="286">
        <v>2789.08</v>
      </c>
      <c r="N294" s="284" t="s">
        <v>2132</v>
      </c>
      <c r="P294" s="168">
        <v>45042</v>
      </c>
      <c r="Q294" s="286">
        <v>5.0434999999999999</v>
      </c>
      <c r="R294" s="286">
        <v>5.0541999999999998</v>
      </c>
      <c r="S294" s="286">
        <v>5.0746000000000002</v>
      </c>
      <c r="T294" s="286">
        <v>5.0353000000000003</v>
      </c>
      <c r="U294" s="284">
        <v>-1.1999999999999999E-3</v>
      </c>
      <c r="W294" s="168">
        <v>45027</v>
      </c>
      <c r="X294" s="288">
        <v>106214</v>
      </c>
      <c r="Y294" s="288">
        <v>101849</v>
      </c>
      <c r="Z294" s="288">
        <v>106455</v>
      </c>
      <c r="AA294" s="288">
        <v>101848</v>
      </c>
      <c r="AB294" s="284" t="s">
        <v>2354</v>
      </c>
      <c r="AC294" s="290">
        <v>4.2900000000000001E-2</v>
      </c>
      <c r="AE294" s="168"/>
      <c r="AF294" s="286"/>
      <c r="AG294" s="286"/>
      <c r="AH294" s="286"/>
      <c r="AI294" s="286"/>
      <c r="AJ294" s="284"/>
    </row>
    <row r="295" spans="1:36" x14ac:dyDescent="0.3">
      <c r="A295" s="167">
        <v>45030</v>
      </c>
      <c r="B295" s="171">
        <v>36.619999999999997</v>
      </c>
      <c r="C295" s="171">
        <v>36.36</v>
      </c>
      <c r="D295" s="171">
        <v>36.92</v>
      </c>
      <c r="E295" s="171">
        <v>36.049999999999997</v>
      </c>
      <c r="F295" s="171" t="s">
        <v>2239</v>
      </c>
      <c r="G295" s="283">
        <v>4.7000000000000002E-3</v>
      </c>
      <c r="I295" s="167">
        <v>45047</v>
      </c>
      <c r="J295" s="285">
        <v>2833.6</v>
      </c>
      <c r="K295" s="285">
        <v>2835.57</v>
      </c>
      <c r="L295" s="285">
        <v>2841.63</v>
      </c>
      <c r="M295" s="285">
        <v>2830.65</v>
      </c>
      <c r="N295" s="283" t="s">
        <v>1845</v>
      </c>
      <c r="P295" s="167">
        <v>45041</v>
      </c>
      <c r="Q295" s="285">
        <v>5.0496999999999996</v>
      </c>
      <c r="R295" s="285">
        <v>5.0347999999999997</v>
      </c>
      <c r="S295" s="285">
        <v>5.0845000000000002</v>
      </c>
      <c r="T295" s="285">
        <v>5.0293999999999999</v>
      </c>
      <c r="U295" s="283">
        <v>3.2000000000000002E-3</v>
      </c>
      <c r="W295" s="167">
        <v>45026</v>
      </c>
      <c r="X295" s="287">
        <v>101847</v>
      </c>
      <c r="Y295" s="287">
        <v>100822</v>
      </c>
      <c r="Z295" s="287">
        <v>102196</v>
      </c>
      <c r="AA295" s="287">
        <v>100819</v>
      </c>
      <c r="AB295" s="283" t="s">
        <v>1555</v>
      </c>
      <c r="AC295" s="289">
        <v>1.0200000000000001E-2</v>
      </c>
      <c r="AE295" s="167"/>
      <c r="AF295" s="285"/>
      <c r="AG295" s="285"/>
      <c r="AH295" s="285"/>
      <c r="AI295" s="285"/>
      <c r="AJ295" s="283"/>
    </row>
    <row r="296" spans="1:36" x14ac:dyDescent="0.3">
      <c r="A296" s="168">
        <v>45029</v>
      </c>
      <c r="B296" s="83">
        <v>36.450000000000003</v>
      </c>
      <c r="C296" s="83">
        <v>36.44</v>
      </c>
      <c r="D296" s="83">
        <v>37.119999999999997</v>
      </c>
      <c r="E296" s="83">
        <v>36.340000000000003</v>
      </c>
      <c r="F296" s="83" t="s">
        <v>2353</v>
      </c>
      <c r="G296" s="284">
        <v>2.2000000000000001E-3</v>
      </c>
      <c r="I296" s="168">
        <v>45044</v>
      </c>
      <c r="J296" s="286">
        <v>2835.93</v>
      </c>
      <c r="K296" s="286">
        <v>2819</v>
      </c>
      <c r="L296" s="286">
        <v>2835.93</v>
      </c>
      <c r="M296" s="286">
        <v>2810.58</v>
      </c>
      <c r="N296" s="284" t="s">
        <v>1218</v>
      </c>
      <c r="P296" s="168">
        <v>45040</v>
      </c>
      <c r="Q296" s="286">
        <v>5.0336999999999996</v>
      </c>
      <c r="R296" s="286">
        <v>5.0480999999999998</v>
      </c>
      <c r="S296" s="286">
        <v>5.0862999999999996</v>
      </c>
      <c r="T296" s="286">
        <v>5.0339</v>
      </c>
      <c r="U296" s="284">
        <v>-3.0000000000000001E-3</v>
      </c>
      <c r="W296" s="168">
        <v>45022</v>
      </c>
      <c r="X296" s="288">
        <v>100822</v>
      </c>
      <c r="Y296" s="288">
        <v>100978</v>
      </c>
      <c r="Z296" s="288">
        <v>101628</v>
      </c>
      <c r="AA296" s="288">
        <v>100443</v>
      </c>
      <c r="AB296" s="284" t="s">
        <v>2352</v>
      </c>
      <c r="AC296" s="290">
        <v>-1.5E-3</v>
      </c>
      <c r="AE296" s="168"/>
      <c r="AF296" s="286"/>
      <c r="AG296" s="286"/>
      <c r="AH296" s="286"/>
      <c r="AI296" s="286"/>
      <c r="AJ296" s="284"/>
    </row>
    <row r="297" spans="1:36" x14ac:dyDescent="0.3">
      <c r="A297" s="167">
        <v>45028</v>
      </c>
      <c r="B297" s="171">
        <v>36.369999999999997</v>
      </c>
      <c r="C297" s="171">
        <v>35.94</v>
      </c>
      <c r="D297" s="171">
        <v>37.03</v>
      </c>
      <c r="E297" s="171">
        <v>35.86</v>
      </c>
      <c r="F297" s="171" t="s">
        <v>2351</v>
      </c>
      <c r="G297" s="283">
        <v>1.9599999999999999E-2</v>
      </c>
      <c r="I297" s="167">
        <v>45043</v>
      </c>
      <c r="J297" s="285">
        <v>2815.77</v>
      </c>
      <c r="K297" s="285">
        <v>2779.16</v>
      </c>
      <c r="L297" s="285">
        <v>2818.82</v>
      </c>
      <c r="M297" s="285">
        <v>2777.96</v>
      </c>
      <c r="N297" s="283" t="s">
        <v>2065</v>
      </c>
      <c r="P297" s="167">
        <v>45037</v>
      </c>
      <c r="Q297" s="285">
        <v>5.0486000000000004</v>
      </c>
      <c r="R297" s="285">
        <v>5.0492999999999997</v>
      </c>
      <c r="S297" s="285">
        <v>5.0492999999999997</v>
      </c>
      <c r="T297" s="285">
        <v>5.0488999999999997</v>
      </c>
      <c r="U297" s="283">
        <v>0</v>
      </c>
      <c r="W297" s="167">
        <v>45021</v>
      </c>
      <c r="X297" s="287">
        <v>100978</v>
      </c>
      <c r="Y297" s="287">
        <v>101869</v>
      </c>
      <c r="Z297" s="287">
        <v>101960</v>
      </c>
      <c r="AA297" s="287">
        <v>99898</v>
      </c>
      <c r="AB297" s="283" t="s">
        <v>1808</v>
      </c>
      <c r="AC297" s="289">
        <v>-8.8000000000000005E-3</v>
      </c>
      <c r="AE297" s="167"/>
      <c r="AF297" s="285"/>
      <c r="AG297" s="285"/>
      <c r="AH297" s="285"/>
      <c r="AI297" s="285"/>
      <c r="AJ297" s="283"/>
    </row>
    <row r="298" spans="1:36" x14ac:dyDescent="0.3">
      <c r="A298" s="168">
        <v>45027</v>
      </c>
      <c r="B298" s="83">
        <v>35.67</v>
      </c>
      <c r="C298" s="83">
        <v>35.14</v>
      </c>
      <c r="D298" s="83">
        <v>35.79</v>
      </c>
      <c r="E298" s="83">
        <v>34.78</v>
      </c>
      <c r="F298" s="83" t="s">
        <v>2002</v>
      </c>
      <c r="G298" s="284">
        <v>2.3199999999999998E-2</v>
      </c>
      <c r="I298" s="168">
        <v>45042</v>
      </c>
      <c r="J298" s="286">
        <v>2779.71</v>
      </c>
      <c r="K298" s="286">
        <v>2788.83</v>
      </c>
      <c r="L298" s="286">
        <v>2795.84</v>
      </c>
      <c r="M298" s="286">
        <v>2775.58</v>
      </c>
      <c r="N298" s="284" t="s">
        <v>1578</v>
      </c>
      <c r="P298" s="168">
        <v>45036</v>
      </c>
      <c r="Q298" s="286">
        <v>5.0486000000000004</v>
      </c>
      <c r="R298" s="286">
        <v>5.0758999999999999</v>
      </c>
      <c r="S298" s="286">
        <v>5.0864000000000003</v>
      </c>
      <c r="T298" s="286">
        <v>5.0359999999999996</v>
      </c>
      <c r="U298" s="284">
        <v>-5.3E-3</v>
      </c>
      <c r="W298" s="168">
        <v>45020</v>
      </c>
      <c r="X298" s="288">
        <v>101869</v>
      </c>
      <c r="Y298" s="288">
        <v>101505</v>
      </c>
      <c r="Z298" s="288">
        <v>103056</v>
      </c>
      <c r="AA298" s="288">
        <v>101505</v>
      </c>
      <c r="AB298" s="284" t="s">
        <v>2238</v>
      </c>
      <c r="AC298" s="290">
        <v>3.5999999999999999E-3</v>
      </c>
      <c r="AE298" s="168"/>
      <c r="AF298" s="286"/>
      <c r="AG298" s="286"/>
      <c r="AH298" s="286"/>
      <c r="AI298" s="286"/>
      <c r="AJ298" s="284"/>
    </row>
    <row r="299" spans="1:36" x14ac:dyDescent="0.3">
      <c r="A299" s="167">
        <v>45026</v>
      </c>
      <c r="B299" s="171">
        <v>34.86</v>
      </c>
      <c r="C299" s="171">
        <v>34.85</v>
      </c>
      <c r="D299" s="171">
        <v>35.159999999999997</v>
      </c>
      <c r="E299" s="171">
        <v>34.54</v>
      </c>
      <c r="F299" s="171" t="s">
        <v>2350</v>
      </c>
      <c r="G299" s="283">
        <v>1.6999999999999999E-3</v>
      </c>
      <c r="I299" s="167">
        <v>45041</v>
      </c>
      <c r="J299" s="285">
        <v>2789.54</v>
      </c>
      <c r="K299" s="285">
        <v>2829.4</v>
      </c>
      <c r="L299" s="285">
        <v>2830.34</v>
      </c>
      <c r="M299" s="285">
        <v>2789.48</v>
      </c>
      <c r="N299" s="283" t="s">
        <v>1908</v>
      </c>
      <c r="P299" s="167">
        <v>45035</v>
      </c>
      <c r="Q299" s="285">
        <v>5.0753000000000004</v>
      </c>
      <c r="R299" s="285">
        <v>4.9859</v>
      </c>
      <c r="S299" s="285">
        <v>5.0895000000000001</v>
      </c>
      <c r="T299" s="285">
        <v>4.9859</v>
      </c>
      <c r="U299" s="283">
        <v>1.83E-2</v>
      </c>
      <c r="W299" s="167">
        <v>45019</v>
      </c>
      <c r="X299" s="287">
        <v>101506</v>
      </c>
      <c r="Y299" s="287">
        <v>101883</v>
      </c>
      <c r="Z299" s="287">
        <v>101916</v>
      </c>
      <c r="AA299" s="287">
        <v>100651</v>
      </c>
      <c r="AB299" s="283" t="s">
        <v>2156</v>
      </c>
      <c r="AC299" s="289">
        <v>-3.7000000000000002E-3</v>
      </c>
      <c r="AE299" s="167"/>
      <c r="AF299" s="285"/>
      <c r="AG299" s="285"/>
      <c r="AH299" s="285"/>
      <c r="AI299" s="285"/>
      <c r="AJ299" s="283"/>
    </row>
    <row r="300" spans="1:36" x14ac:dyDescent="0.3">
      <c r="A300" s="168">
        <v>45022</v>
      </c>
      <c r="B300" s="83">
        <v>34.799999999999997</v>
      </c>
      <c r="C300" s="83">
        <v>33.79</v>
      </c>
      <c r="D300" s="83">
        <v>35.07</v>
      </c>
      <c r="E300" s="83">
        <v>33.619999999999997</v>
      </c>
      <c r="F300" s="83" t="s">
        <v>2349</v>
      </c>
      <c r="G300" s="284">
        <v>4.0599999999999997E-2</v>
      </c>
      <c r="I300" s="168">
        <v>45040</v>
      </c>
      <c r="J300" s="286">
        <v>2826.85</v>
      </c>
      <c r="K300" s="286">
        <v>2825.07</v>
      </c>
      <c r="L300" s="286">
        <v>2829.78</v>
      </c>
      <c r="M300" s="286">
        <v>2814.45</v>
      </c>
      <c r="N300" s="284" t="s">
        <v>1227</v>
      </c>
      <c r="P300" s="168">
        <v>45034</v>
      </c>
      <c r="Q300" s="286">
        <v>4.984</v>
      </c>
      <c r="R300" s="286">
        <v>4.9414999999999996</v>
      </c>
      <c r="S300" s="286">
        <v>4.9973999999999998</v>
      </c>
      <c r="T300" s="286">
        <v>4.9097</v>
      </c>
      <c r="U300" s="284">
        <v>8.6E-3</v>
      </c>
      <c r="W300" s="168">
        <v>45016</v>
      </c>
      <c r="X300" s="288">
        <v>101882</v>
      </c>
      <c r="Y300" s="288">
        <v>103714</v>
      </c>
      <c r="Z300" s="288">
        <v>104041</v>
      </c>
      <c r="AA300" s="288">
        <v>101476</v>
      </c>
      <c r="AB300" s="284" t="s">
        <v>1789</v>
      </c>
      <c r="AC300" s="290">
        <v>-1.77E-2</v>
      </c>
      <c r="AE300" s="168"/>
      <c r="AF300" s="286"/>
      <c r="AG300" s="286"/>
      <c r="AH300" s="286"/>
      <c r="AI300" s="286"/>
      <c r="AJ300" s="284"/>
    </row>
    <row r="301" spans="1:36" x14ac:dyDescent="0.3">
      <c r="A301" s="167">
        <v>45021</v>
      </c>
      <c r="B301" s="171">
        <v>33.450000000000003</v>
      </c>
      <c r="C301" s="171">
        <v>33.450000000000003</v>
      </c>
      <c r="D301" s="171">
        <v>33.840000000000003</v>
      </c>
      <c r="E301" s="171">
        <v>32.42</v>
      </c>
      <c r="F301" s="171" t="s">
        <v>2024</v>
      </c>
      <c r="G301" s="283">
        <v>-1.03E-2</v>
      </c>
      <c r="I301" s="167">
        <v>45037</v>
      </c>
      <c r="J301" s="285">
        <v>2823.07</v>
      </c>
      <c r="K301" s="285">
        <v>2820.97</v>
      </c>
      <c r="L301" s="285">
        <v>2826.6</v>
      </c>
      <c r="M301" s="285">
        <v>2811.92</v>
      </c>
      <c r="N301" s="283" t="s">
        <v>1514</v>
      </c>
      <c r="P301" s="167">
        <v>45033</v>
      </c>
      <c r="Q301" s="285">
        <v>4.9413</v>
      </c>
      <c r="R301" s="285">
        <v>4.9101999999999997</v>
      </c>
      <c r="S301" s="285">
        <v>4.9573</v>
      </c>
      <c r="T301" s="285">
        <v>4.8987999999999996</v>
      </c>
      <c r="U301" s="283">
        <v>6.4999999999999997E-3</v>
      </c>
      <c r="W301" s="167">
        <v>45015</v>
      </c>
      <c r="X301" s="287">
        <v>103713</v>
      </c>
      <c r="Y301" s="287">
        <v>101796</v>
      </c>
      <c r="Z301" s="287">
        <v>104085</v>
      </c>
      <c r="AA301" s="287">
        <v>101796</v>
      </c>
      <c r="AB301" s="283" t="s">
        <v>2348</v>
      </c>
      <c r="AC301" s="289">
        <v>1.89E-2</v>
      </c>
      <c r="AE301" s="167"/>
      <c r="AF301" s="285"/>
      <c r="AG301" s="285"/>
      <c r="AH301" s="285"/>
      <c r="AI301" s="285"/>
      <c r="AJ301" s="283"/>
    </row>
    <row r="302" spans="1:36" x14ac:dyDescent="0.3">
      <c r="A302" s="168">
        <v>45020</v>
      </c>
      <c r="B302" s="83">
        <v>33.799999999999997</v>
      </c>
      <c r="C302" s="83">
        <v>34.24</v>
      </c>
      <c r="D302" s="83">
        <v>34.47</v>
      </c>
      <c r="E302" s="83">
        <v>32.81</v>
      </c>
      <c r="F302" s="83" t="s">
        <v>2347</v>
      </c>
      <c r="G302" s="284">
        <v>4.48E-2</v>
      </c>
      <c r="I302" s="168">
        <v>45036</v>
      </c>
      <c r="J302" s="286">
        <v>2822.54</v>
      </c>
      <c r="K302" s="286">
        <v>2831.51</v>
      </c>
      <c r="L302" s="286">
        <v>2833.98</v>
      </c>
      <c r="M302" s="286">
        <v>2813.85</v>
      </c>
      <c r="N302" s="284" t="s">
        <v>1576</v>
      </c>
      <c r="P302" s="168">
        <v>45030</v>
      </c>
      <c r="Q302" s="286">
        <v>4.9096000000000002</v>
      </c>
      <c r="R302" s="286">
        <v>4.9279000000000002</v>
      </c>
      <c r="S302" s="286">
        <v>4.9653</v>
      </c>
      <c r="T302" s="286">
        <v>4.8921999999999999</v>
      </c>
      <c r="U302" s="284">
        <v>-3.5999999999999999E-3</v>
      </c>
      <c r="W302" s="168">
        <v>45014</v>
      </c>
      <c r="X302" s="288">
        <v>101793</v>
      </c>
      <c r="Y302" s="288">
        <v>101185</v>
      </c>
      <c r="Z302" s="288">
        <v>102213</v>
      </c>
      <c r="AA302" s="288">
        <v>100248</v>
      </c>
      <c r="AB302" s="284" t="s">
        <v>2346</v>
      </c>
      <c r="AC302" s="290">
        <v>6.0000000000000001E-3</v>
      </c>
      <c r="AE302" s="168"/>
      <c r="AF302" s="286"/>
      <c r="AG302" s="286"/>
      <c r="AH302" s="286"/>
      <c r="AI302" s="286"/>
      <c r="AJ302" s="284"/>
    </row>
    <row r="303" spans="1:36" x14ac:dyDescent="0.3">
      <c r="A303" s="167">
        <v>45019</v>
      </c>
      <c r="B303" s="171">
        <v>32.35</v>
      </c>
      <c r="C303" s="171">
        <v>32.549999999999997</v>
      </c>
      <c r="D303" s="171">
        <v>33.19</v>
      </c>
      <c r="E303" s="171">
        <v>32.1</v>
      </c>
      <c r="F303" s="171" t="s">
        <v>2345</v>
      </c>
      <c r="G303" s="283">
        <v>3.8800000000000001E-2</v>
      </c>
      <c r="I303" s="167">
        <v>45035</v>
      </c>
      <c r="J303" s="285">
        <v>2833.39</v>
      </c>
      <c r="K303" s="285">
        <v>2836.42</v>
      </c>
      <c r="L303" s="285">
        <v>2837</v>
      </c>
      <c r="M303" s="285">
        <v>2823.75</v>
      </c>
      <c r="N303" s="283" t="s">
        <v>1440</v>
      </c>
      <c r="P303" s="167">
        <v>45029</v>
      </c>
      <c r="Q303" s="285">
        <v>4.9272</v>
      </c>
      <c r="R303" s="285">
        <v>4.9189999999999996</v>
      </c>
      <c r="S303" s="285">
        <v>4.9405000000000001</v>
      </c>
      <c r="T303" s="285">
        <v>4.8926999999999996</v>
      </c>
      <c r="U303" s="283">
        <v>1.9E-3</v>
      </c>
      <c r="W303" s="167">
        <v>45013</v>
      </c>
      <c r="X303" s="287">
        <v>101185</v>
      </c>
      <c r="Y303" s="287">
        <v>99672</v>
      </c>
      <c r="Z303" s="287">
        <v>101559</v>
      </c>
      <c r="AA303" s="287">
        <v>99488</v>
      </c>
      <c r="AB303" s="283" t="s">
        <v>2344</v>
      </c>
      <c r="AC303" s="289">
        <v>1.52E-2</v>
      </c>
      <c r="AE303" s="167"/>
      <c r="AF303" s="285"/>
      <c r="AG303" s="285"/>
      <c r="AH303" s="285"/>
      <c r="AI303" s="285"/>
      <c r="AJ303" s="283"/>
    </row>
    <row r="304" spans="1:36" x14ac:dyDescent="0.3">
      <c r="A304" s="168">
        <v>45016</v>
      </c>
      <c r="B304" s="83">
        <v>31.14</v>
      </c>
      <c r="C304" s="83">
        <v>32.369999999999997</v>
      </c>
      <c r="D304" s="83">
        <v>32.450000000000003</v>
      </c>
      <c r="E304" s="83">
        <v>31.11</v>
      </c>
      <c r="F304" s="83" t="s">
        <v>1945</v>
      </c>
      <c r="G304" s="284">
        <v>-3.5900000000000001E-2</v>
      </c>
      <c r="I304" s="168">
        <v>45034</v>
      </c>
      <c r="J304" s="286">
        <v>2835.89</v>
      </c>
      <c r="K304" s="286">
        <v>2828.44</v>
      </c>
      <c r="L304" s="286">
        <v>2843.57</v>
      </c>
      <c r="M304" s="286">
        <v>2828.02</v>
      </c>
      <c r="N304" s="284" t="s">
        <v>1569</v>
      </c>
      <c r="P304" s="168">
        <v>45028</v>
      </c>
      <c r="Q304" s="286">
        <v>4.9180999999999999</v>
      </c>
      <c r="R304" s="286">
        <v>5.0076999999999998</v>
      </c>
      <c r="S304" s="286">
        <v>5.0107999999999997</v>
      </c>
      <c r="T304" s="286">
        <v>4.9154999999999998</v>
      </c>
      <c r="U304" s="284">
        <v>-1.7399999999999999E-2</v>
      </c>
      <c r="W304" s="168">
        <v>45012</v>
      </c>
      <c r="X304" s="288">
        <v>99670</v>
      </c>
      <c r="Y304" s="288">
        <v>98833</v>
      </c>
      <c r="Z304" s="288">
        <v>99997</v>
      </c>
      <c r="AA304" s="288">
        <v>98833</v>
      </c>
      <c r="AB304" s="284" t="s">
        <v>2019</v>
      </c>
      <c r="AC304" s="290">
        <v>8.5000000000000006E-3</v>
      </c>
      <c r="AE304" s="168"/>
      <c r="AF304" s="286"/>
      <c r="AG304" s="286"/>
      <c r="AH304" s="286"/>
      <c r="AI304" s="286"/>
      <c r="AJ304" s="284"/>
    </row>
    <row r="305" spans="1:36" x14ac:dyDescent="0.3">
      <c r="A305" s="167">
        <v>45015</v>
      </c>
      <c r="B305" s="171">
        <v>32.299999999999997</v>
      </c>
      <c r="C305" s="171">
        <v>32.43</v>
      </c>
      <c r="D305" s="171">
        <v>32.75</v>
      </c>
      <c r="E305" s="171">
        <v>31.97</v>
      </c>
      <c r="F305" s="171" t="s">
        <v>2343</v>
      </c>
      <c r="G305" s="283">
        <v>1.2800000000000001E-2</v>
      </c>
      <c r="I305" s="167">
        <v>45033</v>
      </c>
      <c r="J305" s="285">
        <v>2827.24</v>
      </c>
      <c r="K305" s="285">
        <v>2824.21</v>
      </c>
      <c r="L305" s="285">
        <v>2828.4</v>
      </c>
      <c r="M305" s="285">
        <v>2814.25</v>
      </c>
      <c r="N305" s="283" t="s">
        <v>1756</v>
      </c>
      <c r="P305" s="167">
        <v>45027</v>
      </c>
      <c r="Q305" s="285">
        <v>5.0053999999999998</v>
      </c>
      <c r="R305" s="285">
        <v>5.0667</v>
      </c>
      <c r="S305" s="285">
        <v>5.0674999999999999</v>
      </c>
      <c r="T305" s="285">
        <v>4.9885999999999999</v>
      </c>
      <c r="U305" s="283">
        <v>-1.1900000000000001E-2</v>
      </c>
      <c r="W305" s="167">
        <v>45009</v>
      </c>
      <c r="X305" s="287">
        <v>98829</v>
      </c>
      <c r="Y305" s="287">
        <v>97926</v>
      </c>
      <c r="Z305" s="287">
        <v>99258</v>
      </c>
      <c r="AA305" s="287">
        <v>97688</v>
      </c>
      <c r="AB305" s="283" t="s">
        <v>2059</v>
      </c>
      <c r="AC305" s="289">
        <v>9.1999999999999998E-3</v>
      </c>
      <c r="AE305" s="167"/>
      <c r="AF305" s="285"/>
      <c r="AG305" s="285"/>
      <c r="AH305" s="285"/>
      <c r="AI305" s="285"/>
      <c r="AJ305" s="283"/>
    </row>
    <row r="306" spans="1:36" x14ac:dyDescent="0.3">
      <c r="A306" s="168">
        <v>45014</v>
      </c>
      <c r="B306" s="83">
        <v>31.89</v>
      </c>
      <c r="C306" s="83">
        <v>32.200000000000003</v>
      </c>
      <c r="D306" s="83">
        <v>32.69</v>
      </c>
      <c r="E306" s="83">
        <v>31.16</v>
      </c>
      <c r="F306" s="83" t="s">
        <v>1240</v>
      </c>
      <c r="G306" s="284">
        <v>1.9E-3</v>
      </c>
      <c r="I306" s="168">
        <v>45030</v>
      </c>
      <c r="J306" s="286">
        <v>2825.75</v>
      </c>
      <c r="K306" s="286">
        <v>2830.23</v>
      </c>
      <c r="L306" s="286">
        <v>2841.22</v>
      </c>
      <c r="M306" s="286">
        <v>2811.93</v>
      </c>
      <c r="N306" s="284" t="s">
        <v>1292</v>
      </c>
      <c r="P306" s="168">
        <v>45026</v>
      </c>
      <c r="Q306" s="286">
        <v>5.0655000000000001</v>
      </c>
      <c r="R306" s="286">
        <v>5.0559000000000003</v>
      </c>
      <c r="S306" s="286">
        <v>5.0937999999999999</v>
      </c>
      <c r="T306" s="286">
        <v>5.0368000000000004</v>
      </c>
      <c r="U306" s="284">
        <v>2.0999999999999999E-3</v>
      </c>
      <c r="W306" s="168">
        <v>45008</v>
      </c>
      <c r="X306" s="288">
        <v>97926</v>
      </c>
      <c r="Y306" s="288">
        <v>100221</v>
      </c>
      <c r="Z306" s="288">
        <v>101126</v>
      </c>
      <c r="AA306" s="288">
        <v>96997</v>
      </c>
      <c r="AB306" s="284" t="s">
        <v>2342</v>
      </c>
      <c r="AC306" s="290">
        <v>-2.29E-2</v>
      </c>
      <c r="AE306" s="168"/>
      <c r="AF306" s="286"/>
      <c r="AG306" s="286"/>
      <c r="AH306" s="286"/>
      <c r="AI306" s="286"/>
      <c r="AJ306" s="284"/>
    </row>
    <row r="307" spans="1:36" x14ac:dyDescent="0.3">
      <c r="A307" s="167">
        <v>45013</v>
      </c>
      <c r="B307" s="171">
        <v>31.83</v>
      </c>
      <c r="C307" s="171">
        <v>31.59</v>
      </c>
      <c r="D307" s="171">
        <v>32.15</v>
      </c>
      <c r="E307" s="171">
        <v>31.09</v>
      </c>
      <c r="F307" s="171" t="s">
        <v>2290</v>
      </c>
      <c r="G307" s="283">
        <v>8.2000000000000007E-3</v>
      </c>
      <c r="I307" s="167">
        <v>45029</v>
      </c>
      <c r="J307" s="285">
        <v>2829.2</v>
      </c>
      <c r="K307" s="285">
        <v>2796.24</v>
      </c>
      <c r="L307" s="285">
        <v>2831.41</v>
      </c>
      <c r="M307" s="285">
        <v>2795.43</v>
      </c>
      <c r="N307" s="283" t="s">
        <v>2341</v>
      </c>
      <c r="P307" s="167">
        <v>45023</v>
      </c>
      <c r="Q307" s="285">
        <v>5.0548999999999999</v>
      </c>
      <c r="R307" s="285">
        <v>5.0598999999999998</v>
      </c>
      <c r="S307" s="285">
        <v>5.0598999999999998</v>
      </c>
      <c r="T307" s="285">
        <v>5.0559000000000003</v>
      </c>
      <c r="U307" s="283">
        <v>-4.0000000000000002E-4</v>
      </c>
      <c r="W307" s="167">
        <v>45007</v>
      </c>
      <c r="X307" s="287">
        <v>100221</v>
      </c>
      <c r="Y307" s="287">
        <v>100998</v>
      </c>
      <c r="Z307" s="287">
        <v>101888</v>
      </c>
      <c r="AA307" s="287">
        <v>100129</v>
      </c>
      <c r="AB307" s="283" t="s">
        <v>1512</v>
      </c>
      <c r="AC307" s="289">
        <v>-7.7000000000000002E-3</v>
      </c>
      <c r="AE307" s="167"/>
      <c r="AF307" s="285"/>
      <c r="AG307" s="285"/>
      <c r="AH307" s="285"/>
      <c r="AI307" s="285"/>
      <c r="AJ307" s="283"/>
    </row>
    <row r="308" spans="1:36" x14ac:dyDescent="0.3">
      <c r="A308" s="168">
        <v>45012</v>
      </c>
      <c r="B308" s="83">
        <v>31.57</v>
      </c>
      <c r="C308" s="83">
        <v>30.98</v>
      </c>
      <c r="D308" s="83">
        <v>31.77</v>
      </c>
      <c r="E308" s="83">
        <v>30.59</v>
      </c>
      <c r="F308" s="83" t="s">
        <v>1258</v>
      </c>
      <c r="G308" s="284">
        <v>4.4299999999999999E-2</v>
      </c>
      <c r="I308" s="168">
        <v>45028</v>
      </c>
      <c r="J308" s="286">
        <v>2795.48</v>
      </c>
      <c r="K308" s="286">
        <v>2798.17</v>
      </c>
      <c r="L308" s="286">
        <v>2818.44</v>
      </c>
      <c r="M308" s="286">
        <v>2793.95</v>
      </c>
      <c r="N308" s="284" t="s">
        <v>1204</v>
      </c>
      <c r="P308" s="168">
        <v>45022</v>
      </c>
      <c r="Q308" s="286">
        <v>5.0570000000000004</v>
      </c>
      <c r="R308" s="286">
        <v>5.0345000000000004</v>
      </c>
      <c r="S308" s="286">
        <v>5.0837000000000003</v>
      </c>
      <c r="T308" s="286">
        <v>5.0342000000000002</v>
      </c>
      <c r="U308" s="284">
        <v>4.5999999999999999E-3</v>
      </c>
      <c r="W308" s="168">
        <v>45006</v>
      </c>
      <c r="X308" s="288">
        <v>100998</v>
      </c>
      <c r="Y308" s="288">
        <v>100923</v>
      </c>
      <c r="Z308" s="288">
        <v>101670</v>
      </c>
      <c r="AA308" s="288">
        <v>100923</v>
      </c>
      <c r="AB308" s="284" t="s">
        <v>2196</v>
      </c>
      <c r="AC308" s="290">
        <v>6.9999999999999999E-4</v>
      </c>
      <c r="AE308" s="168"/>
      <c r="AF308" s="286"/>
      <c r="AG308" s="286"/>
      <c r="AH308" s="286"/>
      <c r="AI308" s="286"/>
      <c r="AJ308" s="284"/>
    </row>
    <row r="309" spans="1:36" x14ac:dyDescent="0.3">
      <c r="A309" s="167">
        <v>45009</v>
      </c>
      <c r="B309" s="171">
        <v>30.23</v>
      </c>
      <c r="C309" s="171">
        <v>29.59</v>
      </c>
      <c r="D309" s="171">
        <v>30.39</v>
      </c>
      <c r="E309" s="171">
        <v>28.96</v>
      </c>
      <c r="F309" s="171" t="s">
        <v>2340</v>
      </c>
      <c r="G309" s="283">
        <v>1.17E-2</v>
      </c>
      <c r="I309" s="167">
        <v>45027</v>
      </c>
      <c r="J309" s="285">
        <v>2797.07</v>
      </c>
      <c r="K309" s="285">
        <v>2789.92</v>
      </c>
      <c r="L309" s="285">
        <v>2804.15</v>
      </c>
      <c r="M309" s="285">
        <v>2789.92</v>
      </c>
      <c r="N309" s="283" t="s">
        <v>1330</v>
      </c>
      <c r="P309" s="167">
        <v>45021</v>
      </c>
      <c r="Q309" s="285">
        <v>5.0339999999999998</v>
      </c>
      <c r="R309" s="285">
        <v>5.0724</v>
      </c>
      <c r="S309" s="285">
        <v>5.0777999999999999</v>
      </c>
      <c r="T309" s="285">
        <v>5.0163000000000002</v>
      </c>
      <c r="U309" s="283">
        <v>-7.4000000000000003E-3</v>
      </c>
      <c r="W309" s="167">
        <v>45005</v>
      </c>
      <c r="X309" s="287">
        <v>100923</v>
      </c>
      <c r="Y309" s="287">
        <v>101982</v>
      </c>
      <c r="Z309" s="287">
        <v>102328</v>
      </c>
      <c r="AA309" s="287">
        <v>100679</v>
      </c>
      <c r="AB309" s="283" t="s">
        <v>2055</v>
      </c>
      <c r="AC309" s="289">
        <v>-1.04E-2</v>
      </c>
      <c r="AE309" s="167"/>
      <c r="AF309" s="285"/>
      <c r="AG309" s="285"/>
      <c r="AH309" s="285"/>
      <c r="AI309" s="285"/>
      <c r="AJ309" s="283"/>
    </row>
    <row r="310" spans="1:36" x14ac:dyDescent="0.3">
      <c r="A310" s="168">
        <v>45008</v>
      </c>
      <c r="B310" s="83">
        <v>29.88</v>
      </c>
      <c r="C310" s="83">
        <v>31.48</v>
      </c>
      <c r="D310" s="83">
        <v>31.68</v>
      </c>
      <c r="E310" s="83">
        <v>29.3</v>
      </c>
      <c r="F310" s="83" t="s">
        <v>2027</v>
      </c>
      <c r="G310" s="284">
        <v>-4.53E-2</v>
      </c>
      <c r="I310" s="168">
        <v>45026</v>
      </c>
      <c r="J310" s="286">
        <v>2786.2</v>
      </c>
      <c r="K310" s="286">
        <v>2790.44</v>
      </c>
      <c r="L310" s="286">
        <v>2790.59</v>
      </c>
      <c r="M310" s="286">
        <v>2768.98</v>
      </c>
      <c r="N310" s="284" t="s">
        <v>1387</v>
      </c>
      <c r="P310" s="168">
        <v>45020</v>
      </c>
      <c r="Q310" s="286">
        <v>5.0716000000000001</v>
      </c>
      <c r="R310" s="286">
        <v>5.0643000000000002</v>
      </c>
      <c r="S310" s="286">
        <v>5.1002000000000001</v>
      </c>
      <c r="T310" s="286">
        <v>5.0492999999999997</v>
      </c>
      <c r="U310" s="284">
        <v>1.6999999999999999E-3</v>
      </c>
      <c r="W310" s="168">
        <v>45002</v>
      </c>
      <c r="X310" s="288">
        <v>101982</v>
      </c>
      <c r="Y310" s="288">
        <v>103434</v>
      </c>
      <c r="Z310" s="288">
        <v>103434</v>
      </c>
      <c r="AA310" s="288">
        <v>101664</v>
      </c>
      <c r="AB310" s="284" t="s">
        <v>1902</v>
      </c>
      <c r="AC310" s="290">
        <v>-1.4E-2</v>
      </c>
      <c r="AE310" s="168"/>
      <c r="AF310" s="286"/>
      <c r="AG310" s="286"/>
      <c r="AH310" s="286"/>
      <c r="AI310" s="286"/>
      <c r="AJ310" s="284"/>
    </row>
    <row r="311" spans="1:36" x14ac:dyDescent="0.3">
      <c r="A311" s="167">
        <v>45007</v>
      </c>
      <c r="B311" s="171">
        <v>31.3</v>
      </c>
      <c r="C311" s="171">
        <v>31.81</v>
      </c>
      <c r="D311" s="171">
        <v>32.14</v>
      </c>
      <c r="E311" s="171">
        <v>31.05</v>
      </c>
      <c r="F311" s="171" t="s">
        <v>1552</v>
      </c>
      <c r="G311" s="283">
        <v>-1.17E-2</v>
      </c>
      <c r="I311" s="167">
        <v>45023</v>
      </c>
      <c r="J311" s="285">
        <v>2790.38</v>
      </c>
      <c r="K311" s="285">
        <v>2790.34</v>
      </c>
      <c r="L311" s="285">
        <v>2791.08</v>
      </c>
      <c r="M311" s="285">
        <v>2790.01</v>
      </c>
      <c r="N311" s="283" t="s">
        <v>1463</v>
      </c>
      <c r="P311" s="167">
        <v>45019</v>
      </c>
      <c r="Q311" s="285">
        <v>5.0632000000000001</v>
      </c>
      <c r="R311" s="285">
        <v>5.0636999999999999</v>
      </c>
      <c r="S311" s="285">
        <v>5.0834000000000001</v>
      </c>
      <c r="T311" s="285">
        <v>5.0381999999999998</v>
      </c>
      <c r="U311" s="283">
        <v>0</v>
      </c>
      <c r="W311" s="167">
        <v>45001</v>
      </c>
      <c r="X311" s="287">
        <v>103435</v>
      </c>
      <c r="Y311" s="287">
        <v>102683</v>
      </c>
      <c r="Z311" s="287">
        <v>103911</v>
      </c>
      <c r="AA311" s="287">
        <v>102455</v>
      </c>
      <c r="AB311" s="283" t="s">
        <v>2209</v>
      </c>
      <c r="AC311" s="289">
        <v>7.4000000000000003E-3</v>
      </c>
      <c r="AE311" s="167"/>
      <c r="AF311" s="285"/>
      <c r="AG311" s="285"/>
      <c r="AH311" s="285"/>
      <c r="AI311" s="285"/>
      <c r="AJ311" s="283"/>
    </row>
    <row r="312" spans="1:36" x14ac:dyDescent="0.3">
      <c r="A312" s="168">
        <v>45006</v>
      </c>
      <c r="B312" s="83">
        <v>31.67</v>
      </c>
      <c r="C312" s="83">
        <v>31.11</v>
      </c>
      <c r="D312" s="83">
        <v>31.84</v>
      </c>
      <c r="E312" s="83">
        <v>31</v>
      </c>
      <c r="F312" s="83" t="s">
        <v>1989</v>
      </c>
      <c r="G312" s="284">
        <v>2.3599999999999999E-2</v>
      </c>
      <c r="I312" s="168">
        <v>45022</v>
      </c>
      <c r="J312" s="286">
        <v>2790.1</v>
      </c>
      <c r="K312" s="286">
        <v>2782.53</v>
      </c>
      <c r="L312" s="286">
        <v>2791.48</v>
      </c>
      <c r="M312" s="286">
        <v>2770.58</v>
      </c>
      <c r="N312" s="284" t="s">
        <v>1217</v>
      </c>
      <c r="P312" s="168">
        <v>45016</v>
      </c>
      <c r="Q312" s="286">
        <v>5.0631000000000004</v>
      </c>
      <c r="R312" s="286">
        <v>5.0946999999999996</v>
      </c>
      <c r="S312" s="286">
        <v>5.1093999999999999</v>
      </c>
      <c r="T312" s="286">
        <v>5.0547000000000004</v>
      </c>
      <c r="U312" s="284">
        <v>-6.0000000000000001E-3</v>
      </c>
      <c r="W312" s="168">
        <v>45000</v>
      </c>
      <c r="X312" s="288">
        <v>102675</v>
      </c>
      <c r="Y312" s="288">
        <v>102930</v>
      </c>
      <c r="Z312" s="288">
        <v>103048</v>
      </c>
      <c r="AA312" s="288">
        <v>100692</v>
      </c>
      <c r="AB312" s="284" t="s">
        <v>2339</v>
      </c>
      <c r="AC312" s="290">
        <v>-2.5000000000000001E-3</v>
      </c>
      <c r="AE312" s="168"/>
      <c r="AF312" s="286"/>
      <c r="AG312" s="286"/>
      <c r="AH312" s="286"/>
      <c r="AI312" s="286"/>
      <c r="AJ312" s="284"/>
    </row>
    <row r="313" spans="1:36" x14ac:dyDescent="0.3">
      <c r="A313" s="167">
        <v>45005</v>
      </c>
      <c r="B313" s="171">
        <v>30.94</v>
      </c>
      <c r="C313" s="171">
        <v>31.25</v>
      </c>
      <c r="D313" s="171">
        <v>31.68</v>
      </c>
      <c r="E313" s="171">
        <v>30.63</v>
      </c>
      <c r="F313" s="171" t="s">
        <v>1363</v>
      </c>
      <c r="G313" s="283">
        <v>-1.21E-2</v>
      </c>
      <c r="I313" s="167">
        <v>45021</v>
      </c>
      <c r="J313" s="285">
        <v>2784.05</v>
      </c>
      <c r="K313" s="285">
        <v>2795.67</v>
      </c>
      <c r="L313" s="285">
        <v>2796.01</v>
      </c>
      <c r="M313" s="285">
        <v>2774.54</v>
      </c>
      <c r="N313" s="283" t="s">
        <v>1226</v>
      </c>
      <c r="P313" s="167">
        <v>45015</v>
      </c>
      <c r="Q313" s="285">
        <v>5.0937999999999999</v>
      </c>
      <c r="R313" s="285">
        <v>5.1367000000000003</v>
      </c>
      <c r="S313" s="285">
        <v>5.1609999999999996</v>
      </c>
      <c r="T313" s="285">
        <v>5.0723000000000003</v>
      </c>
      <c r="U313" s="283">
        <v>-8.0999999999999996E-3</v>
      </c>
      <c r="W313" s="167">
        <v>44999</v>
      </c>
      <c r="X313" s="287">
        <v>102932</v>
      </c>
      <c r="Y313" s="287">
        <v>103121</v>
      </c>
      <c r="Z313" s="287">
        <v>104153</v>
      </c>
      <c r="AA313" s="287">
        <v>102482</v>
      </c>
      <c r="AB313" s="283" t="s">
        <v>2174</v>
      </c>
      <c r="AC313" s="289">
        <v>-1.8E-3</v>
      </c>
      <c r="AE313" s="167"/>
      <c r="AF313" s="285"/>
      <c r="AG313" s="285"/>
      <c r="AH313" s="285"/>
      <c r="AI313" s="285"/>
      <c r="AJ313" s="283"/>
    </row>
    <row r="314" spans="1:36" x14ac:dyDescent="0.3">
      <c r="A314" s="168">
        <v>45002</v>
      </c>
      <c r="B314" s="83">
        <v>31.32</v>
      </c>
      <c r="C314" s="83">
        <v>31.42</v>
      </c>
      <c r="D314" s="83">
        <v>31.78</v>
      </c>
      <c r="E314" s="83">
        <v>31</v>
      </c>
      <c r="F314" s="83" t="s">
        <v>2338</v>
      </c>
      <c r="G314" s="284">
        <v>-1.04E-2</v>
      </c>
      <c r="I314" s="168">
        <v>45020</v>
      </c>
      <c r="J314" s="286">
        <v>2796.78</v>
      </c>
      <c r="K314" s="286">
        <v>2804.7</v>
      </c>
      <c r="L314" s="286">
        <v>2813.35</v>
      </c>
      <c r="M314" s="286">
        <v>2789.5</v>
      </c>
      <c r="N314" s="284" t="s">
        <v>1467</v>
      </c>
      <c r="P314" s="168">
        <v>45014</v>
      </c>
      <c r="Q314" s="286">
        <v>5.1356000000000002</v>
      </c>
      <c r="R314" s="286">
        <v>5.1660000000000004</v>
      </c>
      <c r="S314" s="286">
        <v>5.1845999999999997</v>
      </c>
      <c r="T314" s="286">
        <v>5.1261999999999999</v>
      </c>
      <c r="U314" s="284">
        <v>-5.7999999999999996E-3</v>
      </c>
      <c r="W314" s="168">
        <v>44998</v>
      </c>
      <c r="X314" s="288">
        <v>103121</v>
      </c>
      <c r="Y314" s="288">
        <v>103608</v>
      </c>
      <c r="Z314" s="288">
        <v>103907</v>
      </c>
      <c r="AA314" s="288">
        <v>102255</v>
      </c>
      <c r="AB314" s="284" t="s">
        <v>2123</v>
      </c>
      <c r="AC314" s="290">
        <v>-4.7999999999999996E-3</v>
      </c>
      <c r="AE314" s="168"/>
      <c r="AF314" s="286"/>
      <c r="AG314" s="286"/>
      <c r="AH314" s="286"/>
      <c r="AI314" s="286"/>
      <c r="AJ314" s="284"/>
    </row>
    <row r="315" spans="1:36" x14ac:dyDescent="0.3">
      <c r="A315" s="167">
        <v>45001</v>
      </c>
      <c r="B315" s="171">
        <v>31.65</v>
      </c>
      <c r="C315" s="171">
        <v>31.14</v>
      </c>
      <c r="D315" s="171">
        <v>31.94</v>
      </c>
      <c r="E315" s="171">
        <v>30.45</v>
      </c>
      <c r="F315" s="171" t="s">
        <v>2337</v>
      </c>
      <c r="G315" s="283">
        <v>1.77E-2</v>
      </c>
      <c r="I315" s="167">
        <v>45019</v>
      </c>
      <c r="J315" s="285">
        <v>2803.63</v>
      </c>
      <c r="K315" s="285">
        <v>2788.92</v>
      </c>
      <c r="L315" s="285">
        <v>2806.73</v>
      </c>
      <c r="M315" s="285">
        <v>2788.32</v>
      </c>
      <c r="N315" s="283" t="s">
        <v>2126</v>
      </c>
      <c r="P315" s="167">
        <v>45013</v>
      </c>
      <c r="Q315" s="285">
        <v>5.1654999999999998</v>
      </c>
      <c r="R315" s="285">
        <v>5.1985999999999999</v>
      </c>
      <c r="S315" s="285">
        <v>5.1993</v>
      </c>
      <c r="T315" s="285">
        <v>5.1477000000000004</v>
      </c>
      <c r="U315" s="283">
        <v>-6.3E-3</v>
      </c>
      <c r="W315" s="167">
        <v>44995</v>
      </c>
      <c r="X315" s="287">
        <v>103618</v>
      </c>
      <c r="Y315" s="287">
        <v>105071</v>
      </c>
      <c r="Z315" s="287">
        <v>105071</v>
      </c>
      <c r="AA315" s="287">
        <v>103201</v>
      </c>
      <c r="AB315" s="283" t="s">
        <v>2336</v>
      </c>
      <c r="AC315" s="289">
        <v>-1.38E-2</v>
      </c>
      <c r="AE315" s="167"/>
      <c r="AF315" s="285"/>
      <c r="AG315" s="285"/>
      <c r="AH315" s="285"/>
      <c r="AI315" s="285"/>
      <c r="AJ315" s="283"/>
    </row>
    <row r="316" spans="1:36" x14ac:dyDescent="0.3">
      <c r="A316" s="168">
        <v>45000</v>
      </c>
      <c r="B316" s="83">
        <v>31.1</v>
      </c>
      <c r="C316" s="83">
        <v>31.75</v>
      </c>
      <c r="D316" s="83">
        <v>31.75</v>
      </c>
      <c r="E316" s="83">
        <v>30.21</v>
      </c>
      <c r="F316" s="83" t="s">
        <v>2200</v>
      </c>
      <c r="G316" s="284">
        <v>-3.2899999999999999E-2</v>
      </c>
      <c r="I316" s="168">
        <v>45016</v>
      </c>
      <c r="J316" s="286">
        <v>2791.44</v>
      </c>
      <c r="K316" s="286">
        <v>2759.5</v>
      </c>
      <c r="L316" s="286">
        <v>2791.51</v>
      </c>
      <c r="M316" s="286">
        <v>2759.07</v>
      </c>
      <c r="N316" s="284" t="s">
        <v>2084</v>
      </c>
      <c r="P316" s="168">
        <v>45012</v>
      </c>
      <c r="Q316" s="286">
        <v>5.1982999999999997</v>
      </c>
      <c r="R316" s="286">
        <v>5.2465999999999999</v>
      </c>
      <c r="S316" s="286">
        <v>5.2508999999999997</v>
      </c>
      <c r="T316" s="286">
        <v>5.1925999999999997</v>
      </c>
      <c r="U316" s="284">
        <v>-9.1000000000000004E-3</v>
      </c>
      <c r="W316" s="168">
        <v>44994</v>
      </c>
      <c r="X316" s="288">
        <v>105071</v>
      </c>
      <c r="Y316" s="288">
        <v>106540</v>
      </c>
      <c r="Z316" s="288">
        <v>106724</v>
      </c>
      <c r="AA316" s="288">
        <v>105053</v>
      </c>
      <c r="AB316" s="284" t="s">
        <v>2335</v>
      </c>
      <c r="AC316" s="290">
        <v>-1.38E-2</v>
      </c>
      <c r="AE316" s="168"/>
      <c r="AF316" s="286"/>
      <c r="AG316" s="286"/>
      <c r="AH316" s="286"/>
      <c r="AI316" s="286"/>
      <c r="AJ316" s="284"/>
    </row>
    <row r="317" spans="1:36" x14ac:dyDescent="0.3">
      <c r="A317" s="167">
        <v>44999</v>
      </c>
      <c r="B317" s="171">
        <v>32.159999999999997</v>
      </c>
      <c r="C317" s="171">
        <v>31.65</v>
      </c>
      <c r="D317" s="171">
        <v>32.83</v>
      </c>
      <c r="E317" s="171">
        <v>31.62</v>
      </c>
      <c r="F317" s="171" t="s">
        <v>2301</v>
      </c>
      <c r="G317" s="283">
        <v>1.38E-2</v>
      </c>
      <c r="I317" s="167">
        <v>45015</v>
      </c>
      <c r="J317" s="285">
        <v>2759.7</v>
      </c>
      <c r="K317" s="285">
        <v>2740.21</v>
      </c>
      <c r="L317" s="285">
        <v>2763.1</v>
      </c>
      <c r="M317" s="285">
        <v>2737.75</v>
      </c>
      <c r="N317" s="283" t="s">
        <v>2213</v>
      </c>
      <c r="P317" s="167">
        <v>45009</v>
      </c>
      <c r="Q317" s="285">
        <v>5.2462999999999997</v>
      </c>
      <c r="R317" s="285">
        <v>5.2976000000000001</v>
      </c>
      <c r="S317" s="285">
        <v>5.3421000000000003</v>
      </c>
      <c r="T317" s="285">
        <v>5.2380000000000004</v>
      </c>
      <c r="U317" s="283">
        <v>-9.5999999999999992E-3</v>
      </c>
      <c r="W317" s="167">
        <v>44993</v>
      </c>
      <c r="X317" s="287">
        <v>106540</v>
      </c>
      <c r="Y317" s="287">
        <v>104228</v>
      </c>
      <c r="Z317" s="287">
        <v>106721</v>
      </c>
      <c r="AA317" s="287">
        <v>104228</v>
      </c>
      <c r="AB317" s="283" t="s">
        <v>2334</v>
      </c>
      <c r="AC317" s="289">
        <v>2.2200000000000001E-2</v>
      </c>
      <c r="AE317" s="167"/>
      <c r="AF317" s="285"/>
      <c r="AG317" s="285"/>
      <c r="AH317" s="285"/>
      <c r="AI317" s="285"/>
      <c r="AJ317" s="283"/>
    </row>
    <row r="318" spans="1:36" x14ac:dyDescent="0.3">
      <c r="A318" s="168">
        <v>44998</v>
      </c>
      <c r="B318" s="83">
        <v>31.72</v>
      </c>
      <c r="C318" s="83">
        <v>32.01</v>
      </c>
      <c r="D318" s="83">
        <v>32.659999999999997</v>
      </c>
      <c r="E318" s="83">
        <v>31.4</v>
      </c>
      <c r="F318" s="83" t="s">
        <v>2056</v>
      </c>
      <c r="G318" s="284">
        <v>-4.3400000000000001E-2</v>
      </c>
      <c r="I318" s="168">
        <v>45014</v>
      </c>
      <c r="J318" s="286">
        <v>2739.42</v>
      </c>
      <c r="K318" s="286">
        <v>2705.26</v>
      </c>
      <c r="L318" s="286">
        <v>2740.85</v>
      </c>
      <c r="M318" s="286">
        <v>2704.72</v>
      </c>
      <c r="N318" s="284" t="s">
        <v>1199</v>
      </c>
      <c r="P318" s="168">
        <v>45008</v>
      </c>
      <c r="Q318" s="286">
        <v>5.2972999999999999</v>
      </c>
      <c r="R318" s="286">
        <v>5.2371999999999996</v>
      </c>
      <c r="S318" s="286">
        <v>5.3015999999999996</v>
      </c>
      <c r="T318" s="286">
        <v>5.2023999999999999</v>
      </c>
      <c r="U318" s="284">
        <v>1.15E-2</v>
      </c>
      <c r="W318" s="168">
        <v>44992</v>
      </c>
      <c r="X318" s="288">
        <v>104228</v>
      </c>
      <c r="Y318" s="288">
        <v>104700</v>
      </c>
      <c r="Z318" s="288">
        <v>105179</v>
      </c>
      <c r="AA318" s="288">
        <v>103480</v>
      </c>
      <c r="AB318" s="284" t="s">
        <v>2088</v>
      </c>
      <c r="AC318" s="290">
        <v>-4.4999999999999997E-3</v>
      </c>
      <c r="AE318" s="168"/>
      <c r="AF318" s="286"/>
      <c r="AG318" s="286"/>
      <c r="AH318" s="286"/>
      <c r="AI318" s="286"/>
      <c r="AJ318" s="284"/>
    </row>
    <row r="319" spans="1:36" x14ac:dyDescent="0.3">
      <c r="A319" s="167">
        <v>44995</v>
      </c>
      <c r="B319" s="171">
        <v>33.159999999999997</v>
      </c>
      <c r="C319" s="171">
        <v>33.090000000000003</v>
      </c>
      <c r="D319" s="171">
        <v>33.450000000000003</v>
      </c>
      <c r="E319" s="171">
        <v>32.75</v>
      </c>
      <c r="F319" s="171" t="s">
        <v>2124</v>
      </c>
      <c r="G319" s="283">
        <v>-6.6E-3</v>
      </c>
      <c r="I319" s="167">
        <v>45013</v>
      </c>
      <c r="J319" s="285">
        <v>2704.76</v>
      </c>
      <c r="K319" s="285">
        <v>2703.79</v>
      </c>
      <c r="L319" s="285">
        <v>2710.89</v>
      </c>
      <c r="M319" s="285">
        <v>2696.49</v>
      </c>
      <c r="N319" s="283" t="s">
        <v>2292</v>
      </c>
      <c r="P319" s="167">
        <v>45007</v>
      </c>
      <c r="Q319" s="285">
        <v>5.2369000000000003</v>
      </c>
      <c r="R319" s="285">
        <v>5.2438000000000002</v>
      </c>
      <c r="S319" s="285">
        <v>5.28</v>
      </c>
      <c r="T319" s="285">
        <v>5.2042000000000002</v>
      </c>
      <c r="U319" s="283">
        <v>-1.1999999999999999E-3</v>
      </c>
      <c r="W319" s="167">
        <v>44991</v>
      </c>
      <c r="X319" s="287">
        <v>104700</v>
      </c>
      <c r="Y319" s="287">
        <v>103865</v>
      </c>
      <c r="Z319" s="287">
        <v>105171</v>
      </c>
      <c r="AA319" s="287">
        <v>103170</v>
      </c>
      <c r="AB319" s="283" t="s">
        <v>2333</v>
      </c>
      <c r="AC319" s="289">
        <v>8.0000000000000002E-3</v>
      </c>
      <c r="AE319" s="167"/>
      <c r="AF319" s="285"/>
      <c r="AG319" s="285"/>
      <c r="AH319" s="285"/>
      <c r="AI319" s="285"/>
      <c r="AJ319" s="283"/>
    </row>
    <row r="320" spans="1:36" x14ac:dyDescent="0.3">
      <c r="A320" s="168">
        <v>44994</v>
      </c>
      <c r="B320" s="83">
        <v>33.380000000000003</v>
      </c>
      <c r="C320" s="83">
        <v>34.32</v>
      </c>
      <c r="D320" s="83">
        <v>34.47</v>
      </c>
      <c r="E320" s="83">
        <v>33.25</v>
      </c>
      <c r="F320" s="83" t="s">
        <v>2042</v>
      </c>
      <c r="G320" s="284">
        <v>-3.0200000000000001E-2</v>
      </c>
      <c r="I320" s="168">
        <v>45012</v>
      </c>
      <c r="J320" s="286">
        <v>2702.42</v>
      </c>
      <c r="K320" s="286">
        <v>2693.13</v>
      </c>
      <c r="L320" s="286">
        <v>2715.84</v>
      </c>
      <c r="M320" s="286">
        <v>2691.8</v>
      </c>
      <c r="N320" s="284" t="s">
        <v>1588</v>
      </c>
      <c r="P320" s="168">
        <v>45006</v>
      </c>
      <c r="Q320" s="286">
        <v>5.2430000000000003</v>
      </c>
      <c r="R320" s="286">
        <v>5.2370999999999999</v>
      </c>
      <c r="S320" s="286">
        <v>5.2549000000000001</v>
      </c>
      <c r="T320" s="286">
        <v>5.2130000000000001</v>
      </c>
      <c r="U320" s="284">
        <v>1.1999999999999999E-3</v>
      </c>
      <c r="W320" s="168">
        <v>44988</v>
      </c>
      <c r="X320" s="288">
        <v>103866</v>
      </c>
      <c r="Y320" s="288">
        <v>103326</v>
      </c>
      <c r="Z320" s="288">
        <v>104440</v>
      </c>
      <c r="AA320" s="288">
        <v>103323</v>
      </c>
      <c r="AB320" s="284" t="s">
        <v>2193</v>
      </c>
      <c r="AC320" s="290">
        <v>5.1999999999999998E-3</v>
      </c>
      <c r="AE320" s="168"/>
      <c r="AF320" s="286"/>
      <c r="AG320" s="286"/>
      <c r="AH320" s="286"/>
      <c r="AI320" s="286"/>
      <c r="AJ320" s="284"/>
    </row>
    <row r="321" spans="1:36" x14ac:dyDescent="0.3">
      <c r="A321" s="167">
        <v>44993</v>
      </c>
      <c r="B321" s="171">
        <v>34.409999999999997</v>
      </c>
      <c r="C321" s="171">
        <v>33.54</v>
      </c>
      <c r="D321" s="171">
        <v>34.89</v>
      </c>
      <c r="E321" s="171">
        <v>33.229999999999997</v>
      </c>
      <c r="F321" s="171" t="s">
        <v>1542</v>
      </c>
      <c r="G321" s="283">
        <v>2.6200000000000001E-2</v>
      </c>
      <c r="I321" s="167">
        <v>45009</v>
      </c>
      <c r="J321" s="285">
        <v>2692.55</v>
      </c>
      <c r="K321" s="285">
        <v>2693.85</v>
      </c>
      <c r="L321" s="285">
        <v>2695.03</v>
      </c>
      <c r="M321" s="285">
        <v>2661.22</v>
      </c>
      <c r="N321" s="283" t="s">
        <v>1324</v>
      </c>
      <c r="P321" s="167">
        <v>45005</v>
      </c>
      <c r="Q321" s="285">
        <v>5.2367999999999997</v>
      </c>
      <c r="R321" s="285">
        <v>5.2755999999999998</v>
      </c>
      <c r="S321" s="285">
        <v>5.2853000000000003</v>
      </c>
      <c r="T321" s="285">
        <v>5.2294999999999998</v>
      </c>
      <c r="U321" s="283">
        <v>-7.7999999999999996E-3</v>
      </c>
      <c r="W321" s="167">
        <v>44987</v>
      </c>
      <c r="X321" s="287">
        <v>103326</v>
      </c>
      <c r="Y321" s="287">
        <v>104375</v>
      </c>
      <c r="Z321" s="287">
        <v>104912</v>
      </c>
      <c r="AA321" s="287">
        <v>103321</v>
      </c>
      <c r="AB321" s="283" t="s">
        <v>2197</v>
      </c>
      <c r="AC321" s="289">
        <v>-1.01E-2</v>
      </c>
      <c r="AE321" s="167"/>
      <c r="AF321" s="285"/>
      <c r="AG321" s="285"/>
      <c r="AH321" s="285"/>
      <c r="AI321" s="285"/>
      <c r="AJ321" s="283"/>
    </row>
    <row r="322" spans="1:36" x14ac:dyDescent="0.3">
      <c r="A322" s="168">
        <v>44992</v>
      </c>
      <c r="B322" s="83">
        <v>33.54</v>
      </c>
      <c r="C322" s="83">
        <v>34.57</v>
      </c>
      <c r="D322" s="83">
        <v>34.729999999999997</v>
      </c>
      <c r="E322" s="83">
        <v>32.57</v>
      </c>
      <c r="F322" s="83" t="s">
        <v>2332</v>
      </c>
      <c r="G322" s="284">
        <v>-0.03</v>
      </c>
      <c r="I322" s="168">
        <v>45008</v>
      </c>
      <c r="J322" s="286">
        <v>2696.85</v>
      </c>
      <c r="K322" s="286">
        <v>2690.37</v>
      </c>
      <c r="L322" s="286">
        <v>2726.01</v>
      </c>
      <c r="M322" s="286">
        <v>2680.74</v>
      </c>
      <c r="N322" s="284" t="s">
        <v>2331</v>
      </c>
      <c r="P322" s="168">
        <v>45002</v>
      </c>
      <c r="Q322" s="286">
        <v>5.2778</v>
      </c>
      <c r="R322" s="286">
        <v>5.2297000000000002</v>
      </c>
      <c r="S322" s="286">
        <v>5.2854999999999999</v>
      </c>
      <c r="T322" s="286">
        <v>5.2294</v>
      </c>
      <c r="U322" s="284">
        <v>9.4000000000000004E-3</v>
      </c>
      <c r="W322" s="168">
        <v>44986</v>
      </c>
      <c r="X322" s="288">
        <v>104385</v>
      </c>
      <c r="Y322" s="288">
        <v>104933</v>
      </c>
      <c r="Z322" s="288">
        <v>105497</v>
      </c>
      <c r="AA322" s="288">
        <v>103105</v>
      </c>
      <c r="AB322" s="284" t="s">
        <v>2330</v>
      </c>
      <c r="AC322" s="290">
        <v>-5.1999999999999998E-3</v>
      </c>
      <c r="AE322" s="168"/>
      <c r="AF322" s="286"/>
      <c r="AG322" s="286"/>
      <c r="AH322" s="286"/>
      <c r="AI322" s="286"/>
      <c r="AJ322" s="284"/>
    </row>
    <row r="323" spans="1:36" x14ac:dyDescent="0.3">
      <c r="A323" s="167">
        <v>44991</v>
      </c>
      <c r="B323" s="171">
        <v>34.57</v>
      </c>
      <c r="C323" s="171">
        <v>34.54</v>
      </c>
      <c r="D323" s="171">
        <v>34.880000000000003</v>
      </c>
      <c r="E323" s="171">
        <v>33.64</v>
      </c>
      <c r="F323" s="171" t="s">
        <v>2329</v>
      </c>
      <c r="G323" s="283">
        <v>-2.3E-3</v>
      </c>
      <c r="I323" s="167">
        <v>45007</v>
      </c>
      <c r="J323" s="285">
        <v>2686.13</v>
      </c>
      <c r="K323" s="285">
        <v>2712.55</v>
      </c>
      <c r="L323" s="285">
        <v>2743.37</v>
      </c>
      <c r="M323" s="285">
        <v>2686.13</v>
      </c>
      <c r="N323" s="283" t="s">
        <v>2276</v>
      </c>
      <c r="P323" s="167">
        <v>45001</v>
      </c>
      <c r="Q323" s="285">
        <v>5.2285000000000004</v>
      </c>
      <c r="R323" s="285">
        <v>5.2884000000000002</v>
      </c>
      <c r="S323" s="285">
        <v>5.3117000000000001</v>
      </c>
      <c r="T323" s="285">
        <v>5.2221000000000002</v>
      </c>
      <c r="U323" s="283">
        <v>-1.1299999999999999E-2</v>
      </c>
      <c r="W323" s="167">
        <v>44985</v>
      </c>
      <c r="X323" s="287">
        <v>104932</v>
      </c>
      <c r="Y323" s="287">
        <v>105706</v>
      </c>
      <c r="Z323" s="287">
        <v>106794</v>
      </c>
      <c r="AA323" s="287">
        <v>104932</v>
      </c>
      <c r="AB323" s="283" t="s">
        <v>2328</v>
      </c>
      <c r="AC323" s="289">
        <v>-7.4000000000000003E-3</v>
      </c>
      <c r="AE323" s="167"/>
      <c r="AF323" s="285"/>
      <c r="AG323" s="285"/>
      <c r="AH323" s="285"/>
      <c r="AI323" s="285"/>
      <c r="AJ323" s="283"/>
    </row>
    <row r="324" spans="1:36" x14ac:dyDescent="0.3">
      <c r="A324" s="168">
        <v>44988</v>
      </c>
      <c r="B324" s="83">
        <v>34.65</v>
      </c>
      <c r="C324" s="83">
        <v>34.18</v>
      </c>
      <c r="D324" s="83">
        <v>35.06</v>
      </c>
      <c r="E324" s="83">
        <v>33.770000000000003</v>
      </c>
      <c r="F324" s="83" t="s">
        <v>2327</v>
      </c>
      <c r="G324" s="284">
        <v>2.2100000000000002E-2</v>
      </c>
      <c r="I324" s="168">
        <v>45006</v>
      </c>
      <c r="J324" s="286">
        <v>2711.84</v>
      </c>
      <c r="K324" s="286">
        <v>2679.06</v>
      </c>
      <c r="L324" s="286">
        <v>2714.96</v>
      </c>
      <c r="M324" s="286">
        <v>2677.62</v>
      </c>
      <c r="N324" s="284" t="s">
        <v>2326</v>
      </c>
      <c r="P324" s="168">
        <v>45000</v>
      </c>
      <c r="Q324" s="286">
        <v>5.2881999999999998</v>
      </c>
      <c r="R324" s="286">
        <v>5.2538999999999998</v>
      </c>
      <c r="S324" s="286">
        <v>5.3289</v>
      </c>
      <c r="T324" s="286">
        <v>5.2504999999999997</v>
      </c>
      <c r="U324" s="284">
        <v>6.4999999999999997E-3</v>
      </c>
      <c r="W324" s="168">
        <v>44984</v>
      </c>
      <c r="X324" s="288">
        <v>105711</v>
      </c>
      <c r="Y324" s="288">
        <v>105807</v>
      </c>
      <c r="Z324" s="288">
        <v>106402</v>
      </c>
      <c r="AA324" s="288">
        <v>105227</v>
      </c>
      <c r="AB324" s="284" t="s">
        <v>2325</v>
      </c>
      <c r="AC324" s="290">
        <v>-8.0000000000000004E-4</v>
      </c>
      <c r="AE324" s="168"/>
      <c r="AF324" s="286"/>
      <c r="AG324" s="286"/>
      <c r="AH324" s="286"/>
      <c r="AI324" s="286"/>
      <c r="AJ324" s="284"/>
    </row>
    <row r="325" spans="1:36" x14ac:dyDescent="0.3">
      <c r="A325" s="167">
        <v>44987</v>
      </c>
      <c r="B325" s="171">
        <v>33.909999999999997</v>
      </c>
      <c r="C325" s="171">
        <v>33.6</v>
      </c>
      <c r="D325" s="171">
        <v>35.270000000000003</v>
      </c>
      <c r="E325" s="171">
        <v>33.450000000000003</v>
      </c>
      <c r="F325" s="171" t="s">
        <v>2324</v>
      </c>
      <c r="G325" s="283">
        <v>1.7399999999999999E-2</v>
      </c>
      <c r="I325" s="167">
        <v>45005</v>
      </c>
      <c r="J325" s="285">
        <v>2678.29</v>
      </c>
      <c r="K325" s="285">
        <v>2657.71</v>
      </c>
      <c r="L325" s="285">
        <v>2682.17</v>
      </c>
      <c r="M325" s="285">
        <v>2644.21</v>
      </c>
      <c r="N325" s="283" t="s">
        <v>2323</v>
      </c>
      <c r="P325" s="167">
        <v>44999</v>
      </c>
      <c r="Q325" s="285">
        <v>5.2542999999999997</v>
      </c>
      <c r="R325" s="285">
        <v>5.2472000000000003</v>
      </c>
      <c r="S325" s="285">
        <v>5.2629000000000001</v>
      </c>
      <c r="T325" s="285">
        <v>5.2207999999999997</v>
      </c>
      <c r="U325" s="283">
        <v>1.6000000000000001E-3</v>
      </c>
      <c r="W325" s="167">
        <v>44981</v>
      </c>
      <c r="X325" s="287">
        <v>105798</v>
      </c>
      <c r="Y325" s="287">
        <v>107582</v>
      </c>
      <c r="Z325" s="287">
        <v>107611</v>
      </c>
      <c r="AA325" s="287">
        <v>105360</v>
      </c>
      <c r="AB325" s="283" t="s">
        <v>2322</v>
      </c>
      <c r="AC325" s="289">
        <v>-1.67E-2</v>
      </c>
      <c r="AE325" s="167"/>
      <c r="AF325" s="285"/>
      <c r="AG325" s="285"/>
      <c r="AH325" s="285"/>
      <c r="AI325" s="285"/>
      <c r="AJ325" s="283"/>
    </row>
    <row r="326" spans="1:36" x14ac:dyDescent="0.3">
      <c r="A326" s="168">
        <v>44986</v>
      </c>
      <c r="B326" s="83">
        <v>33.33</v>
      </c>
      <c r="C326" s="83">
        <v>33.22</v>
      </c>
      <c r="D326" s="83">
        <v>33.909999999999997</v>
      </c>
      <c r="E326" s="83">
        <v>31.39</v>
      </c>
      <c r="F326" s="83" t="s">
        <v>2321</v>
      </c>
      <c r="G326" s="284">
        <v>-9.4999999999999998E-3</v>
      </c>
      <c r="I326" s="168">
        <v>45002</v>
      </c>
      <c r="J326" s="286">
        <v>2656.19</v>
      </c>
      <c r="K326" s="286">
        <v>2678.83</v>
      </c>
      <c r="L326" s="286">
        <v>2689.12</v>
      </c>
      <c r="M326" s="286">
        <v>2646.87</v>
      </c>
      <c r="N326" s="284" t="s">
        <v>1675</v>
      </c>
      <c r="P326" s="168">
        <v>44998</v>
      </c>
      <c r="Q326" s="286">
        <v>5.2458999999999998</v>
      </c>
      <c r="R326" s="286">
        <v>5.2171000000000003</v>
      </c>
      <c r="S326" s="286">
        <v>5.2835000000000001</v>
      </c>
      <c r="T326" s="286">
        <v>5.2106000000000003</v>
      </c>
      <c r="U326" s="284">
        <v>5.5999999999999999E-3</v>
      </c>
      <c r="W326" s="168">
        <v>44980</v>
      </c>
      <c r="X326" s="288">
        <v>107593</v>
      </c>
      <c r="Y326" s="288">
        <v>107152</v>
      </c>
      <c r="Z326" s="288">
        <v>108663</v>
      </c>
      <c r="AA326" s="288">
        <v>106731</v>
      </c>
      <c r="AB326" s="284" t="s">
        <v>1839</v>
      </c>
      <c r="AC326" s="290">
        <v>4.1000000000000003E-3</v>
      </c>
      <c r="AE326" s="168"/>
      <c r="AF326" s="286"/>
      <c r="AG326" s="286"/>
      <c r="AH326" s="286"/>
      <c r="AI326" s="286"/>
      <c r="AJ326" s="284"/>
    </row>
    <row r="327" spans="1:36" x14ac:dyDescent="0.3">
      <c r="A327" s="167">
        <v>44985</v>
      </c>
      <c r="B327" s="171">
        <v>33.65</v>
      </c>
      <c r="C327" s="171">
        <v>36.880000000000003</v>
      </c>
      <c r="D327" s="171">
        <v>37.200000000000003</v>
      </c>
      <c r="E327" s="171">
        <v>33.65</v>
      </c>
      <c r="F327" s="171" t="s">
        <v>2320</v>
      </c>
      <c r="G327" s="283">
        <v>-9.0399999999999994E-2</v>
      </c>
      <c r="I327" s="167">
        <v>45001</v>
      </c>
      <c r="J327" s="285">
        <v>2677.99</v>
      </c>
      <c r="K327" s="285">
        <v>2637.27</v>
      </c>
      <c r="L327" s="285">
        <v>2679.55</v>
      </c>
      <c r="M327" s="285">
        <v>2625.13</v>
      </c>
      <c r="N327" s="283" t="s">
        <v>1634</v>
      </c>
      <c r="P327" s="167">
        <v>44995</v>
      </c>
      <c r="Q327" s="285">
        <v>5.2165999999999997</v>
      </c>
      <c r="R327" s="285">
        <v>5.165</v>
      </c>
      <c r="S327" s="285">
        <v>5.2215999999999996</v>
      </c>
      <c r="T327" s="285">
        <v>5.1509</v>
      </c>
      <c r="U327" s="283">
        <v>1.01E-2</v>
      </c>
      <c r="W327" s="167">
        <v>44979</v>
      </c>
      <c r="X327" s="287">
        <v>107152</v>
      </c>
      <c r="Y327" s="287">
        <v>109174</v>
      </c>
      <c r="Z327" s="287">
        <v>109174</v>
      </c>
      <c r="AA327" s="287">
        <v>106720</v>
      </c>
      <c r="AB327" s="283" t="s">
        <v>1471</v>
      </c>
      <c r="AC327" s="289">
        <v>-1.8499999999999999E-2</v>
      </c>
      <c r="AE327" s="167"/>
      <c r="AF327" s="285"/>
      <c r="AG327" s="285"/>
      <c r="AH327" s="285"/>
      <c r="AI327" s="285"/>
      <c r="AJ327" s="283"/>
    </row>
    <row r="328" spans="1:36" x14ac:dyDescent="0.3">
      <c r="A328" s="168">
        <v>44984</v>
      </c>
      <c r="B328" s="83">
        <v>36.99</v>
      </c>
      <c r="C328" s="83">
        <v>37.54</v>
      </c>
      <c r="D328" s="83">
        <v>37.909999999999997</v>
      </c>
      <c r="E328" s="83">
        <v>36.79</v>
      </c>
      <c r="F328" s="83" t="s">
        <v>1708</v>
      </c>
      <c r="G328" s="284">
        <v>-1.46E-2</v>
      </c>
      <c r="I328" s="168">
        <v>45000</v>
      </c>
      <c r="J328" s="286">
        <v>2638.46</v>
      </c>
      <c r="K328" s="286">
        <v>2675.07</v>
      </c>
      <c r="L328" s="286">
        <v>2678.67</v>
      </c>
      <c r="M328" s="286">
        <v>2612.5700000000002</v>
      </c>
      <c r="N328" s="284" t="s">
        <v>2217</v>
      </c>
      <c r="P328" s="168">
        <v>44994</v>
      </c>
      <c r="Q328" s="286">
        <v>5.1645000000000003</v>
      </c>
      <c r="R328" s="286">
        <v>5.1458000000000004</v>
      </c>
      <c r="S328" s="286">
        <v>5.1706000000000003</v>
      </c>
      <c r="T328" s="286">
        <v>5.1093000000000002</v>
      </c>
      <c r="U328" s="284">
        <v>3.7000000000000002E-3</v>
      </c>
      <c r="W328" s="168">
        <v>44974</v>
      </c>
      <c r="X328" s="288">
        <v>109177</v>
      </c>
      <c r="Y328" s="288">
        <v>109941</v>
      </c>
      <c r="Z328" s="288">
        <v>109941</v>
      </c>
      <c r="AA328" s="288">
        <v>108968</v>
      </c>
      <c r="AB328" s="284" t="s">
        <v>2096</v>
      </c>
      <c r="AC328" s="290">
        <v>-7.0000000000000001E-3</v>
      </c>
      <c r="AE328" s="168"/>
      <c r="AF328" s="286"/>
      <c r="AG328" s="286"/>
      <c r="AH328" s="286"/>
      <c r="AI328" s="286"/>
      <c r="AJ328" s="284"/>
    </row>
    <row r="329" spans="1:36" x14ac:dyDescent="0.3">
      <c r="A329" s="167">
        <v>44981</v>
      </c>
      <c r="B329" s="171">
        <v>37.54</v>
      </c>
      <c r="C329" s="171">
        <v>37.729999999999997</v>
      </c>
      <c r="D329" s="171">
        <v>38.19</v>
      </c>
      <c r="E329" s="171">
        <v>37.049999999999997</v>
      </c>
      <c r="F329" s="171" t="s">
        <v>2319</v>
      </c>
      <c r="G329" s="283">
        <v>3.5000000000000001E-3</v>
      </c>
      <c r="I329" s="167">
        <v>44999</v>
      </c>
      <c r="J329" s="285">
        <v>2674.36</v>
      </c>
      <c r="K329" s="285">
        <v>2643.01</v>
      </c>
      <c r="L329" s="285">
        <v>2684.03</v>
      </c>
      <c r="M329" s="285">
        <v>2633.4</v>
      </c>
      <c r="N329" s="283" t="s">
        <v>2318</v>
      </c>
      <c r="P329" s="167">
        <v>44993</v>
      </c>
      <c r="Q329" s="285">
        <v>5.1452999999999998</v>
      </c>
      <c r="R329" s="285">
        <v>5.1913</v>
      </c>
      <c r="S329" s="285">
        <v>5.1913</v>
      </c>
      <c r="T329" s="285">
        <v>5.1002999999999998</v>
      </c>
      <c r="U329" s="283">
        <v>-8.8000000000000005E-3</v>
      </c>
      <c r="W329" s="167">
        <v>44973</v>
      </c>
      <c r="X329" s="287">
        <v>109941</v>
      </c>
      <c r="Y329" s="287">
        <v>109599</v>
      </c>
      <c r="Z329" s="287">
        <v>110437</v>
      </c>
      <c r="AA329" s="287">
        <v>108378</v>
      </c>
      <c r="AB329" s="283" t="s">
        <v>2317</v>
      </c>
      <c r="AC329" s="289">
        <v>3.0999999999999999E-3</v>
      </c>
      <c r="AE329" s="167"/>
      <c r="AF329" s="285"/>
      <c r="AG329" s="285"/>
      <c r="AH329" s="285"/>
      <c r="AI329" s="285"/>
      <c r="AJ329" s="283"/>
    </row>
    <row r="330" spans="1:36" x14ac:dyDescent="0.3">
      <c r="A330" s="168">
        <v>44980</v>
      </c>
      <c r="B330" s="83">
        <v>37.409999999999997</v>
      </c>
      <c r="C330" s="83">
        <v>37.68</v>
      </c>
      <c r="D330" s="83">
        <v>38.630000000000003</v>
      </c>
      <c r="E330" s="83">
        <v>36.94</v>
      </c>
      <c r="F330" s="83" t="s">
        <v>2258</v>
      </c>
      <c r="G330" s="284">
        <v>-3.5000000000000001E-3</v>
      </c>
      <c r="I330" s="168">
        <v>44998</v>
      </c>
      <c r="J330" s="286">
        <v>2643.64</v>
      </c>
      <c r="K330" s="286">
        <v>2657.25</v>
      </c>
      <c r="L330" s="286">
        <v>2669.25</v>
      </c>
      <c r="M330" s="286">
        <v>2617.34</v>
      </c>
      <c r="N330" s="284" t="s">
        <v>2179</v>
      </c>
      <c r="P330" s="168">
        <v>44992</v>
      </c>
      <c r="Q330" s="286">
        <v>5.1909999999999998</v>
      </c>
      <c r="R330" s="286">
        <v>5.1539000000000001</v>
      </c>
      <c r="S330" s="286">
        <v>5.2058999999999997</v>
      </c>
      <c r="T330" s="286">
        <v>5.1521999999999997</v>
      </c>
      <c r="U330" s="284">
        <v>7.3000000000000001E-3</v>
      </c>
      <c r="W330" s="168">
        <v>44972</v>
      </c>
      <c r="X330" s="288">
        <v>109600</v>
      </c>
      <c r="Y330" s="288">
        <v>107849</v>
      </c>
      <c r="Z330" s="288">
        <v>110210</v>
      </c>
      <c r="AA330" s="288">
        <v>107267</v>
      </c>
      <c r="AB330" s="284" t="s">
        <v>2108</v>
      </c>
      <c r="AC330" s="290">
        <v>1.6199999999999999E-2</v>
      </c>
      <c r="AE330" s="168"/>
      <c r="AF330" s="286"/>
      <c r="AG330" s="286"/>
      <c r="AH330" s="286"/>
      <c r="AI330" s="286"/>
      <c r="AJ330" s="284"/>
    </row>
    <row r="331" spans="1:36" x14ac:dyDescent="0.3">
      <c r="A331" s="167">
        <v>44979</v>
      </c>
      <c r="B331" s="171">
        <v>37.54</v>
      </c>
      <c r="C331" s="171">
        <v>37.619999999999997</v>
      </c>
      <c r="D331" s="171">
        <v>37.619999999999997</v>
      </c>
      <c r="E331" s="171">
        <v>36.51</v>
      </c>
      <c r="F331" s="171" t="s">
        <v>1255</v>
      </c>
      <c r="G331" s="283">
        <v>-1.6E-2</v>
      </c>
      <c r="I331" s="167">
        <v>44995</v>
      </c>
      <c r="J331" s="285">
        <v>2657.41</v>
      </c>
      <c r="K331" s="285">
        <v>2691.23</v>
      </c>
      <c r="L331" s="285">
        <v>2691.26</v>
      </c>
      <c r="M331" s="285">
        <v>2646.5</v>
      </c>
      <c r="N331" s="283" t="s">
        <v>1743</v>
      </c>
      <c r="P331" s="167">
        <v>44991</v>
      </c>
      <c r="Q331" s="285">
        <v>5.1534000000000004</v>
      </c>
      <c r="R331" s="285">
        <v>5.1989999999999998</v>
      </c>
      <c r="S331" s="285">
        <v>5.2179000000000002</v>
      </c>
      <c r="T331" s="285">
        <v>5.1516000000000002</v>
      </c>
      <c r="U331" s="283">
        <v>-8.0999999999999996E-3</v>
      </c>
      <c r="W331" s="167">
        <v>44971</v>
      </c>
      <c r="X331" s="287">
        <v>107849</v>
      </c>
      <c r="Y331" s="287">
        <v>108839</v>
      </c>
      <c r="Z331" s="287">
        <v>109564</v>
      </c>
      <c r="AA331" s="287">
        <v>107557</v>
      </c>
      <c r="AB331" s="283" t="s">
        <v>2133</v>
      </c>
      <c r="AC331" s="289">
        <v>-9.1000000000000004E-3</v>
      </c>
      <c r="AE331" s="167"/>
      <c r="AF331" s="285"/>
      <c r="AG331" s="285"/>
      <c r="AH331" s="285"/>
      <c r="AI331" s="285"/>
      <c r="AJ331" s="283"/>
    </row>
    <row r="332" spans="1:36" x14ac:dyDescent="0.3">
      <c r="A332" s="168">
        <v>44974</v>
      </c>
      <c r="B332" s="83">
        <v>38.15</v>
      </c>
      <c r="C332" s="83">
        <v>39.630000000000003</v>
      </c>
      <c r="D332" s="83">
        <v>39.9</v>
      </c>
      <c r="E332" s="83">
        <v>37.92</v>
      </c>
      <c r="F332" s="83" t="s">
        <v>2209</v>
      </c>
      <c r="G332" s="284">
        <v>-5.0700000000000002E-2</v>
      </c>
      <c r="I332" s="168">
        <v>44994</v>
      </c>
      <c r="J332" s="286">
        <v>2691.17</v>
      </c>
      <c r="K332" s="286">
        <v>2724</v>
      </c>
      <c r="L332" s="286">
        <v>2741.18</v>
      </c>
      <c r="M332" s="286">
        <v>2686.95</v>
      </c>
      <c r="N332" s="284" t="s">
        <v>1743</v>
      </c>
      <c r="P332" s="168">
        <v>44988</v>
      </c>
      <c r="Q332" s="286">
        <v>5.1955999999999998</v>
      </c>
      <c r="R332" s="286">
        <v>5.2011000000000003</v>
      </c>
      <c r="S332" s="286">
        <v>5.2302</v>
      </c>
      <c r="T332" s="286">
        <v>5.1820000000000004</v>
      </c>
      <c r="U332" s="284">
        <v>-1E-3</v>
      </c>
      <c r="W332" s="168">
        <v>44970</v>
      </c>
      <c r="X332" s="288">
        <v>108836</v>
      </c>
      <c r="Y332" s="288">
        <v>108074</v>
      </c>
      <c r="Z332" s="288">
        <v>109193</v>
      </c>
      <c r="AA332" s="288">
        <v>107420</v>
      </c>
      <c r="AB332" s="284" t="s">
        <v>2316</v>
      </c>
      <c r="AC332" s="290">
        <v>7.0000000000000001E-3</v>
      </c>
      <c r="AE332" s="168"/>
      <c r="AF332" s="286"/>
      <c r="AG332" s="286"/>
      <c r="AH332" s="286"/>
      <c r="AI332" s="286"/>
      <c r="AJ332" s="284"/>
    </row>
    <row r="333" spans="1:36" x14ac:dyDescent="0.3">
      <c r="A333" s="167">
        <v>44973</v>
      </c>
      <c r="B333" s="171">
        <v>40.19</v>
      </c>
      <c r="C333" s="171">
        <v>40.299999999999997</v>
      </c>
      <c r="D333" s="171">
        <v>40.950000000000003</v>
      </c>
      <c r="E333" s="171">
        <v>39.86</v>
      </c>
      <c r="F333" s="171" t="s">
        <v>2315</v>
      </c>
      <c r="G333" s="283">
        <v>-1.5900000000000001E-2</v>
      </c>
      <c r="I333" s="167">
        <v>44993</v>
      </c>
      <c r="J333" s="285">
        <v>2725.23</v>
      </c>
      <c r="K333" s="285">
        <v>2722.23</v>
      </c>
      <c r="L333" s="285">
        <v>2731.78</v>
      </c>
      <c r="M333" s="285">
        <v>2713.63</v>
      </c>
      <c r="N333" s="283" t="s">
        <v>1514</v>
      </c>
      <c r="P333" s="167">
        <v>44987</v>
      </c>
      <c r="Q333" s="285">
        <v>5.2005999999999997</v>
      </c>
      <c r="R333" s="285">
        <v>5.1795999999999998</v>
      </c>
      <c r="S333" s="285">
        <v>5.2287999999999997</v>
      </c>
      <c r="T333" s="285">
        <v>5.1795</v>
      </c>
      <c r="U333" s="283">
        <v>4.1000000000000003E-3</v>
      </c>
      <c r="W333" s="167">
        <v>44967</v>
      </c>
      <c r="X333" s="287">
        <v>108078</v>
      </c>
      <c r="Y333" s="287">
        <v>108002</v>
      </c>
      <c r="Z333" s="287">
        <v>108647</v>
      </c>
      <c r="AA333" s="287">
        <v>107620</v>
      </c>
      <c r="AB333" s="283" t="s">
        <v>2282</v>
      </c>
      <c r="AC333" s="289">
        <v>6.9999999999999999E-4</v>
      </c>
      <c r="AE333" s="167"/>
      <c r="AF333" s="285"/>
      <c r="AG333" s="285"/>
      <c r="AH333" s="285"/>
      <c r="AI333" s="285"/>
      <c r="AJ333" s="283"/>
    </row>
    <row r="334" spans="1:36" x14ac:dyDescent="0.3">
      <c r="A334" s="168">
        <v>44972</v>
      </c>
      <c r="B334" s="83">
        <v>40.83</v>
      </c>
      <c r="C334" s="83">
        <v>40.54</v>
      </c>
      <c r="D334" s="83">
        <v>41.21</v>
      </c>
      <c r="E334" s="83">
        <v>40.19</v>
      </c>
      <c r="F334" s="83" t="s">
        <v>2314</v>
      </c>
      <c r="G334" s="284">
        <v>1E-3</v>
      </c>
      <c r="I334" s="168">
        <v>44992</v>
      </c>
      <c r="J334" s="286">
        <v>2724.8</v>
      </c>
      <c r="K334" s="286">
        <v>2764.52</v>
      </c>
      <c r="L334" s="286">
        <v>2766.88</v>
      </c>
      <c r="M334" s="286">
        <v>2719.33</v>
      </c>
      <c r="N334" s="284" t="s">
        <v>2313</v>
      </c>
      <c r="P334" s="168">
        <v>44986</v>
      </c>
      <c r="Q334" s="286">
        <v>5.1794000000000002</v>
      </c>
      <c r="R334" s="286">
        <v>5.2369000000000003</v>
      </c>
      <c r="S334" s="286">
        <v>5.2369000000000003</v>
      </c>
      <c r="T334" s="286">
        <v>5.1746999999999996</v>
      </c>
      <c r="U334" s="284">
        <v>-1.09E-2</v>
      </c>
      <c r="W334" s="168">
        <v>44966</v>
      </c>
      <c r="X334" s="288">
        <v>108008</v>
      </c>
      <c r="Y334" s="288">
        <v>109952</v>
      </c>
      <c r="Z334" s="288">
        <v>110046</v>
      </c>
      <c r="AA334" s="288">
        <v>107767</v>
      </c>
      <c r="AB334" s="284" t="s">
        <v>2310</v>
      </c>
      <c r="AC334" s="290">
        <v>-1.77E-2</v>
      </c>
      <c r="AE334" s="168"/>
      <c r="AF334" s="286"/>
      <c r="AG334" s="286"/>
      <c r="AH334" s="286"/>
      <c r="AI334" s="286"/>
      <c r="AJ334" s="284"/>
    </row>
    <row r="335" spans="1:36" x14ac:dyDescent="0.3">
      <c r="A335" s="167">
        <v>44971</v>
      </c>
      <c r="B335" s="171">
        <v>40.79</v>
      </c>
      <c r="C335" s="171">
        <v>41.73</v>
      </c>
      <c r="D335" s="171">
        <v>41.9</v>
      </c>
      <c r="E335" s="171">
        <v>40.340000000000003</v>
      </c>
      <c r="F335" s="171" t="s">
        <v>2312</v>
      </c>
      <c r="G335" s="283">
        <v>-2.81E-2</v>
      </c>
      <c r="I335" s="167">
        <v>44991</v>
      </c>
      <c r="J335" s="285">
        <v>2764.64</v>
      </c>
      <c r="K335" s="285">
        <v>2761.77</v>
      </c>
      <c r="L335" s="285">
        <v>2780.22</v>
      </c>
      <c r="M335" s="285">
        <v>2760.75</v>
      </c>
      <c r="N335" s="283" t="s">
        <v>1298</v>
      </c>
      <c r="P335" s="167">
        <v>44985</v>
      </c>
      <c r="Q335" s="285">
        <v>5.2366999999999999</v>
      </c>
      <c r="R335" s="285">
        <v>5.2012999999999998</v>
      </c>
      <c r="S335" s="285">
        <v>5.2519</v>
      </c>
      <c r="T335" s="285">
        <v>5.1787999999999998</v>
      </c>
      <c r="U335" s="283">
        <v>6.8999999999999999E-3</v>
      </c>
      <c r="W335" s="167">
        <v>44965</v>
      </c>
      <c r="X335" s="287">
        <v>109951</v>
      </c>
      <c r="Y335" s="287">
        <v>107832</v>
      </c>
      <c r="Z335" s="287">
        <v>110175</v>
      </c>
      <c r="AA335" s="287">
        <v>107830</v>
      </c>
      <c r="AB335" s="283" t="s">
        <v>2047</v>
      </c>
      <c r="AC335" s="289">
        <v>1.9699999999999999E-2</v>
      </c>
      <c r="AE335" s="167"/>
      <c r="AF335" s="285"/>
      <c r="AG335" s="285"/>
      <c r="AH335" s="285"/>
      <c r="AI335" s="285"/>
      <c r="AJ335" s="283"/>
    </row>
    <row r="336" spans="1:36" x14ac:dyDescent="0.3">
      <c r="A336" s="168">
        <v>44970</v>
      </c>
      <c r="B336" s="83">
        <v>41.97</v>
      </c>
      <c r="C336" s="83">
        <v>42.53</v>
      </c>
      <c r="D336" s="83">
        <v>42.83</v>
      </c>
      <c r="E336" s="83">
        <v>41.67</v>
      </c>
      <c r="F336" s="83" t="s">
        <v>1524</v>
      </c>
      <c r="G336" s="284">
        <v>-1.66E-2</v>
      </c>
      <c r="I336" s="168">
        <v>44988</v>
      </c>
      <c r="J336" s="286">
        <v>2757.97</v>
      </c>
      <c r="K336" s="286">
        <v>2719.33</v>
      </c>
      <c r="L336" s="286">
        <v>2762.79</v>
      </c>
      <c r="M336" s="286">
        <v>2719.33</v>
      </c>
      <c r="N336" s="284" t="s">
        <v>2311</v>
      </c>
      <c r="P336" s="168">
        <v>44984</v>
      </c>
      <c r="Q336" s="286">
        <v>5.2008000000000001</v>
      </c>
      <c r="R336" s="286">
        <v>5.2070999999999996</v>
      </c>
      <c r="S336" s="286">
        <v>5.2134</v>
      </c>
      <c r="T336" s="286">
        <v>5.1706000000000003</v>
      </c>
      <c r="U336" s="284">
        <v>-1.8E-3</v>
      </c>
      <c r="W336" s="168">
        <v>44964</v>
      </c>
      <c r="X336" s="288">
        <v>107830</v>
      </c>
      <c r="Y336" s="288">
        <v>108727</v>
      </c>
      <c r="Z336" s="288">
        <v>109037</v>
      </c>
      <c r="AA336" s="288">
        <v>107234</v>
      </c>
      <c r="AB336" s="284" t="s">
        <v>2310</v>
      </c>
      <c r="AC336" s="290">
        <v>-8.2000000000000007E-3</v>
      </c>
      <c r="AE336" s="168"/>
      <c r="AF336" s="286"/>
      <c r="AG336" s="286"/>
      <c r="AH336" s="286"/>
      <c r="AI336" s="286"/>
      <c r="AJ336" s="284"/>
    </row>
    <row r="337" spans="1:36" x14ac:dyDescent="0.3">
      <c r="A337" s="167">
        <v>44967</v>
      </c>
      <c r="B337" s="171">
        <v>42.68</v>
      </c>
      <c r="C337" s="171">
        <v>42.23</v>
      </c>
      <c r="D337" s="171">
        <v>43.1</v>
      </c>
      <c r="E337" s="171">
        <v>42.09</v>
      </c>
      <c r="F337" s="171" t="s">
        <v>2309</v>
      </c>
      <c r="G337" s="283">
        <v>1.8800000000000001E-2</v>
      </c>
      <c r="I337" s="167">
        <v>44987</v>
      </c>
      <c r="J337" s="285">
        <v>2719.68</v>
      </c>
      <c r="K337" s="285">
        <v>2707.46</v>
      </c>
      <c r="L337" s="285">
        <v>2724.01</v>
      </c>
      <c r="M337" s="285">
        <v>2690.32</v>
      </c>
      <c r="N337" s="283" t="s">
        <v>1278</v>
      </c>
      <c r="P337" s="167">
        <v>44981</v>
      </c>
      <c r="Q337" s="285">
        <v>5.21</v>
      </c>
      <c r="R337" s="285">
        <v>5.1378000000000004</v>
      </c>
      <c r="S337" s="285">
        <v>5.2144000000000004</v>
      </c>
      <c r="T337" s="285">
        <v>5.1349999999999998</v>
      </c>
      <c r="U337" s="283">
        <v>1.4200000000000001E-2</v>
      </c>
      <c r="W337" s="167">
        <v>44963</v>
      </c>
      <c r="X337" s="287">
        <v>108722</v>
      </c>
      <c r="Y337" s="287">
        <v>108518</v>
      </c>
      <c r="Z337" s="287">
        <v>108744</v>
      </c>
      <c r="AA337" s="287">
        <v>107416</v>
      </c>
      <c r="AB337" s="283" t="s">
        <v>1723</v>
      </c>
      <c r="AC337" s="289">
        <v>1.8E-3</v>
      </c>
      <c r="AE337" s="167"/>
      <c r="AF337" s="285"/>
      <c r="AG337" s="285"/>
      <c r="AH337" s="285"/>
      <c r="AI337" s="285"/>
      <c r="AJ337" s="283"/>
    </row>
    <row r="338" spans="1:36" x14ac:dyDescent="0.3">
      <c r="A338" s="168">
        <v>44966</v>
      </c>
      <c r="B338" s="83">
        <v>41.89</v>
      </c>
      <c r="C338" s="83">
        <v>42.47</v>
      </c>
      <c r="D338" s="83">
        <v>42.57</v>
      </c>
      <c r="E338" s="83">
        <v>41.67</v>
      </c>
      <c r="F338" s="83" t="s">
        <v>2308</v>
      </c>
      <c r="G338" s="284">
        <v>-1.3899999999999999E-2</v>
      </c>
      <c r="I338" s="168">
        <v>44986</v>
      </c>
      <c r="J338" s="286">
        <v>2706.79</v>
      </c>
      <c r="K338" s="286">
        <v>2712.39</v>
      </c>
      <c r="L338" s="286">
        <v>2722.51</v>
      </c>
      <c r="M338" s="286">
        <v>2699.9</v>
      </c>
      <c r="N338" s="284" t="s">
        <v>1443</v>
      </c>
      <c r="P338" s="168">
        <v>44980</v>
      </c>
      <c r="Q338" s="286">
        <v>5.1372999999999998</v>
      </c>
      <c r="R338" s="286">
        <v>5.1527000000000003</v>
      </c>
      <c r="S338" s="286">
        <v>5.1757999999999997</v>
      </c>
      <c r="T338" s="286">
        <v>5.1093000000000002</v>
      </c>
      <c r="U338" s="284">
        <v>-2.8999999999999998E-3</v>
      </c>
      <c r="W338" s="168">
        <v>44960</v>
      </c>
      <c r="X338" s="288">
        <v>108523</v>
      </c>
      <c r="Y338" s="288">
        <v>110141</v>
      </c>
      <c r="Z338" s="288">
        <v>110570</v>
      </c>
      <c r="AA338" s="288">
        <v>108185</v>
      </c>
      <c r="AB338" s="284" t="s">
        <v>2307</v>
      </c>
      <c r="AC338" s="290">
        <v>-1.47E-2</v>
      </c>
      <c r="AE338" s="168"/>
      <c r="AF338" s="286"/>
      <c r="AG338" s="286"/>
      <c r="AH338" s="286"/>
      <c r="AI338" s="286"/>
      <c r="AJ338" s="284"/>
    </row>
    <row r="339" spans="1:36" x14ac:dyDescent="0.3">
      <c r="A339" s="167">
        <v>44965</v>
      </c>
      <c r="B339" s="171">
        <v>42.48</v>
      </c>
      <c r="C339" s="171">
        <v>41.73</v>
      </c>
      <c r="D339" s="171">
        <v>42.5</v>
      </c>
      <c r="E339" s="171">
        <v>41.37</v>
      </c>
      <c r="F339" s="171" t="s">
        <v>1404</v>
      </c>
      <c r="G339" s="283">
        <v>2.2100000000000002E-2</v>
      </c>
      <c r="I339" s="167">
        <v>44985</v>
      </c>
      <c r="J339" s="285">
        <v>2714.57</v>
      </c>
      <c r="K339" s="285">
        <v>2722.42</v>
      </c>
      <c r="L339" s="285">
        <v>2727.11</v>
      </c>
      <c r="M339" s="285">
        <v>2711.84</v>
      </c>
      <c r="N339" s="283" t="s">
        <v>1602</v>
      </c>
      <c r="P339" s="167">
        <v>44979</v>
      </c>
      <c r="Q339" s="285">
        <v>5.1521999999999997</v>
      </c>
      <c r="R339" s="285">
        <v>5.1680000000000001</v>
      </c>
      <c r="S339" s="285">
        <v>5.2133000000000003</v>
      </c>
      <c r="T339" s="285">
        <v>5.1515000000000004</v>
      </c>
      <c r="U339" s="283">
        <v>-3.0000000000000001E-3</v>
      </c>
      <c r="W339" s="167">
        <v>44959</v>
      </c>
      <c r="X339" s="287">
        <v>110141</v>
      </c>
      <c r="Y339" s="287">
        <v>112072</v>
      </c>
      <c r="Z339" s="287">
        <v>112943</v>
      </c>
      <c r="AA339" s="287">
        <v>109747</v>
      </c>
      <c r="AB339" s="283" t="s">
        <v>2306</v>
      </c>
      <c r="AC339" s="289">
        <v>-1.72E-2</v>
      </c>
      <c r="AE339" s="167"/>
      <c r="AF339" s="285"/>
      <c r="AG339" s="285"/>
      <c r="AH339" s="285"/>
      <c r="AI339" s="285"/>
      <c r="AJ339" s="283"/>
    </row>
    <row r="340" spans="1:36" x14ac:dyDescent="0.3">
      <c r="A340" s="168">
        <v>44964</v>
      </c>
      <c r="B340" s="83">
        <v>41.56</v>
      </c>
      <c r="C340" s="83">
        <v>41.58</v>
      </c>
      <c r="D340" s="83">
        <v>41.8</v>
      </c>
      <c r="E340" s="83">
        <v>40.83</v>
      </c>
      <c r="F340" s="83" t="s">
        <v>2305</v>
      </c>
      <c r="G340" s="284">
        <v>1.04E-2</v>
      </c>
      <c r="I340" s="168">
        <v>44984</v>
      </c>
      <c r="J340" s="286">
        <v>2721.63</v>
      </c>
      <c r="K340" s="286">
        <v>2707.03</v>
      </c>
      <c r="L340" s="286">
        <v>2740.41</v>
      </c>
      <c r="M340" s="286">
        <v>2705.6</v>
      </c>
      <c r="N340" s="284" t="s">
        <v>1612</v>
      </c>
      <c r="P340" s="168">
        <v>44978</v>
      </c>
      <c r="Q340" s="286">
        <v>5.1675000000000004</v>
      </c>
      <c r="R340" s="286">
        <v>5.1679000000000004</v>
      </c>
      <c r="S340" s="286">
        <v>5.1680000000000001</v>
      </c>
      <c r="T340" s="286">
        <v>5.1654999999999998</v>
      </c>
      <c r="U340" s="284">
        <v>0</v>
      </c>
      <c r="W340" s="168">
        <v>44958</v>
      </c>
      <c r="X340" s="288">
        <v>112074</v>
      </c>
      <c r="Y340" s="288">
        <v>113430</v>
      </c>
      <c r="Z340" s="288">
        <v>113598</v>
      </c>
      <c r="AA340" s="288">
        <v>110729</v>
      </c>
      <c r="AB340" s="284" t="s">
        <v>2304</v>
      </c>
      <c r="AC340" s="290">
        <v>-1.2E-2</v>
      </c>
      <c r="AE340" s="168"/>
      <c r="AF340" s="286"/>
      <c r="AG340" s="286"/>
      <c r="AH340" s="286"/>
      <c r="AI340" s="286"/>
      <c r="AJ340" s="284"/>
    </row>
    <row r="341" spans="1:36" x14ac:dyDescent="0.3">
      <c r="A341" s="167">
        <v>44963</v>
      </c>
      <c r="B341" s="171">
        <v>41.13</v>
      </c>
      <c r="C341" s="171">
        <v>40.130000000000003</v>
      </c>
      <c r="D341" s="171">
        <v>41.32</v>
      </c>
      <c r="E341" s="171">
        <v>40.06</v>
      </c>
      <c r="F341" s="171" t="s">
        <v>2303</v>
      </c>
      <c r="G341" s="283">
        <v>2.5600000000000001E-2</v>
      </c>
      <c r="I341" s="167">
        <v>44981</v>
      </c>
      <c r="J341" s="285">
        <v>2706.91</v>
      </c>
      <c r="K341" s="285">
        <v>2737.48</v>
      </c>
      <c r="L341" s="285">
        <v>2740.32</v>
      </c>
      <c r="M341" s="285">
        <v>2693.98</v>
      </c>
      <c r="N341" s="283" t="s">
        <v>2302</v>
      </c>
      <c r="P341" s="167">
        <v>44977</v>
      </c>
      <c r="Q341" s="285">
        <v>5.1673999999999998</v>
      </c>
      <c r="R341" s="285">
        <v>5.1679000000000004</v>
      </c>
      <c r="S341" s="285">
        <v>5.1679000000000004</v>
      </c>
      <c r="T341" s="285">
        <v>5.1679000000000004</v>
      </c>
      <c r="U341" s="283">
        <v>0</v>
      </c>
      <c r="W341" s="167">
        <v>44957</v>
      </c>
      <c r="X341" s="287">
        <v>113431</v>
      </c>
      <c r="Y341" s="287">
        <v>112273</v>
      </c>
      <c r="Z341" s="287">
        <v>113691</v>
      </c>
      <c r="AA341" s="287">
        <v>112145</v>
      </c>
      <c r="AB341" s="283" t="s">
        <v>2301</v>
      </c>
      <c r="AC341" s="289">
        <v>1.03E-2</v>
      </c>
      <c r="AE341" s="167"/>
      <c r="AF341" s="285"/>
      <c r="AG341" s="285"/>
      <c r="AH341" s="285"/>
      <c r="AI341" s="285"/>
      <c r="AJ341" s="283"/>
    </row>
    <row r="342" spans="1:36" x14ac:dyDescent="0.3">
      <c r="A342" s="168">
        <v>44960</v>
      </c>
      <c r="B342" s="83">
        <v>40.11</v>
      </c>
      <c r="C342" s="83">
        <v>40.24</v>
      </c>
      <c r="D342" s="83">
        <v>41.34</v>
      </c>
      <c r="E342" s="83">
        <v>39.590000000000003</v>
      </c>
      <c r="F342" s="83" t="s">
        <v>2300</v>
      </c>
      <c r="G342" s="284">
        <v>3.0000000000000001E-3</v>
      </c>
      <c r="I342" s="168">
        <v>44980</v>
      </c>
      <c r="J342" s="286">
        <v>2737.41</v>
      </c>
      <c r="K342" s="286">
        <v>2729.43</v>
      </c>
      <c r="L342" s="286">
        <v>2748.7</v>
      </c>
      <c r="M342" s="286">
        <v>2715.26</v>
      </c>
      <c r="N342" s="284" t="s">
        <v>1298</v>
      </c>
      <c r="P342" s="168">
        <v>44974</v>
      </c>
      <c r="Q342" s="286">
        <v>5.1673999999999998</v>
      </c>
      <c r="R342" s="286">
        <v>5.2180999999999997</v>
      </c>
      <c r="S342" s="286">
        <v>5.2538</v>
      </c>
      <c r="T342" s="286">
        <v>5.1496000000000004</v>
      </c>
      <c r="U342" s="284">
        <v>-9.7000000000000003E-3</v>
      </c>
      <c r="W342" s="168">
        <v>44956</v>
      </c>
      <c r="X342" s="288">
        <v>112273</v>
      </c>
      <c r="Y342" s="288">
        <v>112319</v>
      </c>
      <c r="Z342" s="288">
        <v>112920</v>
      </c>
      <c r="AA342" s="288">
        <v>111824</v>
      </c>
      <c r="AB342" s="284" t="s">
        <v>2299</v>
      </c>
      <c r="AC342" s="290">
        <v>-4.0000000000000002E-4</v>
      </c>
      <c r="AE342" s="168"/>
      <c r="AF342" s="286"/>
      <c r="AG342" s="286"/>
      <c r="AH342" s="286"/>
      <c r="AI342" s="286"/>
      <c r="AJ342" s="284"/>
    </row>
    <row r="343" spans="1:36" x14ac:dyDescent="0.3">
      <c r="A343" s="167">
        <v>44959</v>
      </c>
      <c r="B343" s="171">
        <v>39.99</v>
      </c>
      <c r="C343" s="171">
        <v>40.619999999999997</v>
      </c>
      <c r="D343" s="171">
        <v>41.69</v>
      </c>
      <c r="E343" s="171">
        <v>39.5</v>
      </c>
      <c r="F343" s="171" t="s">
        <v>1435</v>
      </c>
      <c r="G343" s="283">
        <v>-2.5499999999999998E-2</v>
      </c>
      <c r="I343" s="167">
        <v>44979</v>
      </c>
      <c r="J343" s="285">
        <v>2730.88</v>
      </c>
      <c r="K343" s="285">
        <v>2736.61</v>
      </c>
      <c r="L343" s="285">
        <v>2743.28</v>
      </c>
      <c r="M343" s="285">
        <v>2722.61</v>
      </c>
      <c r="N343" s="283" t="s">
        <v>1578</v>
      </c>
      <c r="P343" s="167">
        <v>44973</v>
      </c>
      <c r="Q343" s="285">
        <v>5.2178000000000004</v>
      </c>
      <c r="R343" s="285">
        <v>5.2195</v>
      </c>
      <c r="S343" s="285">
        <v>5.2603</v>
      </c>
      <c r="T343" s="285">
        <v>5.1961000000000004</v>
      </c>
      <c r="U343" s="283">
        <v>-2.0000000000000001E-4</v>
      </c>
      <c r="W343" s="167">
        <v>44953</v>
      </c>
      <c r="X343" s="287">
        <v>112316</v>
      </c>
      <c r="Y343" s="287">
        <v>114178</v>
      </c>
      <c r="Z343" s="287">
        <v>114191</v>
      </c>
      <c r="AA343" s="287">
        <v>112044</v>
      </c>
      <c r="AB343" s="283" t="s">
        <v>2234</v>
      </c>
      <c r="AC343" s="289">
        <v>-1.6299999999999999E-2</v>
      </c>
      <c r="AE343" s="167"/>
      <c r="AF343" s="285"/>
      <c r="AG343" s="285"/>
      <c r="AH343" s="285"/>
      <c r="AI343" s="285"/>
      <c r="AJ343" s="283"/>
    </row>
    <row r="344" spans="1:36" x14ac:dyDescent="0.3">
      <c r="A344" s="168">
        <v>44958</v>
      </c>
      <c r="B344" s="83">
        <v>41.03</v>
      </c>
      <c r="C344" s="83">
        <v>42.16</v>
      </c>
      <c r="D344" s="83">
        <v>42.32</v>
      </c>
      <c r="E344" s="83">
        <v>40.479999999999997</v>
      </c>
      <c r="F344" s="83" t="s">
        <v>2298</v>
      </c>
      <c r="G344" s="284">
        <v>-2.3800000000000002E-2</v>
      </c>
      <c r="I344" s="168">
        <v>44978</v>
      </c>
      <c r="J344" s="286">
        <v>2740.38</v>
      </c>
      <c r="K344" s="286">
        <v>2782.14</v>
      </c>
      <c r="L344" s="286">
        <v>2782.76</v>
      </c>
      <c r="M344" s="286">
        <v>2736.77</v>
      </c>
      <c r="N344" s="284" t="s">
        <v>2141</v>
      </c>
      <c r="P344" s="168">
        <v>44972</v>
      </c>
      <c r="Q344" s="286">
        <v>5.2190000000000003</v>
      </c>
      <c r="R344" s="286">
        <v>5.1927000000000003</v>
      </c>
      <c r="S344" s="286">
        <v>5.2405999999999997</v>
      </c>
      <c r="T344" s="286">
        <v>5.1897000000000002</v>
      </c>
      <c r="U344" s="284">
        <v>5.1000000000000004E-3</v>
      </c>
      <c r="W344" s="168">
        <v>44952</v>
      </c>
      <c r="X344" s="288">
        <v>114178</v>
      </c>
      <c r="Y344" s="288">
        <v>114271</v>
      </c>
      <c r="Z344" s="288">
        <v>114835</v>
      </c>
      <c r="AA344" s="288">
        <v>113591</v>
      </c>
      <c r="AB344" s="284" t="s">
        <v>2297</v>
      </c>
      <c r="AC344" s="290">
        <v>-8.0000000000000004E-4</v>
      </c>
      <c r="AE344" s="168"/>
      <c r="AF344" s="286"/>
      <c r="AG344" s="286"/>
      <c r="AH344" s="286"/>
      <c r="AI344" s="286"/>
      <c r="AJ344" s="284"/>
    </row>
    <row r="345" spans="1:36" x14ac:dyDescent="0.3">
      <c r="A345" s="167">
        <v>44957</v>
      </c>
      <c r="B345" s="171">
        <v>42.03</v>
      </c>
      <c r="C345" s="171">
        <v>41.22</v>
      </c>
      <c r="D345" s="171">
        <v>42.63</v>
      </c>
      <c r="E345" s="171">
        <v>40.89</v>
      </c>
      <c r="F345" s="171" t="s">
        <v>1311</v>
      </c>
      <c r="G345" s="283">
        <v>1.4500000000000001E-2</v>
      </c>
      <c r="I345" s="167">
        <v>44977</v>
      </c>
      <c r="J345" s="285">
        <v>2783.26</v>
      </c>
      <c r="K345" s="285">
        <v>2781.45</v>
      </c>
      <c r="L345" s="285">
        <v>2785.34</v>
      </c>
      <c r="M345" s="285">
        <v>2780.41</v>
      </c>
      <c r="N345" s="283" t="s">
        <v>1426</v>
      </c>
      <c r="P345" s="167">
        <v>44971</v>
      </c>
      <c r="Q345" s="285">
        <v>5.1923000000000004</v>
      </c>
      <c r="R345" s="285">
        <v>5.16</v>
      </c>
      <c r="S345" s="285">
        <v>5.2291999999999996</v>
      </c>
      <c r="T345" s="285">
        <v>5.1280999999999999</v>
      </c>
      <c r="U345" s="283">
        <v>6.3E-3</v>
      </c>
      <c r="W345" s="167">
        <v>44951</v>
      </c>
      <c r="X345" s="287">
        <v>114270</v>
      </c>
      <c r="Y345" s="287">
        <v>113028</v>
      </c>
      <c r="Z345" s="287">
        <v>114426</v>
      </c>
      <c r="AA345" s="287">
        <v>111927</v>
      </c>
      <c r="AB345" s="283" t="s">
        <v>1963</v>
      </c>
      <c r="AC345" s="289">
        <v>1.0999999999999999E-2</v>
      </c>
      <c r="AE345" s="167"/>
      <c r="AF345" s="285"/>
      <c r="AG345" s="285"/>
      <c r="AH345" s="285"/>
      <c r="AI345" s="285"/>
      <c r="AJ345" s="283"/>
    </row>
    <row r="346" spans="1:36" x14ac:dyDescent="0.3">
      <c r="A346" s="168">
        <v>44956</v>
      </c>
      <c r="B346" s="83">
        <v>41.43</v>
      </c>
      <c r="C346" s="83">
        <v>41.78</v>
      </c>
      <c r="D346" s="83">
        <v>41.94</v>
      </c>
      <c r="E346" s="83">
        <v>40.950000000000003</v>
      </c>
      <c r="F346" s="83" t="s">
        <v>2296</v>
      </c>
      <c r="G346" s="284">
        <v>-6.8999999999999999E-3</v>
      </c>
      <c r="I346" s="168">
        <v>44974</v>
      </c>
      <c r="J346" s="286">
        <v>2779.88</v>
      </c>
      <c r="K346" s="286">
        <v>2790.54</v>
      </c>
      <c r="L346" s="286">
        <v>2790.54</v>
      </c>
      <c r="M346" s="286">
        <v>2763.85</v>
      </c>
      <c r="N346" s="284" t="s">
        <v>2295</v>
      </c>
      <c r="P346" s="168">
        <v>44970</v>
      </c>
      <c r="Q346" s="286">
        <v>5.1596000000000002</v>
      </c>
      <c r="R346" s="286">
        <v>5.2156000000000002</v>
      </c>
      <c r="S346" s="286">
        <v>5.2278000000000002</v>
      </c>
      <c r="T346" s="286">
        <v>5.157</v>
      </c>
      <c r="U346" s="284">
        <v>-1.06E-2</v>
      </c>
      <c r="W346" s="168">
        <v>44950</v>
      </c>
      <c r="X346" s="288">
        <v>113028</v>
      </c>
      <c r="Y346" s="288">
        <v>111746</v>
      </c>
      <c r="Z346" s="288">
        <v>113040</v>
      </c>
      <c r="AA346" s="288">
        <v>111669</v>
      </c>
      <c r="AB346" s="284" t="s">
        <v>2294</v>
      </c>
      <c r="AC346" s="290">
        <v>1.1599999999999999E-2</v>
      </c>
      <c r="AE346" s="168"/>
      <c r="AF346" s="286"/>
      <c r="AG346" s="286"/>
      <c r="AH346" s="286"/>
      <c r="AI346" s="286"/>
      <c r="AJ346" s="284"/>
    </row>
    <row r="347" spans="1:36" x14ac:dyDescent="0.3">
      <c r="A347" s="167">
        <v>44953</v>
      </c>
      <c r="B347" s="171">
        <v>41.72</v>
      </c>
      <c r="C347" s="171">
        <v>42.86</v>
      </c>
      <c r="D347" s="171">
        <v>43.72</v>
      </c>
      <c r="E347" s="171">
        <v>41.54</v>
      </c>
      <c r="F347" s="171" t="s">
        <v>1608</v>
      </c>
      <c r="G347" s="283">
        <v>-1.2999999999999999E-2</v>
      </c>
      <c r="I347" s="167">
        <v>44973</v>
      </c>
      <c r="J347" s="285">
        <v>2790.63</v>
      </c>
      <c r="K347" s="285">
        <v>2818.43</v>
      </c>
      <c r="L347" s="285">
        <v>2824.78</v>
      </c>
      <c r="M347" s="285">
        <v>2787.29</v>
      </c>
      <c r="N347" s="283" t="s">
        <v>1837</v>
      </c>
      <c r="P347" s="167">
        <v>44967</v>
      </c>
      <c r="Q347" s="285">
        <v>5.2150999999999996</v>
      </c>
      <c r="R347" s="285">
        <v>5.2915999999999999</v>
      </c>
      <c r="S347" s="285">
        <v>5.3091999999999997</v>
      </c>
      <c r="T347" s="285">
        <v>5.2091000000000003</v>
      </c>
      <c r="U347" s="283">
        <v>-1.44E-2</v>
      </c>
      <c r="W347" s="167">
        <v>44949</v>
      </c>
      <c r="X347" s="287">
        <v>111737</v>
      </c>
      <c r="Y347" s="287">
        <v>112041</v>
      </c>
      <c r="Z347" s="287">
        <v>113061</v>
      </c>
      <c r="AA347" s="287">
        <v>111542</v>
      </c>
      <c r="AB347" s="283" t="s">
        <v>1353</v>
      </c>
      <c r="AC347" s="289">
        <v>-2.7000000000000001E-3</v>
      </c>
      <c r="AE347" s="167"/>
      <c r="AF347" s="285"/>
      <c r="AG347" s="285"/>
      <c r="AH347" s="285"/>
      <c r="AI347" s="285"/>
      <c r="AJ347" s="283"/>
    </row>
    <row r="348" spans="1:36" x14ac:dyDescent="0.3">
      <c r="A348" s="168">
        <v>44952</v>
      </c>
      <c r="B348" s="83">
        <v>42.27</v>
      </c>
      <c r="C348" s="83">
        <v>42.18</v>
      </c>
      <c r="D348" s="83">
        <v>42.87</v>
      </c>
      <c r="E348" s="83">
        <v>42.01</v>
      </c>
      <c r="F348" s="83" t="s">
        <v>1513</v>
      </c>
      <c r="G348" s="284">
        <v>0.01</v>
      </c>
      <c r="I348" s="168">
        <v>44972</v>
      </c>
      <c r="J348" s="286">
        <v>2815.45</v>
      </c>
      <c r="K348" s="286">
        <v>2813.23</v>
      </c>
      <c r="L348" s="286">
        <v>2817.12</v>
      </c>
      <c r="M348" s="286">
        <v>2792.25</v>
      </c>
      <c r="N348" s="284" t="s">
        <v>1220</v>
      </c>
      <c r="P348" s="168">
        <v>44966</v>
      </c>
      <c r="Q348" s="286">
        <v>5.2911000000000001</v>
      </c>
      <c r="R348" s="286">
        <v>5.2012</v>
      </c>
      <c r="S348" s="286">
        <v>5.2934000000000001</v>
      </c>
      <c r="T348" s="286">
        <v>5.1721000000000004</v>
      </c>
      <c r="U348" s="284">
        <v>1.7399999999999999E-2</v>
      </c>
      <c r="W348" s="168">
        <v>44946</v>
      </c>
      <c r="X348" s="288">
        <v>112041</v>
      </c>
      <c r="Y348" s="288">
        <v>112922</v>
      </c>
      <c r="Z348" s="288">
        <v>113025</v>
      </c>
      <c r="AA348" s="288">
        <v>111735</v>
      </c>
      <c r="AB348" s="284" t="s">
        <v>2293</v>
      </c>
      <c r="AC348" s="290">
        <v>-7.7999999999999996E-3</v>
      </c>
      <c r="AE348" s="168"/>
      <c r="AF348" s="286"/>
      <c r="AG348" s="286"/>
      <c r="AH348" s="286"/>
      <c r="AI348" s="286"/>
      <c r="AJ348" s="284"/>
    </row>
    <row r="349" spans="1:36" x14ac:dyDescent="0.3">
      <c r="A349" s="167">
        <v>44951</v>
      </c>
      <c r="B349" s="171">
        <v>41.85</v>
      </c>
      <c r="C349" s="171">
        <v>40.909999999999997</v>
      </c>
      <c r="D349" s="171">
        <v>42.24</v>
      </c>
      <c r="E349" s="171">
        <v>40.29</v>
      </c>
      <c r="F349" s="171" t="s">
        <v>1317</v>
      </c>
      <c r="G349" s="283">
        <v>2.1700000000000001E-2</v>
      </c>
      <c r="I349" s="167">
        <v>44971</v>
      </c>
      <c r="J349" s="285">
        <v>2812.53</v>
      </c>
      <c r="K349" s="285">
        <v>2811.12</v>
      </c>
      <c r="L349" s="285">
        <v>2829.73</v>
      </c>
      <c r="M349" s="285">
        <v>2791.9</v>
      </c>
      <c r="N349" s="283" t="s">
        <v>2292</v>
      </c>
      <c r="P349" s="167">
        <v>44965</v>
      </c>
      <c r="Q349" s="285">
        <v>5.2007000000000003</v>
      </c>
      <c r="R349" s="285">
        <v>5.2106000000000003</v>
      </c>
      <c r="S349" s="285">
        <v>5.2458999999999998</v>
      </c>
      <c r="T349" s="285">
        <v>5.1658999999999997</v>
      </c>
      <c r="U349" s="283">
        <v>-1.8E-3</v>
      </c>
      <c r="W349" s="167">
        <v>44945</v>
      </c>
      <c r="X349" s="287">
        <v>112922</v>
      </c>
      <c r="Y349" s="287">
        <v>112219</v>
      </c>
      <c r="Z349" s="287">
        <v>113172</v>
      </c>
      <c r="AA349" s="287">
        <v>111307</v>
      </c>
      <c r="AB349" s="283" t="s">
        <v>2291</v>
      </c>
      <c r="AC349" s="289">
        <v>6.1999999999999998E-3</v>
      </c>
      <c r="AE349" s="167"/>
      <c r="AF349" s="285"/>
      <c r="AG349" s="285"/>
      <c r="AH349" s="285"/>
      <c r="AI349" s="285"/>
      <c r="AJ349" s="283"/>
    </row>
    <row r="350" spans="1:36" x14ac:dyDescent="0.3">
      <c r="A350" s="168">
        <v>44950</v>
      </c>
      <c r="B350" s="83">
        <v>40.96</v>
      </c>
      <c r="C350" s="83">
        <v>41.52</v>
      </c>
      <c r="D350" s="83">
        <v>41.86</v>
      </c>
      <c r="E350" s="83">
        <v>40.21</v>
      </c>
      <c r="F350" s="83" t="s">
        <v>2290</v>
      </c>
      <c r="G350" s="284">
        <v>-1.2800000000000001E-2</v>
      </c>
      <c r="I350" s="168">
        <v>44970</v>
      </c>
      <c r="J350" s="286">
        <v>2810.04</v>
      </c>
      <c r="K350" s="286">
        <v>2782.82</v>
      </c>
      <c r="L350" s="286">
        <v>2812.11</v>
      </c>
      <c r="M350" s="286">
        <v>2779.14</v>
      </c>
      <c r="N350" s="284" t="s">
        <v>2289</v>
      </c>
      <c r="P350" s="168">
        <v>44964</v>
      </c>
      <c r="Q350" s="286">
        <v>5.2100999999999997</v>
      </c>
      <c r="R350" s="286">
        <v>5.1481000000000003</v>
      </c>
      <c r="S350" s="286">
        <v>5.2183999999999999</v>
      </c>
      <c r="T350" s="286">
        <v>5.1326000000000001</v>
      </c>
      <c r="U350" s="284">
        <v>1.24E-2</v>
      </c>
      <c r="W350" s="168">
        <v>44944</v>
      </c>
      <c r="X350" s="288">
        <v>112228</v>
      </c>
      <c r="Y350" s="288">
        <v>111442</v>
      </c>
      <c r="Z350" s="288">
        <v>113306</v>
      </c>
      <c r="AA350" s="288">
        <v>111441</v>
      </c>
      <c r="AB350" s="284" t="s">
        <v>1642</v>
      </c>
      <c r="AC350" s="290">
        <v>7.1000000000000004E-3</v>
      </c>
      <c r="AE350" s="168"/>
      <c r="AF350" s="286"/>
      <c r="AG350" s="286"/>
      <c r="AH350" s="286"/>
      <c r="AI350" s="286"/>
      <c r="AJ350" s="284"/>
    </row>
    <row r="351" spans="1:36" x14ac:dyDescent="0.3">
      <c r="A351" s="167">
        <v>44949</v>
      </c>
      <c r="B351" s="171">
        <v>41.49</v>
      </c>
      <c r="C351" s="171">
        <v>41.24</v>
      </c>
      <c r="D351" s="171">
        <v>42.76</v>
      </c>
      <c r="E351" s="171">
        <v>40.9</v>
      </c>
      <c r="F351" s="171" t="s">
        <v>2288</v>
      </c>
      <c r="G351" s="283">
        <v>1.12E-2</v>
      </c>
      <c r="I351" s="167">
        <v>44967</v>
      </c>
      <c r="J351" s="285">
        <v>2783.91</v>
      </c>
      <c r="K351" s="285">
        <v>2787.09</v>
      </c>
      <c r="L351" s="285">
        <v>2789.25</v>
      </c>
      <c r="M351" s="285">
        <v>2769.13</v>
      </c>
      <c r="N351" s="283" t="s">
        <v>1467</v>
      </c>
      <c r="P351" s="167">
        <v>44963</v>
      </c>
      <c r="Q351" s="285">
        <v>5.1463999999999999</v>
      </c>
      <c r="R351" s="285">
        <v>5.1524999999999999</v>
      </c>
      <c r="S351" s="285">
        <v>5.2138</v>
      </c>
      <c r="T351" s="285">
        <v>5.1406999999999998</v>
      </c>
      <c r="U351" s="283">
        <v>-1.1000000000000001E-3</v>
      </c>
      <c r="W351" s="167">
        <v>44943</v>
      </c>
      <c r="X351" s="287">
        <v>111439</v>
      </c>
      <c r="Y351" s="287">
        <v>109214</v>
      </c>
      <c r="Z351" s="287">
        <v>111577</v>
      </c>
      <c r="AA351" s="287">
        <v>109214</v>
      </c>
      <c r="AB351" s="283" t="s">
        <v>2287</v>
      </c>
      <c r="AC351" s="289">
        <v>2.0400000000000001E-2</v>
      </c>
      <c r="AE351" s="167"/>
      <c r="AF351" s="285"/>
      <c r="AG351" s="285"/>
      <c r="AH351" s="285"/>
      <c r="AI351" s="285"/>
      <c r="AJ351" s="283"/>
    </row>
    <row r="352" spans="1:36" x14ac:dyDescent="0.3">
      <c r="A352" s="168">
        <v>44946</v>
      </c>
      <c r="B352" s="83">
        <v>41.03</v>
      </c>
      <c r="C352" s="83">
        <v>40.25</v>
      </c>
      <c r="D352" s="83">
        <v>41.42</v>
      </c>
      <c r="E352" s="83">
        <v>39.47</v>
      </c>
      <c r="F352" s="83" t="s">
        <v>2286</v>
      </c>
      <c r="G352" s="284">
        <v>1.43E-2</v>
      </c>
      <c r="I352" s="168">
        <v>44966</v>
      </c>
      <c r="J352" s="286">
        <v>2790.53</v>
      </c>
      <c r="K352" s="286">
        <v>2800.84</v>
      </c>
      <c r="L352" s="286">
        <v>2830.1</v>
      </c>
      <c r="M352" s="286">
        <v>2781.71</v>
      </c>
      <c r="N352" s="284" t="s">
        <v>2166</v>
      </c>
      <c r="P352" s="168">
        <v>44960</v>
      </c>
      <c r="Q352" s="286">
        <v>5.1521999999999997</v>
      </c>
      <c r="R352" s="286">
        <v>5.0509000000000004</v>
      </c>
      <c r="S352" s="286">
        <v>5.1589</v>
      </c>
      <c r="T352" s="286">
        <v>5.0509000000000004</v>
      </c>
      <c r="U352" s="284">
        <v>2.0199999999999999E-2</v>
      </c>
      <c r="W352" s="168">
        <v>44942</v>
      </c>
      <c r="X352" s="288">
        <v>109213</v>
      </c>
      <c r="Y352" s="288">
        <v>110908</v>
      </c>
      <c r="Z352" s="288">
        <v>110908</v>
      </c>
      <c r="AA352" s="288">
        <v>108753</v>
      </c>
      <c r="AB352" s="284" t="s">
        <v>1358</v>
      </c>
      <c r="AC352" s="290">
        <v>-1.54E-2</v>
      </c>
      <c r="AE352" s="168"/>
      <c r="AF352" s="286"/>
      <c r="AG352" s="286"/>
      <c r="AH352" s="286"/>
      <c r="AI352" s="286"/>
      <c r="AJ352" s="284"/>
    </row>
    <row r="353" spans="1:36" x14ac:dyDescent="0.3">
      <c r="A353" s="167">
        <v>44945</v>
      </c>
      <c r="B353" s="171">
        <v>40.46</v>
      </c>
      <c r="C353" s="171">
        <v>38.76</v>
      </c>
      <c r="D353" s="171">
        <v>40.47</v>
      </c>
      <c r="E353" s="171">
        <v>38.46</v>
      </c>
      <c r="F353" s="171" t="s">
        <v>2068</v>
      </c>
      <c r="G353" s="283">
        <v>3.9800000000000002E-2</v>
      </c>
      <c r="I353" s="167">
        <v>44965</v>
      </c>
      <c r="J353" s="285">
        <v>2801.96</v>
      </c>
      <c r="K353" s="285">
        <v>2823.42</v>
      </c>
      <c r="L353" s="285">
        <v>2830.54</v>
      </c>
      <c r="M353" s="285">
        <v>2798.57</v>
      </c>
      <c r="N353" s="283" t="s">
        <v>2285</v>
      </c>
      <c r="P353" s="167">
        <v>44959</v>
      </c>
      <c r="Q353" s="285">
        <v>5.0503999999999998</v>
      </c>
      <c r="R353" s="285">
        <v>5.0552000000000001</v>
      </c>
      <c r="S353" s="285">
        <v>5.0556999999999999</v>
      </c>
      <c r="T353" s="285">
        <v>4.9401000000000002</v>
      </c>
      <c r="U353" s="283">
        <v>-8.9999999999999998E-4</v>
      </c>
      <c r="W353" s="167">
        <v>44939</v>
      </c>
      <c r="X353" s="287">
        <v>110916</v>
      </c>
      <c r="Y353" s="287">
        <v>111843</v>
      </c>
      <c r="Z353" s="287">
        <v>111847</v>
      </c>
      <c r="AA353" s="287">
        <v>110428</v>
      </c>
      <c r="AB353" s="283" t="s">
        <v>1865</v>
      </c>
      <c r="AC353" s="289">
        <v>-8.3999999999999995E-3</v>
      </c>
      <c r="AE353" s="167"/>
      <c r="AF353" s="285"/>
      <c r="AG353" s="285"/>
      <c r="AH353" s="285"/>
      <c r="AI353" s="285"/>
      <c r="AJ353" s="283"/>
    </row>
    <row r="354" spans="1:36" x14ac:dyDescent="0.3">
      <c r="A354" s="168">
        <v>44944</v>
      </c>
      <c r="B354" s="83">
        <v>38.909999999999997</v>
      </c>
      <c r="C354" s="83">
        <v>39.15</v>
      </c>
      <c r="D354" s="83">
        <v>39.72</v>
      </c>
      <c r="E354" s="83">
        <v>38.86</v>
      </c>
      <c r="F354" s="83" t="s">
        <v>1375</v>
      </c>
      <c r="G354" s="284">
        <v>5.8999999999999999E-3</v>
      </c>
      <c r="I354" s="168">
        <v>44964</v>
      </c>
      <c r="J354" s="286">
        <v>2820.49</v>
      </c>
      <c r="K354" s="286">
        <v>2794.89</v>
      </c>
      <c r="L354" s="286">
        <v>2829.03</v>
      </c>
      <c r="M354" s="286">
        <v>2784.04</v>
      </c>
      <c r="N354" s="284" t="s">
        <v>1753</v>
      </c>
      <c r="P354" s="168">
        <v>44958</v>
      </c>
      <c r="Q354" s="286">
        <v>5.0547000000000004</v>
      </c>
      <c r="R354" s="286">
        <v>5.0735999999999999</v>
      </c>
      <c r="S354" s="286">
        <v>5.1130000000000004</v>
      </c>
      <c r="T354" s="286">
        <v>5.0426000000000002</v>
      </c>
      <c r="U354" s="284">
        <v>-3.5999999999999999E-3</v>
      </c>
      <c r="W354" s="168">
        <v>44938</v>
      </c>
      <c r="X354" s="288">
        <v>111850</v>
      </c>
      <c r="Y354" s="288">
        <v>112516</v>
      </c>
      <c r="Z354" s="288">
        <v>113129</v>
      </c>
      <c r="AA354" s="288">
        <v>110982</v>
      </c>
      <c r="AB354" s="284" t="s">
        <v>2284</v>
      </c>
      <c r="AC354" s="290">
        <v>-5.8999999999999999E-3</v>
      </c>
      <c r="AE354" s="168"/>
      <c r="AF354" s="286"/>
      <c r="AG354" s="286"/>
      <c r="AH354" s="286"/>
      <c r="AI354" s="286"/>
      <c r="AJ354" s="284"/>
    </row>
    <row r="355" spans="1:36" x14ac:dyDescent="0.3">
      <c r="A355" s="167">
        <v>44943</v>
      </c>
      <c r="B355" s="171">
        <v>38.68</v>
      </c>
      <c r="C355" s="171">
        <v>39.21</v>
      </c>
      <c r="D355" s="171">
        <v>39.79</v>
      </c>
      <c r="E355" s="171">
        <v>37.58</v>
      </c>
      <c r="F355" s="171" t="s">
        <v>2283</v>
      </c>
      <c r="G355" s="283">
        <v>-8.3999999999999995E-3</v>
      </c>
      <c r="I355" s="167">
        <v>44963</v>
      </c>
      <c r="J355" s="285">
        <v>2793.59</v>
      </c>
      <c r="K355" s="285">
        <v>2815.68</v>
      </c>
      <c r="L355" s="285">
        <v>2817.65</v>
      </c>
      <c r="M355" s="285">
        <v>2783.82</v>
      </c>
      <c r="N355" s="283" t="s">
        <v>1241</v>
      </c>
      <c r="P355" s="167">
        <v>44957</v>
      </c>
      <c r="Q355" s="285">
        <v>5.0731000000000002</v>
      </c>
      <c r="R355" s="285">
        <v>5.1166999999999998</v>
      </c>
      <c r="S355" s="285">
        <v>5.1417999999999999</v>
      </c>
      <c r="T355" s="285">
        <v>5.0702999999999996</v>
      </c>
      <c r="U355" s="283">
        <v>-8.3999999999999995E-3</v>
      </c>
      <c r="W355" s="167">
        <v>44937</v>
      </c>
      <c r="X355" s="287">
        <v>112517</v>
      </c>
      <c r="Y355" s="287">
        <v>110816</v>
      </c>
      <c r="Z355" s="287">
        <v>112552</v>
      </c>
      <c r="AA355" s="287">
        <v>110752</v>
      </c>
      <c r="AB355" s="283" t="s">
        <v>2282</v>
      </c>
      <c r="AC355" s="289">
        <v>1.5299999999999999E-2</v>
      </c>
      <c r="AE355" s="167"/>
      <c r="AF355" s="285"/>
      <c r="AG355" s="285"/>
      <c r="AH355" s="285"/>
      <c r="AI355" s="285"/>
      <c r="AJ355" s="283"/>
    </row>
    <row r="356" spans="1:36" x14ac:dyDescent="0.3">
      <c r="A356" s="168">
        <v>44942</v>
      </c>
      <c r="B356" s="83">
        <v>39.01</v>
      </c>
      <c r="C356" s="83">
        <v>38.71</v>
      </c>
      <c r="D356" s="83">
        <v>39.29</v>
      </c>
      <c r="E356" s="83">
        <v>38.619999999999997</v>
      </c>
      <c r="F356" s="83" t="s">
        <v>2281</v>
      </c>
      <c r="G356" s="284">
        <v>5.0000000000000001E-4</v>
      </c>
      <c r="I356" s="168">
        <v>44960</v>
      </c>
      <c r="J356" s="286">
        <v>2820.73</v>
      </c>
      <c r="K356" s="286">
        <v>2844.84</v>
      </c>
      <c r="L356" s="286">
        <v>2848.36</v>
      </c>
      <c r="M356" s="286">
        <v>2811.35</v>
      </c>
      <c r="N356" s="284" t="s">
        <v>2276</v>
      </c>
      <c r="P356" s="168">
        <v>44956</v>
      </c>
      <c r="Q356" s="286">
        <v>5.1162000000000001</v>
      </c>
      <c r="R356" s="286">
        <v>5.1064999999999996</v>
      </c>
      <c r="S356" s="286">
        <v>5.1338999999999997</v>
      </c>
      <c r="T356" s="286">
        <v>5.0827</v>
      </c>
      <c r="U356" s="284">
        <v>1.4E-3</v>
      </c>
      <c r="W356" s="168">
        <v>44936</v>
      </c>
      <c r="X356" s="288">
        <v>110817</v>
      </c>
      <c r="Y356" s="288">
        <v>109129</v>
      </c>
      <c r="Z356" s="288">
        <v>111193</v>
      </c>
      <c r="AA356" s="288">
        <v>108478</v>
      </c>
      <c r="AB356" s="284" t="s">
        <v>1353</v>
      </c>
      <c r="AC356" s="290">
        <v>1.55E-2</v>
      </c>
      <c r="AE356" s="168"/>
      <c r="AF356" s="286"/>
      <c r="AG356" s="286"/>
      <c r="AH356" s="286"/>
      <c r="AI356" s="286"/>
      <c r="AJ356" s="284"/>
    </row>
    <row r="357" spans="1:36" x14ac:dyDescent="0.3">
      <c r="A357" s="167">
        <v>44939</v>
      </c>
      <c r="B357" s="171">
        <v>38.99</v>
      </c>
      <c r="C357" s="171">
        <v>39.64</v>
      </c>
      <c r="D357" s="171">
        <v>39.69</v>
      </c>
      <c r="E357" s="171">
        <v>38.54</v>
      </c>
      <c r="F357" s="171" t="s">
        <v>2280</v>
      </c>
      <c r="G357" s="283">
        <v>-1.7600000000000001E-2</v>
      </c>
      <c r="I357" s="167">
        <v>44959</v>
      </c>
      <c r="J357" s="285">
        <v>2847.82</v>
      </c>
      <c r="K357" s="285">
        <v>2814.38</v>
      </c>
      <c r="L357" s="285">
        <v>2854.08</v>
      </c>
      <c r="M357" s="285">
        <v>2814.08</v>
      </c>
      <c r="N357" s="283" t="s">
        <v>2067</v>
      </c>
      <c r="P357" s="167">
        <v>44953</v>
      </c>
      <c r="Q357" s="285">
        <v>5.1089000000000002</v>
      </c>
      <c r="R357" s="285">
        <v>5.0663</v>
      </c>
      <c r="S357" s="285">
        <v>5.1173999999999999</v>
      </c>
      <c r="T357" s="285">
        <v>5.056</v>
      </c>
      <c r="U357" s="283">
        <v>8.5000000000000006E-3</v>
      </c>
      <c r="W357" s="167">
        <v>44935</v>
      </c>
      <c r="X357" s="287">
        <v>109130</v>
      </c>
      <c r="Y357" s="287">
        <v>108964</v>
      </c>
      <c r="Z357" s="287">
        <v>109938</v>
      </c>
      <c r="AA357" s="287">
        <v>108134</v>
      </c>
      <c r="AB357" s="283" t="s">
        <v>1886</v>
      </c>
      <c r="AC357" s="289">
        <v>1.5E-3</v>
      </c>
      <c r="AE357" s="167"/>
      <c r="AF357" s="285"/>
      <c r="AG357" s="285"/>
      <c r="AH357" s="285"/>
      <c r="AI357" s="285"/>
      <c r="AJ357" s="283"/>
    </row>
    <row r="358" spans="1:36" x14ac:dyDescent="0.3">
      <c r="A358" s="168">
        <v>44938</v>
      </c>
      <c r="B358" s="83">
        <v>39.69</v>
      </c>
      <c r="C358" s="83">
        <v>38.97</v>
      </c>
      <c r="D358" s="83">
        <v>39.74</v>
      </c>
      <c r="E358" s="83">
        <v>38.770000000000003</v>
      </c>
      <c r="F358" s="83" t="s">
        <v>2279</v>
      </c>
      <c r="G358" s="284">
        <v>1.8700000000000001E-2</v>
      </c>
      <c r="I358" s="168">
        <v>44958</v>
      </c>
      <c r="J358" s="286">
        <v>2809.94</v>
      </c>
      <c r="K358" s="286">
        <v>2785.75</v>
      </c>
      <c r="L358" s="286">
        <v>2828.89</v>
      </c>
      <c r="M358" s="286">
        <v>2767.39</v>
      </c>
      <c r="N358" s="284" t="s">
        <v>1803</v>
      </c>
      <c r="P358" s="168">
        <v>44952</v>
      </c>
      <c r="Q358" s="286">
        <v>5.0658000000000003</v>
      </c>
      <c r="R358" s="286">
        <v>5.0735999999999999</v>
      </c>
      <c r="S358" s="286">
        <v>5.12</v>
      </c>
      <c r="T358" s="286">
        <v>5.0585000000000004</v>
      </c>
      <c r="U358" s="284">
        <v>-1.5E-3</v>
      </c>
      <c r="W358" s="168">
        <v>44932</v>
      </c>
      <c r="X358" s="288">
        <v>108964</v>
      </c>
      <c r="Y358" s="288">
        <v>107642</v>
      </c>
      <c r="Z358" s="288">
        <v>109433</v>
      </c>
      <c r="AA358" s="288">
        <v>107642</v>
      </c>
      <c r="AB358" s="284" t="s">
        <v>2263</v>
      </c>
      <c r="AC358" s="290">
        <v>1.23E-2</v>
      </c>
      <c r="AE358" s="168"/>
      <c r="AF358" s="286"/>
      <c r="AG358" s="286"/>
      <c r="AH358" s="286"/>
      <c r="AI358" s="286"/>
      <c r="AJ358" s="284"/>
    </row>
    <row r="359" spans="1:36" x14ac:dyDescent="0.3">
      <c r="A359" s="167">
        <v>44937</v>
      </c>
      <c r="B359" s="171">
        <v>38.96</v>
      </c>
      <c r="C359" s="171">
        <v>36.46</v>
      </c>
      <c r="D359" s="171">
        <v>38.96</v>
      </c>
      <c r="E359" s="171">
        <v>36.380000000000003</v>
      </c>
      <c r="F359" s="171" t="s">
        <v>2278</v>
      </c>
      <c r="G359" s="283">
        <v>7.7600000000000002E-2</v>
      </c>
      <c r="I359" s="167">
        <v>44957</v>
      </c>
      <c r="J359" s="285">
        <v>2785</v>
      </c>
      <c r="K359" s="285">
        <v>2757.73</v>
      </c>
      <c r="L359" s="285">
        <v>2786.13</v>
      </c>
      <c r="M359" s="285">
        <v>2748.5</v>
      </c>
      <c r="N359" s="283" t="s">
        <v>1370</v>
      </c>
      <c r="P359" s="167">
        <v>44951</v>
      </c>
      <c r="Q359" s="285">
        <v>5.0734000000000004</v>
      </c>
      <c r="R359" s="285">
        <v>5.1397000000000004</v>
      </c>
      <c r="S359" s="285">
        <v>5.15</v>
      </c>
      <c r="T359" s="285">
        <v>5.0678999999999998</v>
      </c>
      <c r="U359" s="283">
        <v>-1.2800000000000001E-2</v>
      </c>
      <c r="W359" s="167">
        <v>44931</v>
      </c>
      <c r="X359" s="287">
        <v>107641</v>
      </c>
      <c r="Y359" s="287">
        <v>105336</v>
      </c>
      <c r="Z359" s="287">
        <v>107743</v>
      </c>
      <c r="AA359" s="287">
        <v>105333</v>
      </c>
      <c r="AB359" s="283" t="s">
        <v>1856</v>
      </c>
      <c r="AC359" s="289">
        <v>2.1899999999999999E-2</v>
      </c>
      <c r="AE359" s="167"/>
      <c r="AF359" s="285"/>
      <c r="AG359" s="285"/>
      <c r="AH359" s="285"/>
      <c r="AI359" s="285"/>
      <c r="AJ359" s="283"/>
    </row>
    <row r="360" spans="1:36" x14ac:dyDescent="0.3">
      <c r="A360" s="168">
        <v>44936</v>
      </c>
      <c r="B360" s="83">
        <v>36.15</v>
      </c>
      <c r="C360" s="83">
        <v>36.24</v>
      </c>
      <c r="D360" s="83">
        <v>36.31</v>
      </c>
      <c r="E360" s="83">
        <v>35.31</v>
      </c>
      <c r="F360" s="83" t="s">
        <v>2277</v>
      </c>
      <c r="G360" s="284">
        <v>5.5999999999999999E-3</v>
      </c>
      <c r="I360" s="168">
        <v>44956</v>
      </c>
      <c r="J360" s="286">
        <v>2759.32</v>
      </c>
      <c r="K360" s="286">
        <v>2787.68</v>
      </c>
      <c r="L360" s="286">
        <v>2788.19</v>
      </c>
      <c r="M360" s="286">
        <v>2756.21</v>
      </c>
      <c r="N360" s="284" t="s">
        <v>2276</v>
      </c>
      <c r="P360" s="168">
        <v>44950</v>
      </c>
      <c r="Q360" s="286">
        <v>5.1391999999999998</v>
      </c>
      <c r="R360" s="286">
        <v>5.2080000000000002</v>
      </c>
      <c r="S360" s="286">
        <v>5.2206999999999999</v>
      </c>
      <c r="T360" s="286">
        <v>5.1344000000000003</v>
      </c>
      <c r="U360" s="284">
        <v>-1.3100000000000001E-2</v>
      </c>
      <c r="W360" s="168">
        <v>44930</v>
      </c>
      <c r="X360" s="288">
        <v>105334</v>
      </c>
      <c r="Y360" s="288">
        <v>104167</v>
      </c>
      <c r="Z360" s="288">
        <v>105627</v>
      </c>
      <c r="AA360" s="288">
        <v>103915</v>
      </c>
      <c r="AB360" s="284" t="s">
        <v>2275</v>
      </c>
      <c r="AC360" s="290">
        <v>1.12E-2</v>
      </c>
      <c r="AE360" s="168"/>
      <c r="AF360" s="286"/>
      <c r="AG360" s="286"/>
      <c r="AH360" s="286"/>
      <c r="AI360" s="286"/>
      <c r="AJ360" s="284"/>
    </row>
    <row r="361" spans="1:36" x14ac:dyDescent="0.3">
      <c r="A361" s="167">
        <v>44935</v>
      </c>
      <c r="B361" s="171">
        <v>35.950000000000003</v>
      </c>
      <c r="C361" s="171">
        <v>35.78</v>
      </c>
      <c r="D361" s="171">
        <v>36.590000000000003</v>
      </c>
      <c r="E361" s="171">
        <v>35.57</v>
      </c>
      <c r="F361" s="171" t="s">
        <v>2274</v>
      </c>
      <c r="G361" s="283">
        <v>2.3599999999999999E-2</v>
      </c>
      <c r="I361" s="167">
        <v>44953</v>
      </c>
      <c r="J361" s="285">
        <v>2785.84</v>
      </c>
      <c r="K361" s="285">
        <v>2780.6</v>
      </c>
      <c r="L361" s="285">
        <v>2798.64</v>
      </c>
      <c r="M361" s="285">
        <v>2773.46</v>
      </c>
      <c r="N361" s="283" t="s">
        <v>1537</v>
      </c>
      <c r="P361" s="167">
        <v>44949</v>
      </c>
      <c r="Q361" s="285">
        <v>5.2076000000000002</v>
      </c>
      <c r="R361" s="285">
        <v>5.2079000000000004</v>
      </c>
      <c r="S361" s="285">
        <v>5.2206999999999999</v>
      </c>
      <c r="T361" s="285">
        <v>5.1634000000000002</v>
      </c>
      <c r="U361" s="283">
        <v>0</v>
      </c>
      <c r="W361" s="167">
        <v>44929</v>
      </c>
      <c r="X361" s="287">
        <v>104166</v>
      </c>
      <c r="Y361" s="287">
        <v>106377</v>
      </c>
      <c r="Z361" s="287">
        <v>106684</v>
      </c>
      <c r="AA361" s="287">
        <v>103852</v>
      </c>
      <c r="AB361" s="283" t="s">
        <v>2273</v>
      </c>
      <c r="AC361" s="289">
        <v>-2.0799999999999999E-2</v>
      </c>
      <c r="AE361" s="167"/>
      <c r="AF361" s="285"/>
      <c r="AG361" s="285"/>
      <c r="AH361" s="285"/>
      <c r="AI361" s="285"/>
      <c r="AJ361" s="283"/>
    </row>
    <row r="362" spans="1:36" x14ac:dyDescent="0.3">
      <c r="A362" s="168">
        <v>44932</v>
      </c>
      <c r="B362" s="83">
        <v>35.119999999999997</v>
      </c>
      <c r="C362" s="83">
        <v>34.159999999999997</v>
      </c>
      <c r="D362" s="83">
        <v>35.35</v>
      </c>
      <c r="E362" s="83">
        <v>33.85</v>
      </c>
      <c r="F362" s="83" t="s">
        <v>2272</v>
      </c>
      <c r="G362" s="284">
        <v>6.0000000000000001E-3</v>
      </c>
      <c r="I362" s="168">
        <v>44952</v>
      </c>
      <c r="J362" s="286">
        <v>2777.62</v>
      </c>
      <c r="K362" s="286">
        <v>2759.45</v>
      </c>
      <c r="L362" s="286">
        <v>2780.52</v>
      </c>
      <c r="M362" s="286">
        <v>2754.62</v>
      </c>
      <c r="N362" s="284" t="s">
        <v>1343</v>
      </c>
      <c r="P362" s="168">
        <v>44946</v>
      </c>
      <c r="Q362" s="286">
        <v>5.2073999999999998</v>
      </c>
      <c r="R362" s="286">
        <v>5.1745999999999999</v>
      </c>
      <c r="S362" s="286">
        <v>5.24</v>
      </c>
      <c r="T362" s="286">
        <v>5.1638999999999999</v>
      </c>
      <c r="U362" s="284">
        <v>6.4000000000000003E-3</v>
      </c>
      <c r="W362" s="168">
        <v>44928</v>
      </c>
      <c r="X362" s="288">
        <v>106376</v>
      </c>
      <c r="Y362" s="288">
        <v>109734</v>
      </c>
      <c r="Z362" s="288">
        <v>109734</v>
      </c>
      <c r="AA362" s="288">
        <v>105981</v>
      </c>
      <c r="AB362" s="284" t="s">
        <v>2271</v>
      </c>
      <c r="AC362" s="290">
        <v>-3.0599999999999999E-2</v>
      </c>
      <c r="AE362" s="168"/>
      <c r="AF362" s="286"/>
      <c r="AG362" s="286"/>
      <c r="AH362" s="286"/>
      <c r="AI362" s="286"/>
      <c r="AJ362" s="284"/>
    </row>
    <row r="363" spans="1:36" x14ac:dyDescent="0.3">
      <c r="A363" s="167">
        <v>44931</v>
      </c>
      <c r="B363" s="171">
        <v>34.909999999999997</v>
      </c>
      <c r="C363" s="171">
        <v>34.729999999999997</v>
      </c>
      <c r="D363" s="171">
        <v>35.229999999999997</v>
      </c>
      <c r="E363" s="171">
        <v>34.08</v>
      </c>
      <c r="F363" s="171" t="s">
        <v>1493</v>
      </c>
      <c r="G363" s="283">
        <v>2.58E-2</v>
      </c>
      <c r="I363" s="167">
        <v>44951</v>
      </c>
      <c r="J363" s="285">
        <v>2756.73</v>
      </c>
      <c r="K363" s="285">
        <v>2756.37</v>
      </c>
      <c r="L363" s="285">
        <v>2760.02</v>
      </c>
      <c r="M363" s="285">
        <v>2721.36</v>
      </c>
      <c r="N363" s="283" t="s">
        <v>1399</v>
      </c>
      <c r="P363" s="167">
        <v>44945</v>
      </c>
      <c r="Q363" s="285">
        <v>5.1741000000000001</v>
      </c>
      <c r="R363" s="285">
        <v>5.1867999999999999</v>
      </c>
      <c r="S363" s="285">
        <v>5.2561999999999998</v>
      </c>
      <c r="T363" s="285">
        <v>5.1631</v>
      </c>
      <c r="U363" s="283">
        <v>-2.3999999999999998E-3</v>
      </c>
      <c r="W363" s="167">
        <v>44924</v>
      </c>
      <c r="X363" s="287">
        <v>109735</v>
      </c>
      <c r="Y363" s="287">
        <v>110237</v>
      </c>
      <c r="Z363" s="287">
        <v>111178</v>
      </c>
      <c r="AA363" s="287">
        <v>109560</v>
      </c>
      <c r="AB363" s="283" t="s">
        <v>2270</v>
      </c>
      <c r="AC363" s="289">
        <v>-4.5999999999999999E-3</v>
      </c>
      <c r="AE363" s="167"/>
      <c r="AF363" s="285"/>
      <c r="AG363" s="285"/>
      <c r="AH363" s="285"/>
      <c r="AI363" s="285"/>
      <c r="AJ363" s="283"/>
    </row>
    <row r="364" spans="1:36" x14ac:dyDescent="0.3">
      <c r="A364" s="168">
        <v>44930</v>
      </c>
      <c r="B364" s="83">
        <v>34.04</v>
      </c>
      <c r="C364" s="83">
        <v>33.85</v>
      </c>
      <c r="D364" s="83">
        <v>34.69</v>
      </c>
      <c r="E364" s="83">
        <v>33.049999999999997</v>
      </c>
      <c r="F364" s="83" t="s">
        <v>1945</v>
      </c>
      <c r="G364" s="284">
        <v>-6.1000000000000004E-3</v>
      </c>
      <c r="I364" s="168">
        <v>44950</v>
      </c>
      <c r="J364" s="286">
        <v>2755.96</v>
      </c>
      <c r="K364" s="286">
        <v>2755.33</v>
      </c>
      <c r="L364" s="286">
        <v>2762.15</v>
      </c>
      <c r="M364" s="286">
        <v>2738.86</v>
      </c>
      <c r="N364" s="284" t="s">
        <v>1210</v>
      </c>
      <c r="P364" s="168">
        <v>44944</v>
      </c>
      <c r="Q364" s="286">
        <v>5.1863000000000001</v>
      </c>
      <c r="R364" s="286">
        <v>5.1006999999999998</v>
      </c>
      <c r="S364" s="286">
        <v>5.1901000000000002</v>
      </c>
      <c r="T364" s="286">
        <v>5.0655000000000001</v>
      </c>
      <c r="U364" s="284">
        <v>1.6899999999999998E-2</v>
      </c>
      <c r="W364" s="168">
        <v>44923</v>
      </c>
      <c r="X364" s="288">
        <v>110237</v>
      </c>
      <c r="Y364" s="288">
        <v>108578</v>
      </c>
      <c r="Z364" s="288">
        <v>110536</v>
      </c>
      <c r="AA364" s="288">
        <v>108578</v>
      </c>
      <c r="AB364" s="284" t="s">
        <v>1955</v>
      </c>
      <c r="AC364" s="290">
        <v>1.5299999999999999E-2</v>
      </c>
      <c r="AE364" s="168"/>
      <c r="AF364" s="286"/>
      <c r="AG364" s="286"/>
      <c r="AH364" s="286"/>
      <c r="AI364" s="286"/>
      <c r="AJ364" s="284"/>
    </row>
    <row r="365" spans="1:36" x14ac:dyDescent="0.3">
      <c r="A365" s="167">
        <v>44929</v>
      </c>
      <c r="B365" s="171">
        <v>34.24</v>
      </c>
      <c r="C365" s="171">
        <v>36.44</v>
      </c>
      <c r="D365" s="171">
        <v>36.75</v>
      </c>
      <c r="E365" s="171">
        <v>34.200000000000003</v>
      </c>
      <c r="F365" s="171" t="s">
        <v>2269</v>
      </c>
      <c r="G365" s="283">
        <v>-6.6900000000000001E-2</v>
      </c>
      <c r="I365" s="167">
        <v>44949</v>
      </c>
      <c r="J365" s="285">
        <v>2754.96</v>
      </c>
      <c r="K365" s="285">
        <v>2727.79</v>
      </c>
      <c r="L365" s="285">
        <v>2763.79</v>
      </c>
      <c r="M365" s="285">
        <v>2727.42</v>
      </c>
      <c r="N365" s="283" t="s">
        <v>2268</v>
      </c>
      <c r="P365" s="167">
        <v>44943</v>
      </c>
      <c r="Q365" s="285">
        <v>5.1002999999999998</v>
      </c>
      <c r="R365" s="285">
        <v>5.1512000000000002</v>
      </c>
      <c r="S365" s="285">
        <v>5.1589</v>
      </c>
      <c r="T365" s="285">
        <v>5.0956999999999999</v>
      </c>
      <c r="U365" s="283">
        <v>-9.1999999999999998E-3</v>
      </c>
      <c r="W365" s="167">
        <v>44922</v>
      </c>
      <c r="X365" s="287">
        <v>108578</v>
      </c>
      <c r="Y365" s="287">
        <v>108739</v>
      </c>
      <c r="Z365" s="287">
        <v>109353</v>
      </c>
      <c r="AA365" s="287">
        <v>107418</v>
      </c>
      <c r="AB365" s="283" t="s">
        <v>1654</v>
      </c>
      <c r="AC365" s="289">
        <v>-1.5E-3</v>
      </c>
      <c r="AE365" s="167"/>
      <c r="AF365" s="285"/>
      <c r="AG365" s="285"/>
      <c r="AH365" s="285"/>
      <c r="AI365" s="285"/>
      <c r="AJ365" s="283"/>
    </row>
    <row r="366" spans="1:36" x14ac:dyDescent="0.3">
      <c r="A366" s="168">
        <v>44928</v>
      </c>
      <c r="B366" s="83">
        <v>36.700000000000003</v>
      </c>
      <c r="C366" s="83">
        <v>36.82</v>
      </c>
      <c r="D366" s="83">
        <v>37.6</v>
      </c>
      <c r="E366" s="83">
        <v>36.39</v>
      </c>
      <c r="F366" s="83" t="s">
        <v>2267</v>
      </c>
      <c r="G366" s="284">
        <v>-1.21E-2</v>
      </c>
      <c r="I366" s="168">
        <v>44946</v>
      </c>
      <c r="J366" s="286">
        <v>2725.4</v>
      </c>
      <c r="K366" s="286">
        <v>2687.44</v>
      </c>
      <c r="L366" s="286">
        <v>2727.7</v>
      </c>
      <c r="M366" s="286">
        <v>2685.67</v>
      </c>
      <c r="N366" s="284" t="s">
        <v>2266</v>
      </c>
      <c r="P366" s="168">
        <v>44942</v>
      </c>
      <c r="Q366" s="286">
        <v>5.1474000000000002</v>
      </c>
      <c r="R366" s="286">
        <v>5.0956999999999999</v>
      </c>
      <c r="S366" s="286">
        <v>5.1623999999999999</v>
      </c>
      <c r="T366" s="286">
        <v>5.0922000000000001</v>
      </c>
      <c r="U366" s="284">
        <v>1.0200000000000001E-2</v>
      </c>
      <c r="W366" s="168">
        <v>44921</v>
      </c>
      <c r="X366" s="288">
        <v>108738</v>
      </c>
      <c r="Y366" s="288">
        <v>109699</v>
      </c>
      <c r="Z366" s="288">
        <v>109755</v>
      </c>
      <c r="AA366" s="288">
        <v>108309</v>
      </c>
      <c r="AB366" s="284" t="s">
        <v>2265</v>
      </c>
      <c r="AC366" s="290">
        <v>-8.6999999999999994E-3</v>
      </c>
      <c r="AE366" s="168"/>
      <c r="AF366" s="286"/>
      <c r="AG366" s="286"/>
      <c r="AH366" s="286"/>
      <c r="AI366" s="286"/>
      <c r="AJ366" s="284"/>
    </row>
    <row r="367" spans="1:36" x14ac:dyDescent="0.3">
      <c r="A367" s="167">
        <v>44924</v>
      </c>
      <c r="B367" s="171">
        <v>37.15</v>
      </c>
      <c r="C367" s="171">
        <v>37.19</v>
      </c>
      <c r="D367" s="171">
        <v>37.42</v>
      </c>
      <c r="E367" s="171">
        <v>36.56</v>
      </c>
      <c r="F367" s="171" t="s">
        <v>1269</v>
      </c>
      <c r="G367" s="283">
        <v>-1.1000000000000001E-3</v>
      </c>
      <c r="I367" s="167">
        <v>44945</v>
      </c>
      <c r="J367" s="285">
        <v>2685.32</v>
      </c>
      <c r="K367" s="285">
        <v>2709.8</v>
      </c>
      <c r="L367" s="285">
        <v>2710.29</v>
      </c>
      <c r="M367" s="285">
        <v>2679.2</v>
      </c>
      <c r="N367" s="283" t="s">
        <v>1900</v>
      </c>
      <c r="P367" s="167">
        <v>44939</v>
      </c>
      <c r="Q367" s="285">
        <v>5.0956000000000001</v>
      </c>
      <c r="R367" s="285">
        <v>5.1086999999999998</v>
      </c>
      <c r="S367" s="285">
        <v>5.1554000000000002</v>
      </c>
      <c r="T367" s="285">
        <v>5.0776000000000003</v>
      </c>
      <c r="U367" s="283">
        <v>-2.5000000000000001E-3</v>
      </c>
      <c r="W367" s="167">
        <v>44918</v>
      </c>
      <c r="X367" s="287">
        <v>109698</v>
      </c>
      <c r="Y367" s="287">
        <v>107552</v>
      </c>
      <c r="Z367" s="287">
        <v>109994</v>
      </c>
      <c r="AA367" s="287">
        <v>107552</v>
      </c>
      <c r="AB367" s="283" t="s">
        <v>2264</v>
      </c>
      <c r="AC367" s="289">
        <v>0.02</v>
      </c>
      <c r="AE367" s="167"/>
      <c r="AF367" s="285"/>
      <c r="AG367" s="285"/>
      <c r="AH367" s="285"/>
      <c r="AI367" s="285"/>
      <c r="AJ367" s="283"/>
    </row>
    <row r="368" spans="1:36" x14ac:dyDescent="0.3">
      <c r="A368" s="168">
        <v>44923</v>
      </c>
      <c r="B368" s="83">
        <v>37.19</v>
      </c>
      <c r="C368" s="83">
        <v>35.619999999999997</v>
      </c>
      <c r="D368" s="83">
        <v>37.43</v>
      </c>
      <c r="E368" s="83">
        <v>35.520000000000003</v>
      </c>
      <c r="F368" s="83" t="s">
        <v>1500</v>
      </c>
      <c r="G368" s="284">
        <v>4.6899999999999997E-2</v>
      </c>
      <c r="I368" s="168">
        <v>44944</v>
      </c>
      <c r="J368" s="286">
        <v>2713.54</v>
      </c>
      <c r="K368" s="286">
        <v>2735.76</v>
      </c>
      <c r="L368" s="286">
        <v>2757.52</v>
      </c>
      <c r="M368" s="286">
        <v>2708.56</v>
      </c>
      <c r="N368" s="284" t="s">
        <v>1201</v>
      </c>
      <c r="P368" s="168">
        <v>44938</v>
      </c>
      <c r="Q368" s="286">
        <v>5.1082000000000001</v>
      </c>
      <c r="R368" s="286">
        <v>5.1603000000000003</v>
      </c>
      <c r="S368" s="286">
        <v>5.1858000000000004</v>
      </c>
      <c r="T368" s="286">
        <v>5.0683999999999996</v>
      </c>
      <c r="U368" s="284">
        <v>-0.01</v>
      </c>
      <c r="W368" s="168">
        <v>44917</v>
      </c>
      <c r="X368" s="288">
        <v>107552</v>
      </c>
      <c r="Y368" s="288">
        <v>107436</v>
      </c>
      <c r="Z368" s="288">
        <v>108383</v>
      </c>
      <c r="AA368" s="288">
        <v>106510</v>
      </c>
      <c r="AB368" s="284" t="s">
        <v>1822</v>
      </c>
      <c r="AC368" s="290">
        <v>1.1000000000000001E-3</v>
      </c>
      <c r="AE368" s="168"/>
      <c r="AF368" s="286"/>
      <c r="AG368" s="286"/>
      <c r="AH368" s="286"/>
      <c r="AI368" s="286"/>
      <c r="AJ368" s="284"/>
    </row>
    <row r="369" spans="1:36" x14ac:dyDescent="0.3">
      <c r="A369" s="167">
        <v>44922</v>
      </c>
      <c r="B369" s="171">
        <v>35.520000000000003</v>
      </c>
      <c r="C369" s="171">
        <v>35.630000000000003</v>
      </c>
      <c r="D369" s="171">
        <v>35.81</v>
      </c>
      <c r="E369" s="171">
        <v>35.15</v>
      </c>
      <c r="F369" s="171" t="s">
        <v>2263</v>
      </c>
      <c r="G369" s="283">
        <v>4.0000000000000001E-3</v>
      </c>
      <c r="I369" s="167">
        <v>44943</v>
      </c>
      <c r="J369" s="285">
        <v>2736.45</v>
      </c>
      <c r="K369" s="285">
        <v>2735.65</v>
      </c>
      <c r="L369" s="285">
        <v>2748.78</v>
      </c>
      <c r="M369" s="285">
        <v>2731.61</v>
      </c>
      <c r="N369" s="283" t="s">
        <v>1514</v>
      </c>
      <c r="P369" s="167">
        <v>44937</v>
      </c>
      <c r="Q369" s="285">
        <v>5.16</v>
      </c>
      <c r="R369" s="285">
        <v>5.2</v>
      </c>
      <c r="S369" s="285">
        <v>5.2344999999999997</v>
      </c>
      <c r="T369" s="285">
        <v>5.1592000000000002</v>
      </c>
      <c r="U369" s="283">
        <v>-7.6E-3</v>
      </c>
      <c r="W369" s="167">
        <v>44916</v>
      </c>
      <c r="X369" s="287">
        <v>107433</v>
      </c>
      <c r="Y369" s="287">
        <v>106866</v>
      </c>
      <c r="Z369" s="287">
        <v>107991</v>
      </c>
      <c r="AA369" s="287">
        <v>106066</v>
      </c>
      <c r="AB369" s="283" t="s">
        <v>2135</v>
      </c>
      <c r="AC369" s="289">
        <v>5.3E-3</v>
      </c>
      <c r="AE369" s="167"/>
      <c r="AF369" s="285"/>
      <c r="AG369" s="285"/>
      <c r="AH369" s="285"/>
      <c r="AI369" s="285"/>
      <c r="AJ369" s="283"/>
    </row>
    <row r="370" spans="1:36" x14ac:dyDescent="0.3">
      <c r="A370" s="168">
        <v>44921</v>
      </c>
      <c r="B370" s="83">
        <v>35.380000000000003</v>
      </c>
      <c r="C370" s="83">
        <v>35.14</v>
      </c>
      <c r="D370" s="83">
        <v>35.520000000000003</v>
      </c>
      <c r="E370" s="83">
        <v>34.94</v>
      </c>
      <c r="F370" s="83" t="s">
        <v>2262</v>
      </c>
      <c r="G370" s="284">
        <v>-1.4E-3</v>
      </c>
      <c r="I370" s="168">
        <v>44942</v>
      </c>
      <c r="J370" s="286">
        <v>2735.88</v>
      </c>
      <c r="K370" s="286">
        <v>2735.81</v>
      </c>
      <c r="L370" s="286">
        <v>2739.12</v>
      </c>
      <c r="M370" s="286">
        <v>2731.81</v>
      </c>
      <c r="N370" s="284" t="s">
        <v>1463</v>
      </c>
      <c r="P370" s="168">
        <v>44936</v>
      </c>
      <c r="Q370" s="286">
        <v>5.1997</v>
      </c>
      <c r="R370" s="286">
        <v>5.258</v>
      </c>
      <c r="S370" s="286">
        <v>5.2767999999999997</v>
      </c>
      <c r="T370" s="286">
        <v>5.1974</v>
      </c>
      <c r="U370" s="284">
        <v>-1.04E-2</v>
      </c>
      <c r="W370" s="168">
        <v>44915</v>
      </c>
      <c r="X370" s="288">
        <v>106864</v>
      </c>
      <c r="Y370" s="288">
        <v>104740</v>
      </c>
      <c r="Z370" s="288">
        <v>107792</v>
      </c>
      <c r="AA370" s="288">
        <v>104607</v>
      </c>
      <c r="AB370" s="284" t="s">
        <v>2261</v>
      </c>
      <c r="AC370" s="290">
        <v>2.0299999999999999E-2</v>
      </c>
      <c r="AE370" s="168"/>
      <c r="AF370" s="286"/>
      <c r="AG370" s="286"/>
      <c r="AH370" s="286"/>
      <c r="AI370" s="286"/>
      <c r="AJ370" s="284"/>
    </row>
    <row r="371" spans="1:36" x14ac:dyDescent="0.3">
      <c r="A371" s="167">
        <v>44918</v>
      </c>
      <c r="B371" s="171">
        <v>35.43</v>
      </c>
      <c r="C371" s="171">
        <v>35.89</v>
      </c>
      <c r="D371" s="171">
        <v>35.99</v>
      </c>
      <c r="E371" s="171">
        <v>35.299999999999997</v>
      </c>
      <c r="F371" s="171" t="s">
        <v>2260</v>
      </c>
      <c r="G371" s="283">
        <v>6.4999999999999997E-3</v>
      </c>
      <c r="I371" s="167">
        <v>44939</v>
      </c>
      <c r="J371" s="285">
        <v>2735.72</v>
      </c>
      <c r="K371" s="285">
        <v>2723.22</v>
      </c>
      <c r="L371" s="285">
        <v>2737.94</v>
      </c>
      <c r="M371" s="285">
        <v>2707.39</v>
      </c>
      <c r="N371" s="283" t="s">
        <v>1198</v>
      </c>
      <c r="P371" s="167">
        <v>44935</v>
      </c>
      <c r="Q371" s="285">
        <v>5.2545999999999999</v>
      </c>
      <c r="R371" s="285">
        <v>5.2259000000000002</v>
      </c>
      <c r="S371" s="285">
        <v>5.3094000000000001</v>
      </c>
      <c r="T371" s="285">
        <v>5.2259000000000002</v>
      </c>
      <c r="U371" s="283">
        <v>5.5999999999999999E-3</v>
      </c>
      <c r="W371" s="167">
        <v>44914</v>
      </c>
      <c r="X371" s="287">
        <v>104740</v>
      </c>
      <c r="Y371" s="287">
        <v>102859</v>
      </c>
      <c r="Z371" s="287">
        <v>105107</v>
      </c>
      <c r="AA371" s="287">
        <v>102770</v>
      </c>
      <c r="AB371" s="283" t="s">
        <v>2259</v>
      </c>
      <c r="AC371" s="289">
        <v>1.83E-2</v>
      </c>
      <c r="AE371" s="167"/>
      <c r="AF371" s="285"/>
      <c r="AG371" s="285"/>
      <c r="AH371" s="285"/>
      <c r="AI371" s="285"/>
      <c r="AJ371" s="283"/>
    </row>
    <row r="372" spans="1:36" x14ac:dyDescent="0.3">
      <c r="A372" s="168">
        <v>44917</v>
      </c>
      <c r="B372" s="83">
        <v>35.200000000000003</v>
      </c>
      <c r="C372" s="83">
        <v>36.130000000000003</v>
      </c>
      <c r="D372" s="83">
        <v>36.19</v>
      </c>
      <c r="E372" s="83">
        <v>34.56</v>
      </c>
      <c r="F372" s="83" t="s">
        <v>2258</v>
      </c>
      <c r="G372" s="284">
        <v>-1.04E-2</v>
      </c>
      <c r="I372" s="168">
        <v>44938</v>
      </c>
      <c r="J372" s="286">
        <v>2720.09</v>
      </c>
      <c r="K372" s="286">
        <v>2701.65</v>
      </c>
      <c r="L372" s="286">
        <v>2730.89</v>
      </c>
      <c r="M372" s="286">
        <v>2690.58</v>
      </c>
      <c r="N372" s="284" t="s">
        <v>1218</v>
      </c>
      <c r="P372" s="168">
        <v>44932</v>
      </c>
      <c r="Q372" s="286">
        <v>5.2253999999999996</v>
      </c>
      <c r="R372" s="286">
        <v>5.3513999999999999</v>
      </c>
      <c r="S372" s="286">
        <v>5.3696999999999999</v>
      </c>
      <c r="T372" s="286">
        <v>5.2186000000000003</v>
      </c>
      <c r="U372" s="284">
        <v>-2.35E-2</v>
      </c>
      <c r="W372" s="168">
        <v>44911</v>
      </c>
      <c r="X372" s="288">
        <v>102856</v>
      </c>
      <c r="Y372" s="288">
        <v>103737</v>
      </c>
      <c r="Z372" s="288">
        <v>104018</v>
      </c>
      <c r="AA372" s="288">
        <v>102248</v>
      </c>
      <c r="AB372" s="284" t="s">
        <v>1859</v>
      </c>
      <c r="AC372" s="290">
        <v>-8.5000000000000006E-3</v>
      </c>
      <c r="AE372" s="168"/>
      <c r="AF372" s="286"/>
      <c r="AG372" s="286"/>
      <c r="AH372" s="286"/>
      <c r="AI372" s="286"/>
      <c r="AJ372" s="284"/>
    </row>
    <row r="373" spans="1:36" x14ac:dyDescent="0.3">
      <c r="A373" s="167">
        <v>44916</v>
      </c>
      <c r="B373" s="171">
        <v>35.57</v>
      </c>
      <c r="C373" s="171">
        <v>36.26</v>
      </c>
      <c r="D373" s="171">
        <v>36.69</v>
      </c>
      <c r="E373" s="171">
        <v>35.1</v>
      </c>
      <c r="F373" s="171" t="s">
        <v>2257</v>
      </c>
      <c r="G373" s="283">
        <v>-6.4000000000000003E-3</v>
      </c>
      <c r="I373" s="167">
        <v>44937</v>
      </c>
      <c r="J373" s="285">
        <v>2700.75</v>
      </c>
      <c r="K373" s="285">
        <v>2671.8</v>
      </c>
      <c r="L373" s="285">
        <v>2701.46</v>
      </c>
      <c r="M373" s="285">
        <v>2671.71</v>
      </c>
      <c r="N373" s="283" t="s">
        <v>1259</v>
      </c>
      <c r="P373" s="167">
        <v>44931</v>
      </c>
      <c r="Q373" s="285">
        <v>5.3509000000000002</v>
      </c>
      <c r="R373" s="285">
        <v>5.4314999999999998</v>
      </c>
      <c r="S373" s="285">
        <v>5.4314999999999998</v>
      </c>
      <c r="T373" s="285">
        <v>5.3478000000000003</v>
      </c>
      <c r="U373" s="283">
        <v>-1.4800000000000001E-2</v>
      </c>
      <c r="W373" s="167">
        <v>44910</v>
      </c>
      <c r="X373" s="287">
        <v>103738</v>
      </c>
      <c r="Y373" s="287">
        <v>103739</v>
      </c>
      <c r="Z373" s="287">
        <v>105483</v>
      </c>
      <c r="AA373" s="287">
        <v>103014</v>
      </c>
      <c r="AB373" s="283" t="s">
        <v>2015</v>
      </c>
      <c r="AC373" s="289">
        <v>-1E-4</v>
      </c>
      <c r="AE373" s="167"/>
      <c r="AF373" s="285"/>
      <c r="AG373" s="285"/>
      <c r="AH373" s="285"/>
      <c r="AI373" s="285"/>
      <c r="AJ373" s="283"/>
    </row>
    <row r="374" spans="1:36" x14ac:dyDescent="0.3">
      <c r="A374" s="168">
        <v>44915</v>
      </c>
      <c r="B374" s="83">
        <v>35.799999999999997</v>
      </c>
      <c r="C374" s="83">
        <v>35.619999999999997</v>
      </c>
      <c r="D374" s="83">
        <v>36.130000000000003</v>
      </c>
      <c r="E374" s="83">
        <v>35.340000000000003</v>
      </c>
      <c r="F374" s="83" t="s">
        <v>2256</v>
      </c>
      <c r="G374" s="284">
        <v>2.2000000000000001E-3</v>
      </c>
      <c r="I374" s="168">
        <v>44936</v>
      </c>
      <c r="J374" s="286">
        <v>2671.2</v>
      </c>
      <c r="K374" s="286">
        <v>2662.12</v>
      </c>
      <c r="L374" s="286">
        <v>2671.75</v>
      </c>
      <c r="M374" s="286">
        <v>2650.08</v>
      </c>
      <c r="N374" s="284" t="s">
        <v>1537</v>
      </c>
      <c r="P374" s="168">
        <v>44930</v>
      </c>
      <c r="Q374" s="286">
        <v>5.4311999999999996</v>
      </c>
      <c r="R374" s="286">
        <v>5.4798999999999998</v>
      </c>
      <c r="S374" s="286">
        <v>5.4798999999999998</v>
      </c>
      <c r="T374" s="286">
        <v>5.4248000000000003</v>
      </c>
      <c r="U374" s="284">
        <v>-8.8999999999999999E-3</v>
      </c>
      <c r="W374" s="168">
        <v>44909</v>
      </c>
      <c r="X374" s="288">
        <v>103746</v>
      </c>
      <c r="Y374" s="288">
        <v>103536</v>
      </c>
      <c r="Z374" s="288">
        <v>104516</v>
      </c>
      <c r="AA374" s="288">
        <v>101632</v>
      </c>
      <c r="AB374" s="284" t="s">
        <v>2255</v>
      </c>
      <c r="AC374" s="290">
        <v>2E-3</v>
      </c>
      <c r="AE374" s="168"/>
      <c r="AF374" s="286"/>
      <c r="AG374" s="286"/>
      <c r="AH374" s="286"/>
      <c r="AI374" s="286"/>
      <c r="AJ374" s="284"/>
    </row>
    <row r="375" spans="1:36" x14ac:dyDescent="0.3">
      <c r="A375" s="167">
        <v>44914</v>
      </c>
      <c r="B375" s="171">
        <v>35.72</v>
      </c>
      <c r="C375" s="171">
        <v>35.36</v>
      </c>
      <c r="D375" s="171">
        <v>35.79</v>
      </c>
      <c r="E375" s="171">
        <v>35.1</v>
      </c>
      <c r="F375" s="171" t="s">
        <v>1240</v>
      </c>
      <c r="G375" s="283">
        <v>1.2200000000000001E-2</v>
      </c>
      <c r="I375" s="167">
        <v>44935</v>
      </c>
      <c r="J375" s="285">
        <v>2663.17</v>
      </c>
      <c r="K375" s="285">
        <v>2654.48</v>
      </c>
      <c r="L375" s="285">
        <v>2691.64</v>
      </c>
      <c r="M375" s="285">
        <v>2653.58</v>
      </c>
      <c r="N375" s="283" t="s">
        <v>1459</v>
      </c>
      <c r="P375" s="167">
        <v>44929</v>
      </c>
      <c r="Q375" s="285">
        <v>5.4797000000000002</v>
      </c>
      <c r="R375" s="285">
        <v>5.3638000000000003</v>
      </c>
      <c r="S375" s="285">
        <v>5.4802</v>
      </c>
      <c r="T375" s="285">
        <v>5.3395999999999999</v>
      </c>
      <c r="U375" s="283">
        <v>2.1700000000000001E-2</v>
      </c>
      <c r="W375" s="167">
        <v>44908</v>
      </c>
      <c r="X375" s="287">
        <v>103540</v>
      </c>
      <c r="Y375" s="287">
        <v>105345</v>
      </c>
      <c r="Z375" s="287">
        <v>106689</v>
      </c>
      <c r="AA375" s="287">
        <v>103409</v>
      </c>
      <c r="AB375" s="283" t="s">
        <v>2254</v>
      </c>
      <c r="AC375" s="289">
        <v>-1.7100000000000001E-2</v>
      </c>
      <c r="AE375" s="167"/>
      <c r="AF375" s="285"/>
      <c r="AG375" s="285"/>
      <c r="AH375" s="285"/>
      <c r="AI375" s="285"/>
      <c r="AJ375" s="283"/>
    </row>
    <row r="376" spans="1:36" x14ac:dyDescent="0.3">
      <c r="A376" s="168">
        <v>44911</v>
      </c>
      <c r="B376" s="83">
        <v>35.29</v>
      </c>
      <c r="C376" s="83">
        <v>35.33</v>
      </c>
      <c r="D376" s="83">
        <v>35.47</v>
      </c>
      <c r="E376" s="83">
        <v>34.89</v>
      </c>
      <c r="F376" s="83" t="s">
        <v>2253</v>
      </c>
      <c r="G376" s="284">
        <v>-1.17E-2</v>
      </c>
      <c r="I376" s="168">
        <v>44932</v>
      </c>
      <c r="J376" s="286">
        <v>2649.76</v>
      </c>
      <c r="K376" s="286">
        <v>2595.89</v>
      </c>
      <c r="L376" s="286">
        <v>2657.64</v>
      </c>
      <c r="M376" s="286">
        <v>2593.2800000000002</v>
      </c>
      <c r="N376" s="284" t="s">
        <v>2252</v>
      </c>
      <c r="P376" s="168">
        <v>44928</v>
      </c>
      <c r="Q376" s="286">
        <v>5.3632999999999997</v>
      </c>
      <c r="R376" s="286">
        <v>5.2865000000000002</v>
      </c>
      <c r="S376" s="286">
        <v>5.3670999999999998</v>
      </c>
      <c r="T376" s="286">
        <v>5.2861000000000002</v>
      </c>
      <c r="U376" s="284">
        <v>1.46E-2</v>
      </c>
      <c r="W376" s="168">
        <v>44907</v>
      </c>
      <c r="X376" s="288">
        <v>105343</v>
      </c>
      <c r="Y376" s="288">
        <v>107518</v>
      </c>
      <c r="Z376" s="288">
        <v>107561</v>
      </c>
      <c r="AA376" s="288">
        <v>103877</v>
      </c>
      <c r="AB376" s="284" t="s">
        <v>1958</v>
      </c>
      <c r="AC376" s="290">
        <v>-2.0199999999999999E-2</v>
      </c>
      <c r="AE376" s="168"/>
      <c r="AF376" s="286"/>
      <c r="AG376" s="286"/>
      <c r="AH376" s="286"/>
      <c r="AI376" s="286"/>
      <c r="AJ376" s="284"/>
    </row>
    <row r="377" spans="1:36" x14ac:dyDescent="0.3">
      <c r="A377" s="167">
        <v>44910</v>
      </c>
      <c r="B377" s="171">
        <v>35.71</v>
      </c>
      <c r="C377" s="171">
        <v>35.869999999999997</v>
      </c>
      <c r="D377" s="171">
        <v>36.29</v>
      </c>
      <c r="E377" s="171">
        <v>35.25</v>
      </c>
      <c r="F377" s="171" t="s">
        <v>2251</v>
      </c>
      <c r="G377" s="283">
        <v>-1.1299999999999999E-2</v>
      </c>
      <c r="I377" s="167">
        <v>44931</v>
      </c>
      <c r="J377" s="285">
        <v>2594.69</v>
      </c>
      <c r="K377" s="285">
        <v>2624.28</v>
      </c>
      <c r="L377" s="285">
        <v>2626.87</v>
      </c>
      <c r="M377" s="285">
        <v>2592.6999999999998</v>
      </c>
      <c r="N377" s="283" t="s">
        <v>2250</v>
      </c>
      <c r="P377" s="167">
        <v>44924</v>
      </c>
      <c r="Q377" s="285">
        <v>5.2859999999999996</v>
      </c>
      <c r="R377" s="285">
        <v>5.2680999999999996</v>
      </c>
      <c r="S377" s="285">
        <v>5.3048999999999999</v>
      </c>
      <c r="T377" s="285">
        <v>5.1894999999999998</v>
      </c>
      <c r="U377" s="283">
        <v>3.5000000000000001E-3</v>
      </c>
      <c r="W377" s="167">
        <v>44904</v>
      </c>
      <c r="X377" s="287">
        <v>107520</v>
      </c>
      <c r="Y377" s="287">
        <v>107250</v>
      </c>
      <c r="Z377" s="287">
        <v>108566</v>
      </c>
      <c r="AA377" s="287">
        <v>107089</v>
      </c>
      <c r="AB377" s="283" t="s">
        <v>1280</v>
      </c>
      <c r="AC377" s="289">
        <v>2.5000000000000001E-3</v>
      </c>
      <c r="AE377" s="167"/>
      <c r="AF377" s="285"/>
      <c r="AG377" s="285"/>
      <c r="AH377" s="285"/>
      <c r="AI377" s="285"/>
      <c r="AJ377" s="283"/>
    </row>
    <row r="378" spans="1:36" x14ac:dyDescent="0.3">
      <c r="A378" s="168">
        <v>44909</v>
      </c>
      <c r="B378" s="83">
        <v>36.119999999999997</v>
      </c>
      <c r="C378" s="83">
        <v>34.83</v>
      </c>
      <c r="D378" s="83">
        <v>36.51</v>
      </c>
      <c r="E378" s="83">
        <v>34.64</v>
      </c>
      <c r="F378" s="83" t="s">
        <v>2249</v>
      </c>
      <c r="G378" s="284">
        <v>3.6999999999999998E-2</v>
      </c>
      <c r="I378" s="168">
        <v>44930</v>
      </c>
      <c r="J378" s="286">
        <v>2624.35</v>
      </c>
      <c r="K378" s="286">
        <v>2599.92</v>
      </c>
      <c r="L378" s="286">
        <v>2634.61</v>
      </c>
      <c r="M378" s="286">
        <v>2598.29</v>
      </c>
      <c r="N378" s="284" t="s">
        <v>1803</v>
      </c>
      <c r="P378" s="168">
        <v>44923</v>
      </c>
      <c r="Q378" s="286">
        <v>5.2675999999999998</v>
      </c>
      <c r="R378" s="286">
        <v>5.2967000000000004</v>
      </c>
      <c r="S378" s="286">
        <v>5.2967000000000004</v>
      </c>
      <c r="T378" s="286">
        <v>5.226</v>
      </c>
      <c r="U378" s="284">
        <v>-4.7999999999999996E-3</v>
      </c>
      <c r="W378" s="168">
        <v>44903</v>
      </c>
      <c r="X378" s="288">
        <v>107249</v>
      </c>
      <c r="Y378" s="288">
        <v>109068</v>
      </c>
      <c r="Z378" s="288">
        <v>109286</v>
      </c>
      <c r="AA378" s="288">
        <v>106906</v>
      </c>
      <c r="AB378" s="284" t="s">
        <v>2248</v>
      </c>
      <c r="AC378" s="290">
        <v>-1.67E-2</v>
      </c>
      <c r="AE378" s="168"/>
      <c r="AF378" s="286"/>
      <c r="AG378" s="286"/>
      <c r="AH378" s="286"/>
      <c r="AI378" s="286"/>
      <c r="AJ378" s="284"/>
    </row>
    <row r="379" spans="1:36" x14ac:dyDescent="0.3">
      <c r="A379" s="167">
        <v>44908</v>
      </c>
      <c r="B379" s="171">
        <v>34.83</v>
      </c>
      <c r="C379" s="171">
        <v>35</v>
      </c>
      <c r="D379" s="171">
        <v>35.44</v>
      </c>
      <c r="E379" s="171">
        <v>34.33</v>
      </c>
      <c r="F379" s="171" t="s">
        <v>2247</v>
      </c>
      <c r="G379" s="283">
        <v>7.1999999999999998E-3</v>
      </c>
      <c r="I379" s="167">
        <v>44929</v>
      </c>
      <c r="J379" s="285">
        <v>2600.91</v>
      </c>
      <c r="K379" s="285">
        <v>2608.7399999999998</v>
      </c>
      <c r="L379" s="285">
        <v>2633.18</v>
      </c>
      <c r="M379" s="285">
        <v>2586.2399999999998</v>
      </c>
      <c r="N379" s="283" t="s">
        <v>1467</v>
      </c>
      <c r="P379" s="167">
        <v>44922</v>
      </c>
      <c r="Q379" s="285">
        <v>5.2927999999999997</v>
      </c>
      <c r="R379" s="285">
        <v>5.2188999999999997</v>
      </c>
      <c r="S379" s="285">
        <v>5.3028000000000004</v>
      </c>
      <c r="T379" s="285">
        <v>5.194</v>
      </c>
      <c r="U379" s="283">
        <v>1.4200000000000001E-2</v>
      </c>
      <c r="W379" s="167">
        <v>44902</v>
      </c>
      <c r="X379" s="287">
        <v>109069</v>
      </c>
      <c r="Y379" s="287">
        <v>110188</v>
      </c>
      <c r="Z379" s="287">
        <v>110247</v>
      </c>
      <c r="AA379" s="287">
        <v>108612</v>
      </c>
      <c r="AB379" s="283" t="s">
        <v>1994</v>
      </c>
      <c r="AC379" s="289">
        <v>-1.0200000000000001E-2</v>
      </c>
      <c r="AE379" s="167"/>
      <c r="AF379" s="285"/>
      <c r="AG379" s="285"/>
      <c r="AH379" s="285"/>
      <c r="AI379" s="285"/>
      <c r="AJ379" s="283"/>
    </row>
    <row r="380" spans="1:36" x14ac:dyDescent="0.3">
      <c r="A380" s="168">
        <v>44907</v>
      </c>
      <c r="B380" s="83">
        <v>34.58</v>
      </c>
      <c r="C380" s="83">
        <v>33.35</v>
      </c>
      <c r="D380" s="83">
        <v>34.93</v>
      </c>
      <c r="E380" s="83">
        <v>32.72</v>
      </c>
      <c r="F380" s="83" t="s">
        <v>1562</v>
      </c>
      <c r="G380" s="284">
        <v>2.9399999999999999E-2</v>
      </c>
      <c r="I380" s="168">
        <v>44928</v>
      </c>
      <c r="J380" s="286">
        <v>2607.25</v>
      </c>
      <c r="K380" s="286">
        <v>2604.5300000000002</v>
      </c>
      <c r="L380" s="286">
        <v>2609.0300000000002</v>
      </c>
      <c r="M380" s="286">
        <v>2604.5300000000002</v>
      </c>
      <c r="N380" s="284" t="s">
        <v>1572</v>
      </c>
      <c r="P380" s="168">
        <v>44921</v>
      </c>
      <c r="Q380" s="286">
        <v>5.2186000000000003</v>
      </c>
      <c r="R380" s="286">
        <v>5.1669</v>
      </c>
      <c r="S380" s="286">
        <v>5.2210000000000001</v>
      </c>
      <c r="T380" s="286">
        <v>5.1544999999999996</v>
      </c>
      <c r="U380" s="284">
        <v>1.03E-2</v>
      </c>
      <c r="W380" s="168">
        <v>44901</v>
      </c>
      <c r="X380" s="288">
        <v>110189</v>
      </c>
      <c r="Y380" s="288">
        <v>109403</v>
      </c>
      <c r="Z380" s="288">
        <v>110663</v>
      </c>
      <c r="AA380" s="288">
        <v>109217</v>
      </c>
      <c r="AB380" s="284" t="s">
        <v>2246</v>
      </c>
      <c r="AC380" s="290">
        <v>7.1999999999999998E-3</v>
      </c>
      <c r="AE380" s="168"/>
      <c r="AF380" s="286"/>
      <c r="AG380" s="286"/>
      <c r="AH380" s="286"/>
      <c r="AI380" s="286"/>
      <c r="AJ380" s="284"/>
    </row>
    <row r="381" spans="1:36" x14ac:dyDescent="0.3">
      <c r="A381" s="167">
        <v>44904</v>
      </c>
      <c r="B381" s="171">
        <v>33.6</v>
      </c>
      <c r="C381" s="171">
        <v>33.25</v>
      </c>
      <c r="D381" s="171">
        <v>33.799999999999997</v>
      </c>
      <c r="E381" s="171">
        <v>33.11</v>
      </c>
      <c r="F381" s="171" t="s">
        <v>2245</v>
      </c>
      <c r="G381" s="283">
        <v>1.4500000000000001E-2</v>
      </c>
      <c r="I381" s="167">
        <v>44925</v>
      </c>
      <c r="J381" s="285">
        <v>2602.69</v>
      </c>
      <c r="K381" s="285">
        <v>2613.36</v>
      </c>
      <c r="L381" s="285">
        <v>2614.0500000000002</v>
      </c>
      <c r="M381" s="285">
        <v>2587.44</v>
      </c>
      <c r="N381" s="283" t="s">
        <v>1209</v>
      </c>
      <c r="P381" s="167">
        <v>44918</v>
      </c>
      <c r="Q381" s="285">
        <v>5.1651999999999996</v>
      </c>
      <c r="R381" s="285">
        <v>5.1669999999999998</v>
      </c>
      <c r="S381" s="285">
        <v>5.1788999999999996</v>
      </c>
      <c r="T381" s="285">
        <v>5.1159999999999997</v>
      </c>
      <c r="U381" s="283">
        <v>-2.9999999999999997E-4</v>
      </c>
      <c r="W381" s="167">
        <v>44900</v>
      </c>
      <c r="X381" s="287">
        <v>109401</v>
      </c>
      <c r="Y381" s="287">
        <v>111922</v>
      </c>
      <c r="Z381" s="287">
        <v>112150</v>
      </c>
      <c r="AA381" s="287">
        <v>109270</v>
      </c>
      <c r="AB381" s="283" t="s">
        <v>2167</v>
      </c>
      <c r="AC381" s="289">
        <v>-2.2499999999999999E-2</v>
      </c>
      <c r="AE381" s="167"/>
      <c r="AF381" s="285"/>
      <c r="AG381" s="285"/>
      <c r="AH381" s="285"/>
      <c r="AI381" s="285"/>
      <c r="AJ381" s="283"/>
    </row>
    <row r="382" spans="1:36" x14ac:dyDescent="0.3">
      <c r="A382" s="168">
        <v>44903</v>
      </c>
      <c r="B382" s="83">
        <v>33.119999999999997</v>
      </c>
      <c r="C382" s="83">
        <v>32.950000000000003</v>
      </c>
      <c r="D382" s="83">
        <v>33.76</v>
      </c>
      <c r="E382" s="83">
        <v>32.67</v>
      </c>
      <c r="F382" s="83" t="s">
        <v>1707</v>
      </c>
      <c r="G382" s="284">
        <v>1.5299999999999999E-2</v>
      </c>
      <c r="I382" s="168">
        <v>44924</v>
      </c>
      <c r="J382" s="286">
        <v>2611.98</v>
      </c>
      <c r="K382" s="286">
        <v>2574.5100000000002</v>
      </c>
      <c r="L382" s="286">
        <v>2617.17</v>
      </c>
      <c r="M382" s="286">
        <v>2570.9</v>
      </c>
      <c r="N382" s="284" t="s">
        <v>1289</v>
      </c>
      <c r="P382" s="168">
        <v>44917</v>
      </c>
      <c r="Q382" s="286">
        <v>5.1665000000000001</v>
      </c>
      <c r="R382" s="286">
        <v>5.2012999999999998</v>
      </c>
      <c r="S382" s="286">
        <v>5.2243000000000004</v>
      </c>
      <c r="T382" s="286">
        <v>5.1585000000000001</v>
      </c>
      <c r="U382" s="284">
        <v>-6.6E-3</v>
      </c>
      <c r="W382" s="168">
        <v>44897</v>
      </c>
      <c r="X382" s="288">
        <v>111924</v>
      </c>
      <c r="Y382" s="288">
        <v>110926</v>
      </c>
      <c r="Z382" s="288">
        <v>113761</v>
      </c>
      <c r="AA382" s="288">
        <v>109963</v>
      </c>
      <c r="AB382" s="284" t="s">
        <v>1748</v>
      </c>
      <c r="AC382" s="290">
        <v>8.9999999999999993E-3</v>
      </c>
      <c r="AE382" s="168"/>
      <c r="AF382" s="286"/>
      <c r="AG382" s="286"/>
      <c r="AH382" s="286"/>
      <c r="AI382" s="286"/>
      <c r="AJ382" s="284"/>
    </row>
    <row r="383" spans="1:36" x14ac:dyDescent="0.3">
      <c r="A383" s="167">
        <v>44902</v>
      </c>
      <c r="B383" s="171">
        <v>32.619999999999997</v>
      </c>
      <c r="C383" s="171">
        <v>34.33</v>
      </c>
      <c r="D383" s="171">
        <v>34.409999999999997</v>
      </c>
      <c r="E383" s="171">
        <v>32.14</v>
      </c>
      <c r="F383" s="171" t="s">
        <v>2244</v>
      </c>
      <c r="G383" s="283">
        <v>-5.6899999999999999E-2</v>
      </c>
      <c r="I383" s="167">
        <v>44923</v>
      </c>
      <c r="J383" s="285">
        <v>2575.16</v>
      </c>
      <c r="K383" s="285">
        <v>2600.38</v>
      </c>
      <c r="L383" s="285">
        <v>2612.36</v>
      </c>
      <c r="M383" s="285">
        <v>2573.54</v>
      </c>
      <c r="N383" s="283" t="s">
        <v>1615</v>
      </c>
      <c r="P383" s="167">
        <v>44916</v>
      </c>
      <c r="Q383" s="285">
        <v>5.2008999999999999</v>
      </c>
      <c r="R383" s="285">
        <v>5.2000999999999999</v>
      </c>
      <c r="S383" s="285">
        <v>5.2206999999999999</v>
      </c>
      <c r="T383" s="285">
        <v>5.1585999999999999</v>
      </c>
      <c r="U383" s="283">
        <v>2.0000000000000001E-4</v>
      </c>
      <c r="W383" s="167">
        <v>44896</v>
      </c>
      <c r="X383" s="287">
        <v>110926</v>
      </c>
      <c r="Y383" s="287">
        <v>112479</v>
      </c>
      <c r="Z383" s="287">
        <v>112479</v>
      </c>
      <c r="AA383" s="287">
        <v>110548</v>
      </c>
      <c r="AB383" s="283" t="s">
        <v>2243</v>
      </c>
      <c r="AC383" s="289">
        <v>-1.3899999999999999E-2</v>
      </c>
      <c r="AE383" s="167"/>
      <c r="AF383" s="285"/>
      <c r="AG383" s="285"/>
      <c r="AH383" s="285"/>
      <c r="AI383" s="285"/>
      <c r="AJ383" s="283"/>
    </row>
    <row r="384" spans="1:36" x14ac:dyDescent="0.3">
      <c r="A384" s="168">
        <v>44901</v>
      </c>
      <c r="B384" s="83">
        <v>34.58</v>
      </c>
      <c r="C384" s="83">
        <v>35.54</v>
      </c>
      <c r="D384" s="83">
        <v>36.61</v>
      </c>
      <c r="E384" s="83">
        <v>33.85</v>
      </c>
      <c r="F384" s="83" t="s">
        <v>1915</v>
      </c>
      <c r="G384" s="284">
        <v>-3.8300000000000001E-2</v>
      </c>
      <c r="I384" s="168">
        <v>44922</v>
      </c>
      <c r="J384" s="286">
        <v>2600.94</v>
      </c>
      <c r="K384" s="286">
        <v>2608.1999999999998</v>
      </c>
      <c r="L384" s="286">
        <v>2611.3000000000002</v>
      </c>
      <c r="M384" s="286">
        <v>2592.37</v>
      </c>
      <c r="N384" s="284" t="s">
        <v>1430</v>
      </c>
      <c r="P384" s="168">
        <v>44915</v>
      </c>
      <c r="Q384" s="286">
        <v>5.1996000000000002</v>
      </c>
      <c r="R384" s="286">
        <v>5.2934000000000001</v>
      </c>
      <c r="S384" s="286">
        <v>5.3257000000000003</v>
      </c>
      <c r="T384" s="286">
        <v>5.1757</v>
      </c>
      <c r="U384" s="284">
        <v>-1.7600000000000001E-2</v>
      </c>
      <c r="W384" s="168">
        <v>44895</v>
      </c>
      <c r="X384" s="288">
        <v>112486</v>
      </c>
      <c r="Y384" s="288">
        <v>110910</v>
      </c>
      <c r="Z384" s="288">
        <v>112486</v>
      </c>
      <c r="AA384" s="288">
        <v>110202</v>
      </c>
      <c r="AB384" s="284" t="s">
        <v>2242</v>
      </c>
      <c r="AC384" s="290">
        <v>1.4200000000000001E-2</v>
      </c>
      <c r="AE384" s="168"/>
      <c r="AF384" s="286"/>
      <c r="AG384" s="286"/>
      <c r="AH384" s="286"/>
      <c r="AI384" s="286"/>
      <c r="AJ384" s="284"/>
    </row>
    <row r="385" spans="1:36" x14ac:dyDescent="0.3">
      <c r="A385" s="167">
        <v>44900</v>
      </c>
      <c r="B385" s="171">
        <v>35.96</v>
      </c>
      <c r="C385" s="171">
        <v>37.049999999999997</v>
      </c>
      <c r="D385" s="171">
        <v>37.299999999999997</v>
      </c>
      <c r="E385" s="171">
        <v>35.67</v>
      </c>
      <c r="F385" s="171" t="s">
        <v>2241</v>
      </c>
      <c r="G385" s="283">
        <v>-1.83E-2</v>
      </c>
      <c r="I385" s="167">
        <v>44921</v>
      </c>
      <c r="J385" s="285">
        <v>2605.48</v>
      </c>
      <c r="K385" s="285">
        <v>2605.6799999999998</v>
      </c>
      <c r="L385" s="285">
        <v>2606.62</v>
      </c>
      <c r="M385" s="285">
        <v>2605.21</v>
      </c>
      <c r="N385" s="283" t="s">
        <v>1463</v>
      </c>
      <c r="P385" s="167">
        <v>44914</v>
      </c>
      <c r="Q385" s="285">
        <v>5.2930000000000001</v>
      </c>
      <c r="R385" s="285">
        <v>5.3144999999999998</v>
      </c>
      <c r="S385" s="285">
        <v>5.3403999999999998</v>
      </c>
      <c r="T385" s="285">
        <v>5.2888000000000002</v>
      </c>
      <c r="U385" s="283">
        <v>-4.0000000000000001E-3</v>
      </c>
      <c r="W385" s="167">
        <v>44894</v>
      </c>
      <c r="X385" s="287">
        <v>110910</v>
      </c>
      <c r="Y385" s="287">
        <v>108784</v>
      </c>
      <c r="Z385" s="287">
        <v>112187</v>
      </c>
      <c r="AA385" s="287">
        <v>108784</v>
      </c>
      <c r="AB385" s="283" t="s">
        <v>2240</v>
      </c>
      <c r="AC385" s="289">
        <v>1.9599999999999999E-2</v>
      </c>
      <c r="AE385" s="167"/>
      <c r="AF385" s="285"/>
      <c r="AG385" s="285"/>
      <c r="AH385" s="285"/>
      <c r="AI385" s="285"/>
      <c r="AJ385" s="283"/>
    </row>
    <row r="386" spans="1:36" x14ac:dyDescent="0.3">
      <c r="A386" s="168">
        <v>44897</v>
      </c>
      <c r="B386" s="83">
        <v>36.630000000000003</v>
      </c>
      <c r="C386" s="83">
        <v>36.85</v>
      </c>
      <c r="D386" s="83">
        <v>37.54</v>
      </c>
      <c r="E386" s="83">
        <v>36.07</v>
      </c>
      <c r="F386" s="83" t="s">
        <v>2239</v>
      </c>
      <c r="G386" s="284">
        <v>-2.9999999999999997E-4</v>
      </c>
      <c r="I386" s="168">
        <v>44918</v>
      </c>
      <c r="J386" s="286">
        <v>2605.19</v>
      </c>
      <c r="K386" s="286">
        <v>2593.48</v>
      </c>
      <c r="L386" s="286">
        <v>2605.5100000000002</v>
      </c>
      <c r="M386" s="286">
        <v>2580.2399999999998</v>
      </c>
      <c r="N386" s="284" t="s">
        <v>1224</v>
      </c>
      <c r="P386" s="168">
        <v>44911</v>
      </c>
      <c r="Q386" s="286">
        <v>5.3140000000000001</v>
      </c>
      <c r="R386" s="286">
        <v>5.3132999999999999</v>
      </c>
      <c r="S386" s="286">
        <v>5.3326000000000002</v>
      </c>
      <c r="T386" s="286">
        <v>5.2619999999999996</v>
      </c>
      <c r="U386" s="284">
        <v>2.0000000000000001E-4</v>
      </c>
      <c r="W386" s="168">
        <v>44893</v>
      </c>
      <c r="X386" s="288">
        <v>108782</v>
      </c>
      <c r="Y386" s="288">
        <v>108977</v>
      </c>
      <c r="Z386" s="288">
        <v>109476</v>
      </c>
      <c r="AA386" s="288">
        <v>108378</v>
      </c>
      <c r="AB386" s="284" t="s">
        <v>1822</v>
      </c>
      <c r="AC386" s="290">
        <v>-1.8E-3</v>
      </c>
      <c r="AE386" s="168"/>
      <c r="AF386" s="286"/>
      <c r="AG386" s="286"/>
      <c r="AH386" s="286"/>
      <c r="AI386" s="286"/>
      <c r="AJ386" s="284"/>
    </row>
    <row r="387" spans="1:36" x14ac:dyDescent="0.3">
      <c r="A387" s="167">
        <v>44896</v>
      </c>
      <c r="B387" s="171">
        <v>36.64</v>
      </c>
      <c r="C387" s="171">
        <v>36.04</v>
      </c>
      <c r="D387" s="171">
        <v>37.229999999999997</v>
      </c>
      <c r="E387" s="171">
        <v>35.94</v>
      </c>
      <c r="F387" s="171" t="s">
        <v>2238</v>
      </c>
      <c r="G387" s="283">
        <v>1.7999999999999999E-2</v>
      </c>
      <c r="I387" s="167">
        <v>44917</v>
      </c>
      <c r="J387" s="285">
        <v>2595.25</v>
      </c>
      <c r="K387" s="285">
        <v>2625.97</v>
      </c>
      <c r="L387" s="285">
        <v>2633.79</v>
      </c>
      <c r="M387" s="285">
        <v>2566.48</v>
      </c>
      <c r="N387" s="283" t="s">
        <v>1233</v>
      </c>
      <c r="P387" s="167">
        <v>44910</v>
      </c>
      <c r="Q387" s="285">
        <v>5.3129999999999997</v>
      </c>
      <c r="R387" s="285">
        <v>5.2792000000000003</v>
      </c>
      <c r="S387" s="285">
        <v>5.3480999999999996</v>
      </c>
      <c r="T387" s="285">
        <v>5.2792000000000003</v>
      </c>
      <c r="U387" s="283">
        <v>6.4999999999999997E-3</v>
      </c>
      <c r="W387" s="167">
        <v>44890</v>
      </c>
      <c r="X387" s="287">
        <v>108977</v>
      </c>
      <c r="Y387" s="287">
        <v>111831</v>
      </c>
      <c r="Z387" s="287">
        <v>112025</v>
      </c>
      <c r="AA387" s="287">
        <v>108552</v>
      </c>
      <c r="AB387" s="283" t="s">
        <v>2167</v>
      </c>
      <c r="AC387" s="289">
        <v>-2.5499999999999998E-2</v>
      </c>
      <c r="AE387" s="167"/>
      <c r="AF387" s="285"/>
      <c r="AG387" s="285"/>
      <c r="AH387" s="285"/>
      <c r="AI387" s="285"/>
      <c r="AJ387" s="283"/>
    </row>
    <row r="388" spans="1:36" x14ac:dyDescent="0.3">
      <c r="A388" s="168">
        <v>44895</v>
      </c>
      <c r="B388" s="83">
        <v>35.99</v>
      </c>
      <c r="C388" s="83">
        <v>35.92</v>
      </c>
      <c r="D388" s="83">
        <v>36.54</v>
      </c>
      <c r="E388" s="83">
        <v>35.17</v>
      </c>
      <c r="F388" s="83" t="s">
        <v>2237</v>
      </c>
      <c r="G388" s="284">
        <v>2.18E-2</v>
      </c>
      <c r="I388" s="168">
        <v>44916</v>
      </c>
      <c r="J388" s="286">
        <v>2626.92</v>
      </c>
      <c r="K388" s="286">
        <v>2592.8200000000002</v>
      </c>
      <c r="L388" s="286">
        <v>2632.03</v>
      </c>
      <c r="M388" s="286">
        <v>2590.33</v>
      </c>
      <c r="N388" s="284" t="s">
        <v>2236</v>
      </c>
      <c r="P388" s="168">
        <v>44909</v>
      </c>
      <c r="Q388" s="286">
        <v>5.2786999999999997</v>
      </c>
      <c r="R388" s="286">
        <v>5.2941000000000003</v>
      </c>
      <c r="S388" s="286">
        <v>5.3730000000000002</v>
      </c>
      <c r="T388" s="286">
        <v>5.2733999999999996</v>
      </c>
      <c r="U388" s="284">
        <v>-2.8999999999999998E-3</v>
      </c>
      <c r="W388" s="168">
        <v>44889</v>
      </c>
      <c r="X388" s="288">
        <v>111831</v>
      </c>
      <c r="Y388" s="288">
        <v>108846</v>
      </c>
      <c r="Z388" s="288">
        <v>112612</v>
      </c>
      <c r="AA388" s="288">
        <v>108846</v>
      </c>
      <c r="AB388" s="284" t="s">
        <v>2092</v>
      </c>
      <c r="AC388" s="290">
        <v>2.75E-2</v>
      </c>
      <c r="AE388" s="168"/>
      <c r="AF388" s="286"/>
      <c r="AG388" s="286"/>
      <c r="AH388" s="286"/>
      <c r="AI388" s="286"/>
      <c r="AJ388" s="284"/>
    </row>
    <row r="389" spans="1:36" x14ac:dyDescent="0.3">
      <c r="A389" s="167">
        <v>44894</v>
      </c>
      <c r="B389" s="171">
        <v>35.22</v>
      </c>
      <c r="C389" s="171">
        <v>35.43</v>
      </c>
      <c r="D389" s="171">
        <v>35.79</v>
      </c>
      <c r="E389" s="171">
        <v>35.18</v>
      </c>
      <c r="F389" s="171" t="s">
        <v>1424</v>
      </c>
      <c r="G389" s="283">
        <v>1.09E-2</v>
      </c>
      <c r="I389" s="167">
        <v>44915</v>
      </c>
      <c r="J389" s="285">
        <v>2592.86</v>
      </c>
      <c r="K389" s="285">
        <v>2587.6999999999998</v>
      </c>
      <c r="L389" s="285">
        <v>2601.81</v>
      </c>
      <c r="M389" s="285">
        <v>2577.42</v>
      </c>
      <c r="N389" s="283" t="s">
        <v>2235</v>
      </c>
      <c r="P389" s="167">
        <v>44908</v>
      </c>
      <c r="Q389" s="285">
        <v>5.2938000000000001</v>
      </c>
      <c r="R389" s="285">
        <v>5.3231000000000002</v>
      </c>
      <c r="S389" s="285">
        <v>5.3357999999999999</v>
      </c>
      <c r="T389" s="285">
        <v>5.2417999999999996</v>
      </c>
      <c r="U389" s="283">
        <v>-5.4000000000000003E-3</v>
      </c>
      <c r="W389" s="167">
        <v>44888</v>
      </c>
      <c r="X389" s="287">
        <v>108841</v>
      </c>
      <c r="Y389" s="287">
        <v>109036</v>
      </c>
      <c r="Z389" s="287">
        <v>109285</v>
      </c>
      <c r="AA389" s="287">
        <v>107902</v>
      </c>
      <c r="AB389" s="283" t="s">
        <v>1999</v>
      </c>
      <c r="AC389" s="289">
        <v>-1.8E-3</v>
      </c>
      <c r="AE389" s="167"/>
      <c r="AF389" s="285"/>
      <c r="AG389" s="285"/>
      <c r="AH389" s="285"/>
      <c r="AI389" s="285"/>
      <c r="AJ389" s="283"/>
    </row>
    <row r="390" spans="1:36" x14ac:dyDescent="0.3">
      <c r="A390" s="168">
        <v>44893</v>
      </c>
      <c r="B390" s="83">
        <v>34.840000000000003</v>
      </c>
      <c r="C390" s="83">
        <v>33.81</v>
      </c>
      <c r="D390" s="83">
        <v>35.130000000000003</v>
      </c>
      <c r="E390" s="83">
        <v>33.65</v>
      </c>
      <c r="F390" s="83" t="s">
        <v>2234</v>
      </c>
      <c r="G390" s="284">
        <v>7.1999999999999998E-3</v>
      </c>
      <c r="I390" s="168">
        <v>44914</v>
      </c>
      <c r="J390" s="286">
        <v>2585.89</v>
      </c>
      <c r="K390" s="286">
        <v>2606.21</v>
      </c>
      <c r="L390" s="286">
        <v>2610.83</v>
      </c>
      <c r="M390" s="286">
        <v>2579.17</v>
      </c>
      <c r="N390" s="284" t="s">
        <v>1281</v>
      </c>
      <c r="P390" s="168">
        <v>44907</v>
      </c>
      <c r="Q390" s="286">
        <v>5.3226000000000004</v>
      </c>
      <c r="R390" s="286">
        <v>5.2404000000000002</v>
      </c>
      <c r="S390" s="286">
        <v>5.3520000000000003</v>
      </c>
      <c r="T390" s="286">
        <v>5.2309000000000001</v>
      </c>
      <c r="U390" s="284">
        <v>1.5800000000000002E-2</v>
      </c>
      <c r="W390" s="168">
        <v>44887</v>
      </c>
      <c r="X390" s="288">
        <v>109037</v>
      </c>
      <c r="Y390" s="288">
        <v>109750</v>
      </c>
      <c r="Z390" s="288">
        <v>110224</v>
      </c>
      <c r="AA390" s="288">
        <v>107867</v>
      </c>
      <c r="AB390" s="284" t="s">
        <v>1866</v>
      </c>
      <c r="AC390" s="290">
        <v>-6.4999999999999997E-3</v>
      </c>
      <c r="AE390" s="168"/>
      <c r="AF390" s="286"/>
      <c r="AG390" s="286"/>
      <c r="AH390" s="286"/>
      <c r="AI390" s="286"/>
      <c r="AJ390" s="284"/>
    </row>
    <row r="391" spans="1:36" x14ac:dyDescent="0.3">
      <c r="A391" s="167">
        <v>44890</v>
      </c>
      <c r="B391" s="171">
        <v>34.590000000000003</v>
      </c>
      <c r="C391" s="171">
        <v>36.590000000000003</v>
      </c>
      <c r="D391" s="171">
        <v>36.79</v>
      </c>
      <c r="E391" s="171">
        <v>34.19</v>
      </c>
      <c r="F391" s="171" t="s">
        <v>1386</v>
      </c>
      <c r="G391" s="283">
        <v>-5.0900000000000001E-2</v>
      </c>
      <c r="I391" s="167">
        <v>44911</v>
      </c>
      <c r="J391" s="285">
        <v>2606.0100000000002</v>
      </c>
      <c r="K391" s="285">
        <v>2635.29</v>
      </c>
      <c r="L391" s="285">
        <v>2636.7</v>
      </c>
      <c r="M391" s="285">
        <v>2594.89</v>
      </c>
      <c r="N391" s="283" t="s">
        <v>2233</v>
      </c>
      <c r="P391" s="167">
        <v>44904</v>
      </c>
      <c r="Q391" s="285">
        <v>5.24</v>
      </c>
      <c r="R391" s="285">
        <v>5.2257999999999996</v>
      </c>
      <c r="S391" s="285">
        <v>5.2839999999999998</v>
      </c>
      <c r="T391" s="285">
        <v>5.2161</v>
      </c>
      <c r="U391" s="283">
        <v>2.8E-3</v>
      </c>
      <c r="W391" s="167">
        <v>44886</v>
      </c>
      <c r="X391" s="287">
        <v>109748</v>
      </c>
      <c r="Y391" s="287">
        <v>108868</v>
      </c>
      <c r="Z391" s="287">
        <v>110235</v>
      </c>
      <c r="AA391" s="287">
        <v>107957</v>
      </c>
      <c r="AB391" s="283" t="s">
        <v>2232</v>
      </c>
      <c r="AC391" s="289">
        <v>8.0999999999999996E-3</v>
      </c>
      <c r="AE391" s="167"/>
      <c r="AF391" s="285"/>
      <c r="AG391" s="285"/>
      <c r="AH391" s="285"/>
      <c r="AI391" s="285"/>
      <c r="AJ391" s="283"/>
    </row>
    <row r="392" spans="1:36" x14ac:dyDescent="0.3">
      <c r="A392" s="168">
        <v>44889</v>
      </c>
      <c r="B392" s="83">
        <v>36.450000000000003</v>
      </c>
      <c r="C392" s="83">
        <v>35.340000000000003</v>
      </c>
      <c r="D392" s="83">
        <v>36.65</v>
      </c>
      <c r="E392" s="83">
        <v>35.06</v>
      </c>
      <c r="F392" s="83" t="s">
        <v>1623</v>
      </c>
      <c r="G392" s="284">
        <v>3.5200000000000002E-2</v>
      </c>
      <c r="I392" s="168">
        <v>44910</v>
      </c>
      <c r="J392" s="286">
        <v>2636.91</v>
      </c>
      <c r="K392" s="286">
        <v>2705.69</v>
      </c>
      <c r="L392" s="286">
        <v>2705.91</v>
      </c>
      <c r="M392" s="286">
        <v>2626.06</v>
      </c>
      <c r="N392" s="284" t="s">
        <v>2231</v>
      </c>
      <c r="P392" s="168">
        <v>44903</v>
      </c>
      <c r="Q392" s="286">
        <v>5.2252999999999998</v>
      </c>
      <c r="R392" s="286">
        <v>5.2053000000000003</v>
      </c>
      <c r="S392" s="286">
        <v>5.2530000000000001</v>
      </c>
      <c r="T392" s="286">
        <v>5.1905000000000001</v>
      </c>
      <c r="U392" s="284">
        <v>3.8999999999999998E-3</v>
      </c>
      <c r="W392" s="168">
        <v>44883</v>
      </c>
      <c r="X392" s="288">
        <v>108870</v>
      </c>
      <c r="Y392" s="288">
        <v>109706</v>
      </c>
      <c r="Z392" s="288">
        <v>111585</v>
      </c>
      <c r="AA392" s="288">
        <v>108512</v>
      </c>
      <c r="AB392" s="284" t="s">
        <v>2230</v>
      </c>
      <c r="AC392" s="290">
        <v>-7.6E-3</v>
      </c>
      <c r="AE392" s="168"/>
      <c r="AF392" s="286"/>
      <c r="AG392" s="286"/>
      <c r="AH392" s="286"/>
      <c r="AI392" s="286"/>
      <c r="AJ392" s="284"/>
    </row>
    <row r="393" spans="1:36" x14ac:dyDescent="0.3">
      <c r="A393" s="167">
        <v>44888</v>
      </c>
      <c r="B393" s="171">
        <v>35.21</v>
      </c>
      <c r="C393" s="171">
        <v>34.92</v>
      </c>
      <c r="D393" s="171">
        <v>35.94</v>
      </c>
      <c r="E393" s="171">
        <v>34.68</v>
      </c>
      <c r="F393" s="171" t="s">
        <v>1495</v>
      </c>
      <c r="G393" s="283">
        <v>-5.5999999999999999E-3</v>
      </c>
      <c r="I393" s="167">
        <v>44909</v>
      </c>
      <c r="J393" s="285">
        <v>2705.31</v>
      </c>
      <c r="K393" s="285">
        <v>2714.26</v>
      </c>
      <c r="L393" s="285">
        <v>2733.72</v>
      </c>
      <c r="M393" s="285">
        <v>2688.62</v>
      </c>
      <c r="N393" s="283" t="s">
        <v>1511</v>
      </c>
      <c r="P393" s="167">
        <v>44902</v>
      </c>
      <c r="Q393" s="285">
        <v>5.2047999999999996</v>
      </c>
      <c r="R393" s="285">
        <v>5.2356999999999996</v>
      </c>
      <c r="S393" s="285">
        <v>5.2782</v>
      </c>
      <c r="T393" s="285">
        <v>5.1840999999999999</v>
      </c>
      <c r="U393" s="283">
        <v>-5.7999999999999996E-3</v>
      </c>
      <c r="W393" s="167">
        <v>44882</v>
      </c>
      <c r="X393" s="287">
        <v>109703</v>
      </c>
      <c r="Y393" s="287">
        <v>110241</v>
      </c>
      <c r="Z393" s="287">
        <v>110242</v>
      </c>
      <c r="AA393" s="287">
        <v>107245</v>
      </c>
      <c r="AB393" s="283" t="s">
        <v>2229</v>
      </c>
      <c r="AC393" s="289">
        <v>-4.8999999999999998E-3</v>
      </c>
      <c r="AE393" s="167"/>
      <c r="AF393" s="285"/>
      <c r="AG393" s="285"/>
      <c r="AH393" s="285"/>
      <c r="AI393" s="285"/>
      <c r="AJ393" s="283"/>
    </row>
    <row r="394" spans="1:36" x14ac:dyDescent="0.3">
      <c r="A394" s="168">
        <v>44887</v>
      </c>
      <c r="B394" s="83">
        <v>35.409999999999997</v>
      </c>
      <c r="C394" s="83">
        <v>34.9</v>
      </c>
      <c r="D394" s="83">
        <v>35.93</v>
      </c>
      <c r="E394" s="83">
        <v>34.770000000000003</v>
      </c>
      <c r="F394" s="83" t="s">
        <v>1860</v>
      </c>
      <c r="G394" s="284">
        <v>2.8400000000000002E-2</v>
      </c>
      <c r="I394" s="168">
        <v>44908</v>
      </c>
      <c r="J394" s="286">
        <v>2715.49</v>
      </c>
      <c r="K394" s="286">
        <v>2684.42</v>
      </c>
      <c r="L394" s="286">
        <v>2761.16</v>
      </c>
      <c r="M394" s="286">
        <v>2684.39</v>
      </c>
      <c r="N394" s="284" t="s">
        <v>2098</v>
      </c>
      <c r="P394" s="168">
        <v>44901</v>
      </c>
      <c r="Q394" s="286">
        <v>5.2351999999999999</v>
      </c>
      <c r="R394" s="286">
        <v>5.2811000000000003</v>
      </c>
      <c r="S394" s="286">
        <v>5.2811000000000003</v>
      </c>
      <c r="T394" s="286">
        <v>5.2183000000000002</v>
      </c>
      <c r="U394" s="284">
        <v>-8.6999999999999994E-3</v>
      </c>
      <c r="W394" s="168">
        <v>44881</v>
      </c>
      <c r="X394" s="288">
        <v>110243</v>
      </c>
      <c r="Y394" s="288">
        <v>113166</v>
      </c>
      <c r="Z394" s="288">
        <v>113473</v>
      </c>
      <c r="AA394" s="288">
        <v>109512</v>
      </c>
      <c r="AB394" s="284" t="s">
        <v>2228</v>
      </c>
      <c r="AC394" s="290">
        <v>-2.58E-2</v>
      </c>
      <c r="AE394" s="168"/>
      <c r="AF394" s="286"/>
      <c r="AG394" s="286"/>
      <c r="AH394" s="286"/>
      <c r="AI394" s="286"/>
      <c r="AJ394" s="284"/>
    </row>
    <row r="395" spans="1:36" x14ac:dyDescent="0.3">
      <c r="A395" s="167">
        <v>44886</v>
      </c>
      <c r="B395" s="171">
        <v>34.43</v>
      </c>
      <c r="C395" s="171">
        <v>34.270000000000003</v>
      </c>
      <c r="D395" s="171">
        <v>34.799999999999997</v>
      </c>
      <c r="E395" s="171">
        <v>32.81</v>
      </c>
      <c r="F395" s="171" t="s">
        <v>2227</v>
      </c>
      <c r="G395" s="283">
        <v>-2.9999999999999997E-4</v>
      </c>
      <c r="I395" s="167">
        <v>44907</v>
      </c>
      <c r="J395" s="285">
        <v>2683.56</v>
      </c>
      <c r="K395" s="285">
        <v>2662.15</v>
      </c>
      <c r="L395" s="285">
        <v>2684.31</v>
      </c>
      <c r="M395" s="285">
        <v>2656.99</v>
      </c>
      <c r="N395" s="283" t="s">
        <v>1618</v>
      </c>
      <c r="P395" s="167">
        <v>44900</v>
      </c>
      <c r="Q395" s="285">
        <v>5.2808999999999999</v>
      </c>
      <c r="R395" s="285">
        <v>5.2169999999999996</v>
      </c>
      <c r="S395" s="285">
        <v>5.2915999999999999</v>
      </c>
      <c r="T395" s="285">
        <v>5.2060000000000004</v>
      </c>
      <c r="U395" s="283">
        <v>1.1900000000000001E-2</v>
      </c>
      <c r="W395" s="167">
        <v>44879</v>
      </c>
      <c r="X395" s="287">
        <v>113161</v>
      </c>
      <c r="Y395" s="287">
        <v>112256</v>
      </c>
      <c r="Z395" s="287">
        <v>114322</v>
      </c>
      <c r="AA395" s="287">
        <v>111930</v>
      </c>
      <c r="AB395" s="283" t="s">
        <v>2226</v>
      </c>
      <c r="AC395" s="289">
        <v>8.0999999999999996E-3</v>
      </c>
      <c r="AE395" s="167"/>
      <c r="AF395" s="285"/>
      <c r="AG395" s="285"/>
      <c r="AH395" s="285"/>
      <c r="AI395" s="285"/>
      <c r="AJ395" s="283"/>
    </row>
    <row r="396" spans="1:36" x14ac:dyDescent="0.3">
      <c r="A396" s="168">
        <v>44883</v>
      </c>
      <c r="B396" s="83">
        <v>34.44</v>
      </c>
      <c r="C396" s="83">
        <v>36.04</v>
      </c>
      <c r="D396" s="83">
        <v>36.39</v>
      </c>
      <c r="E396" s="83">
        <v>34.200000000000003</v>
      </c>
      <c r="F396" s="83" t="s">
        <v>2225</v>
      </c>
      <c r="G396" s="284">
        <v>-3.6299999999999999E-2</v>
      </c>
      <c r="I396" s="168">
        <v>44904</v>
      </c>
      <c r="J396" s="286">
        <v>2662.86</v>
      </c>
      <c r="K396" s="286">
        <v>2670.71</v>
      </c>
      <c r="L396" s="286">
        <v>2685.1</v>
      </c>
      <c r="M396" s="286">
        <v>2661.43</v>
      </c>
      <c r="N396" s="284" t="s">
        <v>1686</v>
      </c>
      <c r="P396" s="168">
        <v>44897</v>
      </c>
      <c r="Q396" s="286">
        <v>5.2188999999999997</v>
      </c>
      <c r="R396" s="286">
        <v>5.1852</v>
      </c>
      <c r="S396" s="286">
        <v>5.2409999999999997</v>
      </c>
      <c r="T396" s="286">
        <v>5.1616</v>
      </c>
      <c r="U396" s="284">
        <v>6.6E-3</v>
      </c>
      <c r="W396" s="168">
        <v>44876</v>
      </c>
      <c r="X396" s="288">
        <v>112253</v>
      </c>
      <c r="Y396" s="288">
        <v>109775</v>
      </c>
      <c r="Z396" s="288">
        <v>113010</v>
      </c>
      <c r="AA396" s="288">
        <v>109408</v>
      </c>
      <c r="AB396" s="284" t="s">
        <v>2224</v>
      </c>
      <c r="AC396" s="290">
        <v>2.2599999999999999E-2</v>
      </c>
      <c r="AE396" s="168"/>
      <c r="AF396" s="286"/>
      <c r="AG396" s="286"/>
      <c r="AH396" s="286"/>
      <c r="AI396" s="286"/>
      <c r="AJ396" s="284"/>
    </row>
    <row r="397" spans="1:36" x14ac:dyDescent="0.3">
      <c r="A397" s="167">
        <v>44882</v>
      </c>
      <c r="B397" s="171">
        <v>35.74</v>
      </c>
      <c r="C397" s="171">
        <v>35.15</v>
      </c>
      <c r="D397" s="171">
        <v>35.74</v>
      </c>
      <c r="E397" s="171">
        <v>34.15</v>
      </c>
      <c r="F397" s="171" t="s">
        <v>2223</v>
      </c>
      <c r="G397" s="283">
        <v>-1.2999999999999999E-2</v>
      </c>
      <c r="I397" s="167">
        <v>44903</v>
      </c>
      <c r="J397" s="285">
        <v>2670.27</v>
      </c>
      <c r="K397" s="285">
        <v>2654.37</v>
      </c>
      <c r="L397" s="285">
        <v>2677</v>
      </c>
      <c r="M397" s="285">
        <v>2650.75</v>
      </c>
      <c r="N397" s="283" t="s">
        <v>1213</v>
      </c>
      <c r="P397" s="167">
        <v>44896</v>
      </c>
      <c r="Q397" s="285">
        <v>5.1848000000000001</v>
      </c>
      <c r="R397" s="285">
        <v>5.1856</v>
      </c>
      <c r="S397" s="285">
        <v>5.2175000000000002</v>
      </c>
      <c r="T397" s="285">
        <v>5.1627999999999998</v>
      </c>
      <c r="U397" s="283">
        <v>-1E-4</v>
      </c>
      <c r="W397" s="167">
        <v>44875</v>
      </c>
      <c r="X397" s="287">
        <v>109775</v>
      </c>
      <c r="Y397" s="287">
        <v>113579</v>
      </c>
      <c r="Z397" s="287">
        <v>113579</v>
      </c>
      <c r="AA397" s="287">
        <v>108516</v>
      </c>
      <c r="AB397" s="283" t="s">
        <v>2222</v>
      </c>
      <c r="AC397" s="289">
        <v>-3.3500000000000002E-2</v>
      </c>
      <c r="AE397" s="167"/>
      <c r="AF397" s="285"/>
      <c r="AG397" s="285"/>
      <c r="AH397" s="285"/>
      <c r="AI397" s="285"/>
      <c r="AJ397" s="283"/>
    </row>
    <row r="398" spans="1:36" x14ac:dyDescent="0.3">
      <c r="A398" s="168">
        <v>44881</v>
      </c>
      <c r="B398" s="83">
        <v>36.21</v>
      </c>
      <c r="C398" s="83">
        <v>38.51</v>
      </c>
      <c r="D398" s="83">
        <v>38.590000000000003</v>
      </c>
      <c r="E398" s="83">
        <v>35.28</v>
      </c>
      <c r="F398" s="83" t="s">
        <v>2221</v>
      </c>
      <c r="G398" s="284">
        <v>-5.79E-2</v>
      </c>
      <c r="I398" s="168">
        <v>44902</v>
      </c>
      <c r="J398" s="286">
        <v>2654.34</v>
      </c>
      <c r="K398" s="286">
        <v>2659.53</v>
      </c>
      <c r="L398" s="286">
        <v>2668.34</v>
      </c>
      <c r="M398" s="286">
        <v>2649.53</v>
      </c>
      <c r="N398" s="284" t="s">
        <v>1443</v>
      </c>
      <c r="P398" s="168">
        <v>44895</v>
      </c>
      <c r="Q398" s="286">
        <v>5.1851000000000003</v>
      </c>
      <c r="R398" s="286">
        <v>5.27</v>
      </c>
      <c r="S398" s="286">
        <v>5.3189000000000002</v>
      </c>
      <c r="T398" s="286">
        <v>5.1733000000000002</v>
      </c>
      <c r="U398" s="284">
        <v>-1.6E-2</v>
      </c>
      <c r="W398" s="168">
        <v>44874</v>
      </c>
      <c r="X398" s="288">
        <v>113580</v>
      </c>
      <c r="Y398" s="288">
        <v>116153</v>
      </c>
      <c r="Z398" s="288">
        <v>116183</v>
      </c>
      <c r="AA398" s="288">
        <v>113110</v>
      </c>
      <c r="AB398" s="284" t="s">
        <v>2220</v>
      </c>
      <c r="AC398" s="290">
        <v>-2.2200000000000001E-2</v>
      </c>
      <c r="AE398" s="168"/>
      <c r="AF398" s="286"/>
      <c r="AG398" s="286"/>
      <c r="AH398" s="286"/>
      <c r="AI398" s="286"/>
      <c r="AJ398" s="284"/>
    </row>
    <row r="399" spans="1:36" x14ac:dyDescent="0.3">
      <c r="A399" s="167">
        <v>44879</v>
      </c>
      <c r="B399" s="171">
        <v>38.44</v>
      </c>
      <c r="C399" s="171">
        <v>37.840000000000003</v>
      </c>
      <c r="D399" s="171">
        <v>39.19</v>
      </c>
      <c r="E399" s="171">
        <v>37.4</v>
      </c>
      <c r="F399" s="171" t="s">
        <v>2152</v>
      </c>
      <c r="G399" s="283">
        <v>2.12E-2</v>
      </c>
      <c r="I399" s="167">
        <v>44901</v>
      </c>
      <c r="J399" s="285">
        <v>2662.07</v>
      </c>
      <c r="K399" s="285">
        <v>2692.95</v>
      </c>
      <c r="L399" s="285">
        <v>2695.06</v>
      </c>
      <c r="M399" s="285">
        <v>2648.6</v>
      </c>
      <c r="N399" s="283" t="s">
        <v>2219</v>
      </c>
      <c r="P399" s="167">
        <v>44894</v>
      </c>
      <c r="Q399" s="285">
        <v>5.2694999999999999</v>
      </c>
      <c r="R399" s="285">
        <v>5.3658000000000001</v>
      </c>
      <c r="S399" s="285">
        <v>5.3658000000000001</v>
      </c>
      <c r="T399" s="285">
        <v>5.2698</v>
      </c>
      <c r="U399" s="283">
        <v>-1.7899999999999999E-2</v>
      </c>
      <c r="W399" s="167">
        <v>44873</v>
      </c>
      <c r="X399" s="287">
        <v>116160</v>
      </c>
      <c r="Y399" s="287">
        <v>115340</v>
      </c>
      <c r="Z399" s="287">
        <v>117072</v>
      </c>
      <c r="AA399" s="287">
        <v>114688</v>
      </c>
      <c r="AB399" s="283" t="s">
        <v>2218</v>
      </c>
      <c r="AC399" s="289">
        <v>7.1000000000000004E-3</v>
      </c>
      <c r="AE399" s="167"/>
      <c r="AF399" s="285"/>
      <c r="AG399" s="285"/>
      <c r="AH399" s="285"/>
      <c r="AI399" s="285"/>
      <c r="AJ399" s="283"/>
    </row>
    <row r="400" spans="1:36" x14ac:dyDescent="0.3">
      <c r="A400" s="168">
        <v>44876</v>
      </c>
      <c r="B400" s="83">
        <v>37.64</v>
      </c>
      <c r="C400" s="83">
        <v>36.85</v>
      </c>
      <c r="D400" s="83">
        <v>38.24</v>
      </c>
      <c r="E400" s="83">
        <v>36.85</v>
      </c>
      <c r="F400" s="83" t="s">
        <v>1998</v>
      </c>
      <c r="G400" s="284">
        <v>3.0599999999999999E-2</v>
      </c>
      <c r="I400" s="168">
        <v>44900</v>
      </c>
      <c r="J400" s="286">
        <v>2696.3</v>
      </c>
      <c r="K400" s="286">
        <v>2737.77</v>
      </c>
      <c r="L400" s="286">
        <v>2741.26</v>
      </c>
      <c r="M400" s="286">
        <v>2685.68</v>
      </c>
      <c r="N400" s="284" t="s">
        <v>2217</v>
      </c>
      <c r="P400" s="168">
        <v>44893</v>
      </c>
      <c r="Q400" s="286">
        <v>5.3654000000000002</v>
      </c>
      <c r="R400" s="286">
        <v>5.4080000000000004</v>
      </c>
      <c r="S400" s="286">
        <v>5.4306999999999999</v>
      </c>
      <c r="T400" s="286">
        <v>5.3478000000000003</v>
      </c>
      <c r="U400" s="284">
        <v>-8.2000000000000007E-3</v>
      </c>
      <c r="W400" s="168">
        <v>44872</v>
      </c>
      <c r="X400" s="288">
        <v>115342</v>
      </c>
      <c r="Y400" s="288">
        <v>118148</v>
      </c>
      <c r="Z400" s="288">
        <v>118240</v>
      </c>
      <c r="AA400" s="288">
        <v>115221</v>
      </c>
      <c r="AB400" s="284" t="s">
        <v>2029</v>
      </c>
      <c r="AC400" s="290">
        <v>-2.3800000000000002E-2</v>
      </c>
      <c r="AE400" s="168"/>
      <c r="AF400" s="286"/>
      <c r="AG400" s="286"/>
      <c r="AH400" s="286"/>
      <c r="AI400" s="286"/>
      <c r="AJ400" s="284"/>
    </row>
    <row r="401" spans="1:36" x14ac:dyDescent="0.3">
      <c r="A401" s="167">
        <v>44875</v>
      </c>
      <c r="B401" s="171">
        <v>36.520000000000003</v>
      </c>
      <c r="C401" s="171">
        <v>36.94</v>
      </c>
      <c r="D401" s="171">
        <v>37.28</v>
      </c>
      <c r="E401" s="171">
        <v>35.97</v>
      </c>
      <c r="F401" s="171" t="s">
        <v>2216</v>
      </c>
      <c r="G401" s="283">
        <v>-1.72E-2</v>
      </c>
      <c r="I401" s="167">
        <v>44897</v>
      </c>
      <c r="J401" s="285">
        <v>2733.03</v>
      </c>
      <c r="K401" s="285">
        <v>2742.79</v>
      </c>
      <c r="L401" s="285">
        <v>2743.74</v>
      </c>
      <c r="M401" s="285">
        <v>2710.94</v>
      </c>
      <c r="N401" s="283" t="s">
        <v>1443</v>
      </c>
      <c r="P401" s="167">
        <v>44890</v>
      </c>
      <c r="Q401" s="285">
        <v>5.4097999999999997</v>
      </c>
      <c r="R401" s="285">
        <v>5.3212999999999999</v>
      </c>
      <c r="S401" s="285">
        <v>5.4250999999999996</v>
      </c>
      <c r="T401" s="285">
        <v>5.3040000000000003</v>
      </c>
      <c r="U401" s="283">
        <v>1.67E-2</v>
      </c>
      <c r="W401" s="167">
        <v>44869</v>
      </c>
      <c r="X401" s="287">
        <v>118155</v>
      </c>
      <c r="Y401" s="287">
        <v>116907</v>
      </c>
      <c r="Z401" s="287">
        <v>120039</v>
      </c>
      <c r="AA401" s="287">
        <v>116904</v>
      </c>
      <c r="AB401" s="283" t="s">
        <v>2215</v>
      </c>
      <c r="AC401" s="289">
        <v>1.0800000000000001E-2</v>
      </c>
      <c r="AE401" s="167"/>
      <c r="AF401" s="285"/>
      <c r="AG401" s="285"/>
      <c r="AH401" s="285"/>
      <c r="AI401" s="285"/>
      <c r="AJ401" s="283"/>
    </row>
    <row r="402" spans="1:36" x14ac:dyDescent="0.3">
      <c r="A402" s="168">
        <v>44874</v>
      </c>
      <c r="B402" s="83">
        <v>37.159999999999997</v>
      </c>
      <c r="C402" s="83">
        <v>37.14</v>
      </c>
      <c r="D402" s="83">
        <v>38.69</v>
      </c>
      <c r="E402" s="83">
        <v>36.89</v>
      </c>
      <c r="F402" s="83" t="s">
        <v>2214</v>
      </c>
      <c r="G402" s="284">
        <v>-5.5999999999999999E-3</v>
      </c>
      <c r="I402" s="168">
        <v>44896</v>
      </c>
      <c r="J402" s="286">
        <v>2741.08</v>
      </c>
      <c r="K402" s="286">
        <v>2730.07</v>
      </c>
      <c r="L402" s="286">
        <v>2754.8</v>
      </c>
      <c r="M402" s="286">
        <v>2727.06</v>
      </c>
      <c r="N402" s="284" t="s">
        <v>2213</v>
      </c>
      <c r="P402" s="168">
        <v>44889</v>
      </c>
      <c r="Q402" s="286">
        <v>5.3208000000000002</v>
      </c>
      <c r="R402" s="286">
        <v>5.3596000000000004</v>
      </c>
      <c r="S402" s="286">
        <v>5.3596000000000004</v>
      </c>
      <c r="T402" s="286">
        <v>5.2991000000000001</v>
      </c>
      <c r="U402" s="284">
        <v>-7.1000000000000004E-3</v>
      </c>
      <c r="W402" s="168">
        <v>44868</v>
      </c>
      <c r="X402" s="288">
        <v>116896</v>
      </c>
      <c r="Y402" s="288">
        <v>116927</v>
      </c>
      <c r="Z402" s="288">
        <v>117373</v>
      </c>
      <c r="AA402" s="288">
        <v>114485</v>
      </c>
      <c r="AB402" s="284" t="s">
        <v>2119</v>
      </c>
      <c r="AC402" s="290">
        <v>-2.9999999999999997E-4</v>
      </c>
      <c r="AE402" s="168"/>
      <c r="AF402" s="286"/>
      <c r="AG402" s="286"/>
      <c r="AH402" s="286"/>
      <c r="AI402" s="286"/>
      <c r="AJ402" s="284"/>
    </row>
    <row r="403" spans="1:36" x14ac:dyDescent="0.3">
      <c r="A403" s="167">
        <v>44873</v>
      </c>
      <c r="B403" s="171">
        <v>37.369999999999997</v>
      </c>
      <c r="C403" s="171">
        <v>36.19</v>
      </c>
      <c r="D403" s="171">
        <v>37.590000000000003</v>
      </c>
      <c r="E403" s="171">
        <v>35.93</v>
      </c>
      <c r="F403" s="171" t="s">
        <v>1972</v>
      </c>
      <c r="G403" s="283">
        <v>2.7699999999999999E-2</v>
      </c>
      <c r="I403" s="167">
        <v>44895</v>
      </c>
      <c r="J403" s="285">
        <v>2720.89</v>
      </c>
      <c r="K403" s="285">
        <v>2661.08</v>
      </c>
      <c r="L403" s="285">
        <v>2729.73</v>
      </c>
      <c r="M403" s="285">
        <v>2654.45</v>
      </c>
      <c r="N403" s="283" t="s">
        <v>2146</v>
      </c>
      <c r="P403" s="167">
        <v>44888</v>
      </c>
      <c r="Q403" s="285">
        <v>5.3590999999999998</v>
      </c>
      <c r="R403" s="285">
        <v>5.3590999999999998</v>
      </c>
      <c r="S403" s="285">
        <v>5.4127000000000001</v>
      </c>
      <c r="T403" s="285">
        <v>5.3440000000000003</v>
      </c>
      <c r="U403" s="283">
        <v>1E-4</v>
      </c>
      <c r="W403" s="167">
        <v>44866</v>
      </c>
      <c r="X403" s="287">
        <v>116929</v>
      </c>
      <c r="Y403" s="287">
        <v>116037</v>
      </c>
      <c r="Z403" s="287">
        <v>118261</v>
      </c>
      <c r="AA403" s="287">
        <v>115547</v>
      </c>
      <c r="AB403" s="283" t="s">
        <v>2212</v>
      </c>
      <c r="AC403" s="289">
        <v>7.7000000000000002E-3</v>
      </c>
      <c r="AE403" s="167"/>
      <c r="AF403" s="285"/>
      <c r="AG403" s="285"/>
      <c r="AH403" s="285"/>
      <c r="AI403" s="285"/>
      <c r="AJ403" s="283"/>
    </row>
    <row r="404" spans="1:36" x14ac:dyDescent="0.3">
      <c r="A404" s="168">
        <v>44872</v>
      </c>
      <c r="B404" s="83">
        <v>36.36</v>
      </c>
      <c r="C404" s="83">
        <v>37.53</v>
      </c>
      <c r="D404" s="83">
        <v>37.54</v>
      </c>
      <c r="E404" s="83">
        <v>36.270000000000003</v>
      </c>
      <c r="F404" s="83" t="s">
        <v>1723</v>
      </c>
      <c r="G404" s="284">
        <v>-3.27E-2</v>
      </c>
      <c r="I404" s="168">
        <v>44894</v>
      </c>
      <c r="J404" s="286">
        <v>2663.25</v>
      </c>
      <c r="K404" s="286">
        <v>2664.37</v>
      </c>
      <c r="L404" s="286">
        <v>2675.56</v>
      </c>
      <c r="M404" s="286">
        <v>2652.8</v>
      </c>
      <c r="N404" s="284" t="s">
        <v>1390</v>
      </c>
      <c r="P404" s="168">
        <v>44887</v>
      </c>
      <c r="Q404" s="286">
        <v>5.3586</v>
      </c>
      <c r="R404" s="286">
        <v>5.3202999999999996</v>
      </c>
      <c r="S404" s="286">
        <v>5.4005000000000001</v>
      </c>
      <c r="T404" s="286">
        <v>5.2793999999999999</v>
      </c>
      <c r="U404" s="284">
        <v>7.3000000000000001E-3</v>
      </c>
      <c r="W404" s="168">
        <v>44865</v>
      </c>
      <c r="X404" s="288">
        <v>116037</v>
      </c>
      <c r="Y404" s="288">
        <v>114533</v>
      </c>
      <c r="Z404" s="288">
        <v>116763</v>
      </c>
      <c r="AA404" s="288">
        <v>112113</v>
      </c>
      <c r="AB404" s="284" t="s">
        <v>2211</v>
      </c>
      <c r="AC404" s="290">
        <v>1.3100000000000001E-2</v>
      </c>
      <c r="AE404" s="168"/>
      <c r="AF404" s="286"/>
      <c r="AG404" s="286"/>
      <c r="AH404" s="286"/>
      <c r="AI404" s="286"/>
      <c r="AJ404" s="284"/>
    </row>
    <row r="405" spans="1:36" x14ac:dyDescent="0.3">
      <c r="A405" s="167">
        <v>44869</v>
      </c>
      <c r="B405" s="171">
        <v>37.590000000000003</v>
      </c>
      <c r="C405" s="171">
        <v>37.76</v>
      </c>
      <c r="D405" s="171">
        <v>38.69</v>
      </c>
      <c r="E405" s="171">
        <v>37.200000000000003</v>
      </c>
      <c r="F405" s="171" t="s">
        <v>1775</v>
      </c>
      <c r="G405" s="283">
        <v>2.4799999999999999E-2</v>
      </c>
      <c r="I405" s="167">
        <v>44893</v>
      </c>
      <c r="J405" s="285">
        <v>2668.44</v>
      </c>
      <c r="K405" s="285">
        <v>2701.95</v>
      </c>
      <c r="L405" s="285">
        <v>2703.05</v>
      </c>
      <c r="M405" s="285">
        <v>2660.62</v>
      </c>
      <c r="N405" s="283" t="s">
        <v>2210</v>
      </c>
      <c r="P405" s="167">
        <v>44886</v>
      </c>
      <c r="Q405" s="285">
        <v>5.32</v>
      </c>
      <c r="R405" s="285">
        <v>5.3832000000000004</v>
      </c>
      <c r="S405" s="285">
        <v>5.3836000000000004</v>
      </c>
      <c r="T405" s="285">
        <v>5.2976000000000001</v>
      </c>
      <c r="U405" s="283">
        <v>-1.1599999999999999E-2</v>
      </c>
      <c r="W405" s="167">
        <v>44862</v>
      </c>
      <c r="X405" s="287">
        <v>114539</v>
      </c>
      <c r="Y405" s="287">
        <v>114636</v>
      </c>
      <c r="Z405" s="287">
        <v>114712</v>
      </c>
      <c r="AA405" s="287">
        <v>113336</v>
      </c>
      <c r="AB405" s="283" t="s">
        <v>2209</v>
      </c>
      <c r="AC405" s="289">
        <v>-8.9999999999999998E-4</v>
      </c>
      <c r="AE405" s="167"/>
      <c r="AF405" s="285"/>
      <c r="AG405" s="285"/>
      <c r="AH405" s="285"/>
      <c r="AI405" s="285"/>
      <c r="AJ405" s="283"/>
    </row>
    <row r="406" spans="1:36" x14ac:dyDescent="0.3">
      <c r="A406" s="168">
        <v>44868</v>
      </c>
      <c r="B406" s="83">
        <v>36.68</v>
      </c>
      <c r="C406" s="83">
        <v>36.81</v>
      </c>
      <c r="D406" s="83">
        <v>37.33</v>
      </c>
      <c r="E406" s="83">
        <v>36.19</v>
      </c>
      <c r="F406" s="83" t="s">
        <v>1808</v>
      </c>
      <c r="G406" s="284">
        <v>-1.0500000000000001E-2</v>
      </c>
      <c r="I406" s="168">
        <v>44890</v>
      </c>
      <c r="J406" s="286">
        <v>2703.67</v>
      </c>
      <c r="K406" s="286">
        <v>2705.29</v>
      </c>
      <c r="L406" s="286">
        <v>2707.72</v>
      </c>
      <c r="M406" s="286">
        <v>2697.59</v>
      </c>
      <c r="N406" s="284" t="s">
        <v>1440</v>
      </c>
      <c r="P406" s="168">
        <v>44883</v>
      </c>
      <c r="Q406" s="286">
        <v>5.3826999999999998</v>
      </c>
      <c r="R406" s="286">
        <v>5.4236000000000004</v>
      </c>
      <c r="S406" s="286">
        <v>5.4236000000000004</v>
      </c>
      <c r="T406" s="286">
        <v>5.3253000000000004</v>
      </c>
      <c r="U406" s="284">
        <v>-7.4000000000000003E-3</v>
      </c>
      <c r="W406" s="168">
        <v>44861</v>
      </c>
      <c r="X406" s="288">
        <v>114641</v>
      </c>
      <c r="Y406" s="288">
        <v>112766</v>
      </c>
      <c r="Z406" s="288">
        <v>116236</v>
      </c>
      <c r="AA406" s="288">
        <v>112765</v>
      </c>
      <c r="AB406" s="284" t="s">
        <v>2208</v>
      </c>
      <c r="AC406" s="290">
        <v>1.66E-2</v>
      </c>
      <c r="AE406" s="168"/>
      <c r="AF406" s="286"/>
      <c r="AG406" s="286"/>
      <c r="AH406" s="286"/>
      <c r="AI406" s="286"/>
      <c r="AJ406" s="284"/>
    </row>
    <row r="407" spans="1:36" x14ac:dyDescent="0.3">
      <c r="A407" s="167">
        <v>44866</v>
      </c>
      <c r="B407" s="171">
        <v>37.07</v>
      </c>
      <c r="C407" s="171">
        <v>36.520000000000003</v>
      </c>
      <c r="D407" s="171">
        <v>37.72</v>
      </c>
      <c r="E407" s="171">
        <v>36.06</v>
      </c>
      <c r="F407" s="171" t="s">
        <v>2207</v>
      </c>
      <c r="G407" s="283">
        <v>4.9200000000000001E-2</v>
      </c>
      <c r="I407" s="167">
        <v>44889</v>
      </c>
      <c r="J407" s="285">
        <v>2706.01</v>
      </c>
      <c r="K407" s="285">
        <v>2698.66</v>
      </c>
      <c r="L407" s="285">
        <v>2706.92</v>
      </c>
      <c r="M407" s="285">
        <v>2698.65</v>
      </c>
      <c r="N407" s="283" t="s">
        <v>2206</v>
      </c>
      <c r="P407" s="167">
        <v>44882</v>
      </c>
      <c r="Q407" s="285">
        <v>5.4230999999999998</v>
      </c>
      <c r="R407" s="285">
        <v>5.4002999999999997</v>
      </c>
      <c r="S407" s="285">
        <v>5.5307000000000004</v>
      </c>
      <c r="T407" s="285">
        <v>5.3865999999999996</v>
      </c>
      <c r="U407" s="283">
        <v>4.3E-3</v>
      </c>
      <c r="W407" s="167">
        <v>44860</v>
      </c>
      <c r="X407" s="287">
        <v>112764</v>
      </c>
      <c r="Y407" s="287">
        <v>114626</v>
      </c>
      <c r="Z407" s="287">
        <v>114626</v>
      </c>
      <c r="AA407" s="287">
        <v>112577</v>
      </c>
      <c r="AB407" s="283" t="s">
        <v>2038</v>
      </c>
      <c r="AC407" s="289">
        <v>-1.6199999999999999E-2</v>
      </c>
      <c r="AE407" s="167"/>
      <c r="AF407" s="285"/>
      <c r="AG407" s="285"/>
      <c r="AH407" s="285"/>
      <c r="AI407" s="285"/>
      <c r="AJ407" s="283"/>
    </row>
    <row r="408" spans="1:36" x14ac:dyDescent="0.3">
      <c r="A408" s="168">
        <v>44865</v>
      </c>
      <c r="B408" s="83">
        <v>35.33</v>
      </c>
      <c r="C408" s="83">
        <v>33.65</v>
      </c>
      <c r="D408" s="83">
        <v>35.479999999999997</v>
      </c>
      <c r="E408" s="83">
        <v>33.340000000000003</v>
      </c>
      <c r="F408" s="83" t="s">
        <v>2164</v>
      </c>
      <c r="G408" s="284">
        <v>4.0300000000000002E-2</v>
      </c>
      <c r="I408" s="168">
        <v>44888</v>
      </c>
      <c r="J408" s="286">
        <v>2697.39</v>
      </c>
      <c r="K408" s="286">
        <v>2677.58</v>
      </c>
      <c r="L408" s="286">
        <v>2701.98</v>
      </c>
      <c r="M408" s="286">
        <v>2676.33</v>
      </c>
      <c r="N408" s="284" t="s">
        <v>1247</v>
      </c>
      <c r="P408" s="168">
        <v>44881</v>
      </c>
      <c r="Q408" s="286">
        <v>5.3997999999999999</v>
      </c>
      <c r="R408" s="286">
        <v>5.3330000000000002</v>
      </c>
      <c r="S408" s="286">
        <v>5.4057000000000004</v>
      </c>
      <c r="T408" s="286">
        <v>5.2868000000000004</v>
      </c>
      <c r="U408" s="284">
        <v>1.26E-2</v>
      </c>
      <c r="W408" s="168">
        <v>44859</v>
      </c>
      <c r="X408" s="288">
        <v>114626</v>
      </c>
      <c r="Y408" s="288">
        <v>116016</v>
      </c>
      <c r="Z408" s="288">
        <v>116203</v>
      </c>
      <c r="AA408" s="288">
        <v>114626</v>
      </c>
      <c r="AB408" s="284" t="s">
        <v>2168</v>
      </c>
      <c r="AC408" s="290">
        <v>-1.2E-2</v>
      </c>
      <c r="AE408" s="168"/>
      <c r="AF408" s="286"/>
      <c r="AG408" s="286"/>
      <c r="AH408" s="286"/>
      <c r="AI408" s="286"/>
      <c r="AJ408" s="284"/>
    </row>
    <row r="409" spans="1:36" x14ac:dyDescent="0.3">
      <c r="A409" s="167">
        <v>44862</v>
      </c>
      <c r="B409" s="171">
        <v>33.97</v>
      </c>
      <c r="C409" s="171">
        <v>33.28</v>
      </c>
      <c r="D409" s="171">
        <v>34.22</v>
      </c>
      <c r="E409" s="171">
        <v>33.21</v>
      </c>
      <c r="F409" s="171" t="s">
        <v>2205</v>
      </c>
      <c r="G409" s="283">
        <v>1.2200000000000001E-2</v>
      </c>
      <c r="I409" s="167">
        <v>44887</v>
      </c>
      <c r="J409" s="285">
        <v>2675.46</v>
      </c>
      <c r="K409" s="285">
        <v>2641.19</v>
      </c>
      <c r="L409" s="285">
        <v>2677.33</v>
      </c>
      <c r="M409" s="285">
        <v>2641.19</v>
      </c>
      <c r="N409" s="283" t="s">
        <v>2204</v>
      </c>
      <c r="P409" s="167">
        <v>44880</v>
      </c>
      <c r="Q409" s="285">
        <v>5.3324999999999996</v>
      </c>
      <c r="R409" s="285">
        <v>5.3333000000000004</v>
      </c>
      <c r="S409" s="285">
        <v>5.3333000000000004</v>
      </c>
      <c r="T409" s="285">
        <v>5.3327999999999998</v>
      </c>
      <c r="U409" s="283">
        <v>1E-4</v>
      </c>
      <c r="W409" s="167">
        <v>44858</v>
      </c>
      <c r="X409" s="287">
        <v>116013</v>
      </c>
      <c r="Y409" s="287">
        <v>119922</v>
      </c>
      <c r="Z409" s="287">
        <v>119924</v>
      </c>
      <c r="AA409" s="287">
        <v>115793</v>
      </c>
      <c r="AB409" s="283" t="s">
        <v>1693</v>
      </c>
      <c r="AC409" s="289">
        <v>-3.27E-2</v>
      </c>
      <c r="AE409" s="167"/>
      <c r="AF409" s="285"/>
      <c r="AG409" s="285"/>
      <c r="AH409" s="285"/>
      <c r="AI409" s="285"/>
      <c r="AJ409" s="283"/>
    </row>
    <row r="410" spans="1:36" x14ac:dyDescent="0.3">
      <c r="A410" s="168">
        <v>44861</v>
      </c>
      <c r="B410" s="83">
        <v>33.56</v>
      </c>
      <c r="C410" s="83">
        <v>33.340000000000003</v>
      </c>
      <c r="D410" s="83">
        <v>34.200000000000003</v>
      </c>
      <c r="E410" s="83">
        <v>33.24</v>
      </c>
      <c r="F410" s="83" t="s">
        <v>1620</v>
      </c>
      <c r="G410" s="284">
        <v>8.3999999999999995E-3</v>
      </c>
      <c r="I410" s="168">
        <v>44886</v>
      </c>
      <c r="J410" s="286">
        <v>2640.44</v>
      </c>
      <c r="K410" s="286">
        <v>2657.55</v>
      </c>
      <c r="L410" s="286">
        <v>2657.68</v>
      </c>
      <c r="M410" s="286">
        <v>2632.17</v>
      </c>
      <c r="N410" s="284" t="s">
        <v>2203</v>
      </c>
      <c r="P410" s="168">
        <v>44879</v>
      </c>
      <c r="Q410" s="286">
        <v>5.3320999999999996</v>
      </c>
      <c r="R410" s="286">
        <v>5.3253000000000004</v>
      </c>
      <c r="S410" s="286">
        <v>5.3526999999999996</v>
      </c>
      <c r="T410" s="286">
        <v>5.2588999999999997</v>
      </c>
      <c r="U410" s="284">
        <v>1.2999999999999999E-3</v>
      </c>
      <c r="W410" s="168">
        <v>44855</v>
      </c>
      <c r="X410" s="288">
        <v>119929</v>
      </c>
      <c r="Y410" s="288">
        <v>117170</v>
      </c>
      <c r="Z410" s="288">
        <v>120752</v>
      </c>
      <c r="AA410" s="288">
        <v>116736</v>
      </c>
      <c r="AB410" s="284" t="s">
        <v>2202</v>
      </c>
      <c r="AC410" s="290">
        <v>2.35E-2</v>
      </c>
      <c r="AE410" s="168"/>
      <c r="AF410" s="286"/>
      <c r="AG410" s="286"/>
      <c r="AH410" s="286"/>
      <c r="AI410" s="286"/>
      <c r="AJ410" s="284"/>
    </row>
    <row r="411" spans="1:36" x14ac:dyDescent="0.3">
      <c r="A411" s="167">
        <v>44860</v>
      </c>
      <c r="B411" s="171">
        <v>33.28</v>
      </c>
      <c r="C411" s="171">
        <v>33.9</v>
      </c>
      <c r="D411" s="171">
        <v>34.28</v>
      </c>
      <c r="E411" s="171">
        <v>33.119999999999997</v>
      </c>
      <c r="F411" s="171" t="s">
        <v>1782</v>
      </c>
      <c r="G411" s="283">
        <v>-1.3599999999999999E-2</v>
      </c>
      <c r="I411" s="167">
        <v>44883</v>
      </c>
      <c r="J411" s="285">
        <v>2658.9</v>
      </c>
      <c r="K411" s="285">
        <v>2645.26</v>
      </c>
      <c r="L411" s="285">
        <v>2666</v>
      </c>
      <c r="M411" s="285">
        <v>2642.83</v>
      </c>
      <c r="N411" s="283" t="s">
        <v>2201</v>
      </c>
      <c r="P411" s="167">
        <v>44876</v>
      </c>
      <c r="Q411" s="285">
        <v>5.3250000000000002</v>
      </c>
      <c r="R411" s="285">
        <v>5.3453999999999997</v>
      </c>
      <c r="S411" s="285">
        <v>5.4066000000000001</v>
      </c>
      <c r="T411" s="285">
        <v>5.2484000000000002</v>
      </c>
      <c r="U411" s="283">
        <v>-3.7000000000000002E-3</v>
      </c>
      <c r="W411" s="167">
        <v>44854</v>
      </c>
      <c r="X411" s="287">
        <v>117171</v>
      </c>
      <c r="Y411" s="287">
        <v>116276</v>
      </c>
      <c r="Z411" s="287">
        <v>117367</v>
      </c>
      <c r="AA411" s="287">
        <v>116276</v>
      </c>
      <c r="AB411" s="283" t="s">
        <v>2200</v>
      </c>
      <c r="AC411" s="289">
        <v>7.7000000000000002E-3</v>
      </c>
      <c r="AE411" s="167"/>
      <c r="AF411" s="285"/>
      <c r="AG411" s="285"/>
      <c r="AH411" s="285"/>
      <c r="AI411" s="285"/>
      <c r="AJ411" s="283"/>
    </row>
    <row r="412" spans="1:36" x14ac:dyDescent="0.3">
      <c r="A412" s="168">
        <v>44859</v>
      </c>
      <c r="B412" s="83">
        <v>33.74</v>
      </c>
      <c r="C412" s="83">
        <v>33.25</v>
      </c>
      <c r="D412" s="83">
        <v>34.200000000000003</v>
      </c>
      <c r="E412" s="83">
        <v>33.06</v>
      </c>
      <c r="F412" s="83" t="s">
        <v>1255</v>
      </c>
      <c r="G412" s="284">
        <v>8.9999999999999993E-3</v>
      </c>
      <c r="I412" s="168">
        <v>44882</v>
      </c>
      <c r="J412" s="286">
        <v>2642.34</v>
      </c>
      <c r="K412" s="286">
        <v>2656.81</v>
      </c>
      <c r="L412" s="286">
        <v>2660.61</v>
      </c>
      <c r="M412" s="286">
        <v>2622.46</v>
      </c>
      <c r="N412" s="284" t="s">
        <v>1694</v>
      </c>
      <c r="P412" s="168">
        <v>44875</v>
      </c>
      <c r="Q412" s="286">
        <v>5.3449</v>
      </c>
      <c r="R412" s="286">
        <v>5.1868999999999996</v>
      </c>
      <c r="S412" s="286">
        <v>5.4154999999999998</v>
      </c>
      <c r="T412" s="286">
        <v>5.1868999999999996</v>
      </c>
      <c r="U412" s="284">
        <v>3.0599999999999999E-2</v>
      </c>
      <c r="W412" s="168">
        <v>44853</v>
      </c>
      <c r="X412" s="288">
        <v>116274</v>
      </c>
      <c r="Y412" s="288">
        <v>115744</v>
      </c>
      <c r="Z412" s="288">
        <v>116459</v>
      </c>
      <c r="AA412" s="288">
        <v>115264</v>
      </c>
      <c r="AB412" s="284" t="s">
        <v>2199</v>
      </c>
      <c r="AC412" s="290">
        <v>4.5999999999999999E-3</v>
      </c>
      <c r="AE412" s="168"/>
      <c r="AF412" s="286"/>
      <c r="AG412" s="286"/>
      <c r="AH412" s="286"/>
      <c r="AI412" s="286"/>
      <c r="AJ412" s="284"/>
    </row>
    <row r="413" spans="1:36" x14ac:dyDescent="0.3">
      <c r="A413" s="167">
        <v>44858</v>
      </c>
      <c r="B413" s="171">
        <v>33.44</v>
      </c>
      <c r="C413" s="171">
        <v>33.409999999999997</v>
      </c>
      <c r="D413" s="171">
        <v>33.950000000000003</v>
      </c>
      <c r="E413" s="171">
        <v>33.06</v>
      </c>
      <c r="F413" s="171" t="s">
        <v>2198</v>
      </c>
      <c r="G413" s="283">
        <v>-1.06E-2</v>
      </c>
      <c r="I413" s="167">
        <v>44881</v>
      </c>
      <c r="J413" s="285">
        <v>2657.58</v>
      </c>
      <c r="K413" s="285">
        <v>2678.36</v>
      </c>
      <c r="L413" s="285">
        <v>2680.39</v>
      </c>
      <c r="M413" s="285">
        <v>2654.64</v>
      </c>
      <c r="N413" s="283" t="s">
        <v>1281</v>
      </c>
      <c r="P413" s="167">
        <v>44874</v>
      </c>
      <c r="Q413" s="285">
        <v>5.1863999999999999</v>
      </c>
      <c r="R413" s="285">
        <v>5.1444000000000001</v>
      </c>
      <c r="S413" s="285">
        <v>5.2013999999999996</v>
      </c>
      <c r="T413" s="285">
        <v>5.1364000000000001</v>
      </c>
      <c r="U413" s="283">
        <v>8.2000000000000007E-3</v>
      </c>
      <c r="W413" s="167">
        <v>44852</v>
      </c>
      <c r="X413" s="287">
        <v>115743</v>
      </c>
      <c r="Y413" s="287">
        <v>113627</v>
      </c>
      <c r="Z413" s="287">
        <v>115795</v>
      </c>
      <c r="AA413" s="287">
        <v>113627</v>
      </c>
      <c r="AB413" s="283" t="s">
        <v>2197</v>
      </c>
      <c r="AC413" s="289">
        <v>1.8700000000000001E-2</v>
      </c>
      <c r="AE413" s="167"/>
      <c r="AF413" s="285"/>
      <c r="AG413" s="285"/>
      <c r="AH413" s="285"/>
      <c r="AI413" s="285"/>
      <c r="AJ413" s="283"/>
    </row>
    <row r="414" spans="1:36" x14ac:dyDescent="0.3">
      <c r="A414" s="168">
        <v>44855</v>
      </c>
      <c r="B414" s="83">
        <v>33.799999999999997</v>
      </c>
      <c r="C414" s="83">
        <v>33.04</v>
      </c>
      <c r="D414" s="83">
        <v>34.03</v>
      </c>
      <c r="E414" s="83">
        <v>33.04</v>
      </c>
      <c r="F414" s="83" t="s">
        <v>2196</v>
      </c>
      <c r="G414" s="284">
        <v>1.9300000000000001E-2</v>
      </c>
      <c r="I414" s="168">
        <v>44880</v>
      </c>
      <c r="J414" s="286">
        <v>2678.23</v>
      </c>
      <c r="K414" s="286">
        <v>2654.01</v>
      </c>
      <c r="L414" s="286">
        <v>2697.18</v>
      </c>
      <c r="M414" s="286">
        <v>2653.13</v>
      </c>
      <c r="N414" s="284" t="s">
        <v>2195</v>
      </c>
      <c r="P414" s="168">
        <v>44873</v>
      </c>
      <c r="Q414" s="286">
        <v>5.1440000000000001</v>
      </c>
      <c r="R414" s="286">
        <v>5.1571999999999996</v>
      </c>
      <c r="S414" s="286">
        <v>5.2488000000000001</v>
      </c>
      <c r="T414" s="286">
        <v>5.1298000000000004</v>
      </c>
      <c r="U414" s="284">
        <v>-2.5000000000000001E-3</v>
      </c>
      <c r="W414" s="168">
        <v>44851</v>
      </c>
      <c r="X414" s="288">
        <v>113624</v>
      </c>
      <c r="Y414" s="288">
        <v>112107</v>
      </c>
      <c r="Z414" s="288">
        <v>114406</v>
      </c>
      <c r="AA414" s="288">
        <v>112090</v>
      </c>
      <c r="AB414" s="284" t="s">
        <v>1294</v>
      </c>
      <c r="AC414" s="290">
        <v>1.38E-2</v>
      </c>
      <c r="AE414" s="168"/>
      <c r="AF414" s="286"/>
      <c r="AG414" s="286"/>
      <c r="AH414" s="286"/>
      <c r="AI414" s="286"/>
      <c r="AJ414" s="284"/>
    </row>
    <row r="415" spans="1:36" x14ac:dyDescent="0.3">
      <c r="A415" s="167">
        <v>44854</v>
      </c>
      <c r="B415" s="171">
        <v>33.159999999999997</v>
      </c>
      <c r="C415" s="171">
        <v>33.85</v>
      </c>
      <c r="D415" s="171">
        <v>33.94</v>
      </c>
      <c r="E415" s="171">
        <v>32.75</v>
      </c>
      <c r="F415" s="171" t="s">
        <v>2194</v>
      </c>
      <c r="G415" s="283">
        <v>-6.6E-3</v>
      </c>
      <c r="I415" s="167">
        <v>44879</v>
      </c>
      <c r="J415" s="285">
        <v>2653.94</v>
      </c>
      <c r="K415" s="285">
        <v>2673.82</v>
      </c>
      <c r="L415" s="285">
        <v>2680.96</v>
      </c>
      <c r="M415" s="285">
        <v>2653.94</v>
      </c>
      <c r="N415" s="283" t="s">
        <v>1726</v>
      </c>
      <c r="P415" s="167">
        <v>44872</v>
      </c>
      <c r="Q415" s="285">
        <v>5.1566999999999998</v>
      </c>
      <c r="R415" s="285">
        <v>5.0571000000000002</v>
      </c>
      <c r="S415" s="285">
        <v>5.1757</v>
      </c>
      <c r="T415" s="285">
        <v>5.0461</v>
      </c>
      <c r="U415" s="283">
        <v>0.02</v>
      </c>
      <c r="W415" s="167">
        <v>44848</v>
      </c>
      <c r="X415" s="287">
        <v>112072</v>
      </c>
      <c r="Y415" s="287">
        <v>114301</v>
      </c>
      <c r="Z415" s="287">
        <v>114712</v>
      </c>
      <c r="AA415" s="287">
        <v>111631</v>
      </c>
      <c r="AB415" s="283" t="s">
        <v>2193</v>
      </c>
      <c r="AC415" s="289">
        <v>-1.95E-2</v>
      </c>
      <c r="AE415" s="167"/>
      <c r="AF415" s="285"/>
      <c r="AG415" s="285"/>
      <c r="AH415" s="285"/>
      <c r="AI415" s="285"/>
      <c r="AJ415" s="283"/>
    </row>
    <row r="416" spans="1:36" x14ac:dyDescent="0.3">
      <c r="A416" s="168">
        <v>44853</v>
      </c>
      <c r="B416" s="83">
        <v>33.380000000000003</v>
      </c>
      <c r="C416" s="83">
        <v>32.26</v>
      </c>
      <c r="D416" s="83">
        <v>33.590000000000003</v>
      </c>
      <c r="E416" s="83">
        <v>31.91</v>
      </c>
      <c r="F416" s="83" t="s">
        <v>2047</v>
      </c>
      <c r="G416" s="284">
        <v>3.7199999999999997E-2</v>
      </c>
      <c r="I416" s="168">
        <v>44876</v>
      </c>
      <c r="J416" s="286">
        <v>2674.08</v>
      </c>
      <c r="K416" s="286">
        <v>2639.57</v>
      </c>
      <c r="L416" s="286">
        <v>2681.11</v>
      </c>
      <c r="M416" s="286">
        <v>2639.57</v>
      </c>
      <c r="N416" s="284" t="s">
        <v>1827</v>
      </c>
      <c r="P416" s="168">
        <v>44869</v>
      </c>
      <c r="Q416" s="286">
        <v>5.0556999999999999</v>
      </c>
      <c r="R416" s="286">
        <v>5.117</v>
      </c>
      <c r="S416" s="286">
        <v>5.117</v>
      </c>
      <c r="T416" s="286">
        <v>5.0183999999999997</v>
      </c>
      <c r="U416" s="284">
        <v>-1.1299999999999999E-2</v>
      </c>
      <c r="W416" s="168">
        <v>44847</v>
      </c>
      <c r="X416" s="288">
        <v>114300</v>
      </c>
      <c r="Y416" s="288">
        <v>114819</v>
      </c>
      <c r="Z416" s="288">
        <v>115367</v>
      </c>
      <c r="AA416" s="288">
        <v>112690</v>
      </c>
      <c r="AB416" s="284" t="s">
        <v>1780</v>
      </c>
      <c r="AC416" s="290">
        <v>-4.5999999999999999E-3</v>
      </c>
      <c r="AE416" s="168"/>
      <c r="AF416" s="286"/>
      <c r="AG416" s="286"/>
      <c r="AH416" s="286"/>
      <c r="AI416" s="286"/>
      <c r="AJ416" s="284"/>
    </row>
    <row r="417" spans="1:36" x14ac:dyDescent="0.3">
      <c r="A417" s="167">
        <v>44852</v>
      </c>
      <c r="B417" s="171">
        <v>32.18</v>
      </c>
      <c r="C417" s="171">
        <v>31.55</v>
      </c>
      <c r="D417" s="171">
        <v>32.299999999999997</v>
      </c>
      <c r="E417" s="171">
        <v>31.51</v>
      </c>
      <c r="F417" s="171" t="s">
        <v>1983</v>
      </c>
      <c r="G417" s="283">
        <v>2.81E-2</v>
      </c>
      <c r="I417" s="167">
        <v>44875</v>
      </c>
      <c r="J417" s="285">
        <v>2636.55</v>
      </c>
      <c r="K417" s="285">
        <v>2507.96</v>
      </c>
      <c r="L417" s="285">
        <v>2640.26</v>
      </c>
      <c r="M417" s="285">
        <v>2502</v>
      </c>
      <c r="N417" s="283" t="s">
        <v>2192</v>
      </c>
      <c r="P417" s="167">
        <v>44868</v>
      </c>
      <c r="Q417" s="285">
        <v>5.1136999999999997</v>
      </c>
      <c r="R417" s="285">
        <v>5.1436999999999999</v>
      </c>
      <c r="S417" s="285">
        <v>5.2244000000000002</v>
      </c>
      <c r="T417" s="285">
        <v>5.0830000000000002</v>
      </c>
      <c r="U417" s="283">
        <v>-5.7000000000000002E-3</v>
      </c>
      <c r="W417" s="167">
        <v>44845</v>
      </c>
      <c r="X417" s="287">
        <v>114827</v>
      </c>
      <c r="Y417" s="287">
        <v>115928</v>
      </c>
      <c r="Z417" s="287">
        <v>115928</v>
      </c>
      <c r="AA417" s="287">
        <v>114297</v>
      </c>
      <c r="AB417" s="283" t="s">
        <v>1490</v>
      </c>
      <c r="AC417" s="289">
        <v>-9.5999999999999992E-3</v>
      </c>
      <c r="AE417" s="167"/>
      <c r="AF417" s="285"/>
      <c r="AG417" s="285"/>
      <c r="AH417" s="285"/>
      <c r="AI417" s="285"/>
      <c r="AJ417" s="283"/>
    </row>
    <row r="418" spans="1:36" x14ac:dyDescent="0.3">
      <c r="A418" s="168">
        <v>44851</v>
      </c>
      <c r="B418" s="83">
        <v>31.3</v>
      </c>
      <c r="C418" s="83">
        <v>31.25</v>
      </c>
      <c r="D418" s="83">
        <v>31.78</v>
      </c>
      <c r="E418" s="83">
        <v>31.1</v>
      </c>
      <c r="F418" s="83" t="s">
        <v>2191</v>
      </c>
      <c r="G418" s="284">
        <v>9.7000000000000003E-3</v>
      </c>
      <c r="I418" s="168">
        <v>44874</v>
      </c>
      <c r="J418" s="286">
        <v>2509.77</v>
      </c>
      <c r="K418" s="286">
        <v>2554.33</v>
      </c>
      <c r="L418" s="286">
        <v>2555.69</v>
      </c>
      <c r="M418" s="286">
        <v>2506.12</v>
      </c>
      <c r="N418" s="284" t="s">
        <v>2190</v>
      </c>
      <c r="P418" s="168">
        <v>44867</v>
      </c>
      <c r="Q418" s="286">
        <v>5.1432000000000002</v>
      </c>
      <c r="R418" s="286">
        <v>5.1475</v>
      </c>
      <c r="S418" s="286">
        <v>5.1479999999999997</v>
      </c>
      <c r="T418" s="286">
        <v>5.1436999999999999</v>
      </c>
      <c r="U418" s="284">
        <v>-8.0000000000000004E-4</v>
      </c>
      <c r="W418" s="168">
        <v>44844</v>
      </c>
      <c r="X418" s="288">
        <v>115941</v>
      </c>
      <c r="Y418" s="288">
        <v>116377</v>
      </c>
      <c r="Z418" s="288">
        <v>116841</v>
      </c>
      <c r="AA418" s="288">
        <v>115261</v>
      </c>
      <c r="AB418" s="284" t="s">
        <v>2018</v>
      </c>
      <c r="AC418" s="290">
        <v>-3.7000000000000002E-3</v>
      </c>
      <c r="AE418" s="168"/>
      <c r="AF418" s="286"/>
      <c r="AG418" s="286"/>
      <c r="AH418" s="286"/>
      <c r="AI418" s="286"/>
      <c r="AJ418" s="284"/>
    </row>
    <row r="419" spans="1:36" x14ac:dyDescent="0.3">
      <c r="A419" s="167">
        <v>44848</v>
      </c>
      <c r="B419" s="171">
        <v>31</v>
      </c>
      <c r="C419" s="171">
        <v>31.83</v>
      </c>
      <c r="D419" s="171">
        <v>31.89</v>
      </c>
      <c r="E419" s="171">
        <v>30.71</v>
      </c>
      <c r="F419" s="171" t="s">
        <v>1424</v>
      </c>
      <c r="G419" s="283">
        <v>-2.24E-2</v>
      </c>
      <c r="I419" s="167">
        <v>44873</v>
      </c>
      <c r="J419" s="285">
        <v>2554.87</v>
      </c>
      <c r="K419" s="285">
        <v>2535.6799999999998</v>
      </c>
      <c r="L419" s="285">
        <v>2571.35</v>
      </c>
      <c r="M419" s="285">
        <v>2533.1</v>
      </c>
      <c r="N419" s="283" t="s">
        <v>2114</v>
      </c>
      <c r="P419" s="167">
        <v>44866</v>
      </c>
      <c r="Q419" s="285">
        <v>5.1475</v>
      </c>
      <c r="R419" s="285">
        <v>5.1802999999999999</v>
      </c>
      <c r="S419" s="285">
        <v>5.2069000000000001</v>
      </c>
      <c r="T419" s="285">
        <v>5.0830000000000002</v>
      </c>
      <c r="U419" s="283">
        <v>-6.1000000000000004E-3</v>
      </c>
      <c r="W419" s="167">
        <v>44841</v>
      </c>
      <c r="X419" s="287">
        <v>116375</v>
      </c>
      <c r="Y419" s="287">
        <v>117560</v>
      </c>
      <c r="Z419" s="287">
        <v>117960</v>
      </c>
      <c r="AA419" s="287">
        <v>115924</v>
      </c>
      <c r="AB419" s="283" t="s">
        <v>1596</v>
      </c>
      <c r="AC419" s="289">
        <v>-1.01E-2</v>
      </c>
      <c r="AE419" s="167"/>
      <c r="AF419" s="285"/>
      <c r="AG419" s="285"/>
      <c r="AH419" s="285"/>
      <c r="AI419" s="285"/>
      <c r="AJ419" s="283"/>
    </row>
    <row r="420" spans="1:36" x14ac:dyDescent="0.3">
      <c r="A420" s="168">
        <v>44847</v>
      </c>
      <c r="B420" s="83">
        <v>31.71</v>
      </c>
      <c r="C420" s="83">
        <v>31.09</v>
      </c>
      <c r="D420" s="83">
        <v>32.36</v>
      </c>
      <c r="E420" s="83">
        <v>30.98</v>
      </c>
      <c r="F420" s="83" t="s">
        <v>1294</v>
      </c>
      <c r="G420" s="284">
        <v>8.3000000000000001E-3</v>
      </c>
      <c r="I420" s="168">
        <v>44872</v>
      </c>
      <c r="J420" s="286">
        <v>2533.63</v>
      </c>
      <c r="K420" s="286">
        <v>2508.8000000000002</v>
      </c>
      <c r="L420" s="286">
        <v>2538.64</v>
      </c>
      <c r="M420" s="286">
        <v>2507.9699999999998</v>
      </c>
      <c r="N420" s="284" t="s">
        <v>2189</v>
      </c>
      <c r="P420" s="168">
        <v>44865</v>
      </c>
      <c r="Q420" s="286">
        <v>5.1791</v>
      </c>
      <c r="R420" s="286">
        <v>5.2961999999999998</v>
      </c>
      <c r="S420" s="286">
        <v>5.4082999999999997</v>
      </c>
      <c r="T420" s="286">
        <v>5.1531000000000002</v>
      </c>
      <c r="U420" s="284">
        <v>-2.1899999999999999E-2</v>
      </c>
      <c r="W420" s="168">
        <v>44840</v>
      </c>
      <c r="X420" s="288">
        <v>117561</v>
      </c>
      <c r="Y420" s="288">
        <v>117200</v>
      </c>
      <c r="Z420" s="288">
        <v>118382</v>
      </c>
      <c r="AA420" s="288">
        <v>117144</v>
      </c>
      <c r="AB420" s="284" t="s">
        <v>2176</v>
      </c>
      <c r="AC420" s="290">
        <v>3.0999999999999999E-3</v>
      </c>
      <c r="AE420" s="168"/>
      <c r="AF420" s="286"/>
      <c r="AG420" s="286"/>
      <c r="AH420" s="286"/>
      <c r="AI420" s="286"/>
      <c r="AJ420" s="284"/>
    </row>
    <row r="421" spans="1:36" x14ac:dyDescent="0.3">
      <c r="A421" s="167">
        <v>44845</v>
      </c>
      <c r="B421" s="171">
        <v>31.45</v>
      </c>
      <c r="C421" s="171">
        <v>31.12</v>
      </c>
      <c r="D421" s="171">
        <v>31.82</v>
      </c>
      <c r="E421" s="171">
        <v>30.88</v>
      </c>
      <c r="F421" s="171" t="s">
        <v>2188</v>
      </c>
      <c r="G421" s="283">
        <v>1.2999999999999999E-3</v>
      </c>
      <c r="I421" s="167">
        <v>44869</v>
      </c>
      <c r="J421" s="285">
        <v>2507.2199999999998</v>
      </c>
      <c r="K421" s="285">
        <v>2466.38</v>
      </c>
      <c r="L421" s="285">
        <v>2525.7399999999998</v>
      </c>
      <c r="M421" s="285">
        <v>2464.94</v>
      </c>
      <c r="N421" s="283" t="s">
        <v>2037</v>
      </c>
      <c r="P421" s="167">
        <v>44862</v>
      </c>
      <c r="Q421" s="285">
        <v>5.2949000000000002</v>
      </c>
      <c r="R421" s="285">
        <v>5.3451000000000004</v>
      </c>
      <c r="S421" s="285">
        <v>5.3832000000000004</v>
      </c>
      <c r="T421" s="285">
        <v>5.28</v>
      </c>
      <c r="U421" s="283">
        <v>-9.4000000000000004E-3</v>
      </c>
      <c r="W421" s="167">
        <v>44839</v>
      </c>
      <c r="X421" s="287">
        <v>117198</v>
      </c>
      <c r="Y421" s="287">
        <v>116231</v>
      </c>
      <c r="Z421" s="287">
        <v>117514</v>
      </c>
      <c r="AA421" s="287">
        <v>115906</v>
      </c>
      <c r="AB421" s="283" t="s">
        <v>2187</v>
      </c>
      <c r="AC421" s="289">
        <v>8.3000000000000001E-3</v>
      </c>
      <c r="AE421" s="167"/>
      <c r="AF421" s="285"/>
      <c r="AG421" s="285"/>
      <c r="AH421" s="285"/>
      <c r="AI421" s="285"/>
      <c r="AJ421" s="283"/>
    </row>
    <row r="422" spans="1:36" x14ac:dyDescent="0.3">
      <c r="A422" s="168">
        <v>44844</v>
      </c>
      <c r="B422" s="83">
        <v>31.41</v>
      </c>
      <c r="C422" s="83">
        <v>32.31</v>
      </c>
      <c r="D422" s="83">
        <v>32.35</v>
      </c>
      <c r="E422" s="83">
        <v>31.18</v>
      </c>
      <c r="F422" s="83" t="s">
        <v>2186</v>
      </c>
      <c r="G422" s="284">
        <v>-1.72E-2</v>
      </c>
      <c r="I422" s="168">
        <v>44868</v>
      </c>
      <c r="J422" s="286">
        <v>2467.89</v>
      </c>
      <c r="K422" s="286">
        <v>2495.23</v>
      </c>
      <c r="L422" s="286">
        <v>2496.11</v>
      </c>
      <c r="M422" s="286">
        <v>2453.1999999999998</v>
      </c>
      <c r="N422" s="284" t="s">
        <v>1244</v>
      </c>
      <c r="P422" s="168">
        <v>44861</v>
      </c>
      <c r="Q422" s="286">
        <v>5.3449</v>
      </c>
      <c r="R422" s="286">
        <v>5.3807</v>
      </c>
      <c r="S422" s="286">
        <v>5.3926999999999996</v>
      </c>
      <c r="T422" s="286">
        <v>5.2405999999999997</v>
      </c>
      <c r="U422" s="284">
        <v>-6.6E-3</v>
      </c>
      <c r="W422" s="168">
        <v>44838</v>
      </c>
      <c r="X422" s="288">
        <v>116230</v>
      </c>
      <c r="Y422" s="288">
        <v>116147</v>
      </c>
      <c r="Z422" s="288">
        <v>118280</v>
      </c>
      <c r="AA422" s="288">
        <v>115837</v>
      </c>
      <c r="AB422" s="284" t="s">
        <v>2185</v>
      </c>
      <c r="AC422" s="290">
        <v>8.0000000000000004E-4</v>
      </c>
      <c r="AE422" s="168"/>
      <c r="AF422" s="286"/>
      <c r="AG422" s="286"/>
      <c r="AH422" s="286"/>
      <c r="AI422" s="286"/>
      <c r="AJ422" s="284"/>
    </row>
    <row r="423" spans="1:36" x14ac:dyDescent="0.3">
      <c r="A423" s="167">
        <v>44841</v>
      </c>
      <c r="B423" s="171">
        <v>31.96</v>
      </c>
      <c r="C423" s="171">
        <v>31.46</v>
      </c>
      <c r="D423" s="171">
        <v>32.5</v>
      </c>
      <c r="E423" s="171">
        <v>31.35</v>
      </c>
      <c r="F423" s="171" t="s">
        <v>1974</v>
      </c>
      <c r="G423" s="283">
        <v>1.2699999999999999E-2</v>
      </c>
      <c r="I423" s="167">
        <v>44867</v>
      </c>
      <c r="J423" s="285">
        <v>2499.7800000000002</v>
      </c>
      <c r="K423" s="285">
        <v>2546.7800000000002</v>
      </c>
      <c r="L423" s="285">
        <v>2570.58</v>
      </c>
      <c r="M423" s="285">
        <v>2495.7199999999998</v>
      </c>
      <c r="N423" s="283" t="s">
        <v>2184</v>
      </c>
      <c r="P423" s="167">
        <v>44860</v>
      </c>
      <c r="Q423" s="285">
        <v>5.3803999999999998</v>
      </c>
      <c r="R423" s="285">
        <v>5.3166000000000002</v>
      </c>
      <c r="S423" s="285">
        <v>5.3879000000000001</v>
      </c>
      <c r="T423" s="285">
        <v>5.2797000000000001</v>
      </c>
      <c r="U423" s="283">
        <v>1.2E-2</v>
      </c>
      <c r="W423" s="167">
        <v>44837</v>
      </c>
      <c r="X423" s="287">
        <v>116134</v>
      </c>
      <c r="Y423" s="287">
        <v>110048</v>
      </c>
      <c r="Z423" s="287">
        <v>116134</v>
      </c>
      <c r="AA423" s="287">
        <v>110048</v>
      </c>
      <c r="AB423" s="283" t="s">
        <v>2183</v>
      </c>
      <c r="AC423" s="289">
        <v>5.5399999999999998E-2</v>
      </c>
      <c r="AE423" s="167"/>
      <c r="AF423" s="285"/>
      <c r="AG423" s="285"/>
      <c r="AH423" s="285"/>
      <c r="AI423" s="285"/>
      <c r="AJ423" s="283"/>
    </row>
    <row r="424" spans="1:36" x14ac:dyDescent="0.3">
      <c r="A424" s="168">
        <v>44840</v>
      </c>
      <c r="B424" s="83">
        <v>31.56</v>
      </c>
      <c r="C424" s="83">
        <v>31.67</v>
      </c>
      <c r="D424" s="83">
        <v>31.8</v>
      </c>
      <c r="E424" s="83">
        <v>31.12</v>
      </c>
      <c r="F424" s="83" t="s">
        <v>2182</v>
      </c>
      <c r="G424" s="284">
        <v>9.9000000000000008E-3</v>
      </c>
      <c r="I424" s="168">
        <v>44866</v>
      </c>
      <c r="J424" s="286">
        <v>2546.4</v>
      </c>
      <c r="K424" s="286">
        <v>2547.5100000000002</v>
      </c>
      <c r="L424" s="286">
        <v>2580.86</v>
      </c>
      <c r="M424" s="286">
        <v>2539.9699999999998</v>
      </c>
      <c r="N424" s="284" t="s">
        <v>1206</v>
      </c>
      <c r="P424" s="168">
        <v>44859</v>
      </c>
      <c r="Q424" s="286">
        <v>5.3167</v>
      </c>
      <c r="R424" s="286">
        <v>5.3037000000000001</v>
      </c>
      <c r="S424" s="286">
        <v>5.3581000000000003</v>
      </c>
      <c r="T424" s="286">
        <v>5.2756999999999996</v>
      </c>
      <c r="U424" s="284">
        <v>2.5000000000000001E-3</v>
      </c>
      <c r="W424" s="168">
        <v>44834</v>
      </c>
      <c r="X424" s="288">
        <v>110037</v>
      </c>
      <c r="Y424" s="288">
        <v>107664</v>
      </c>
      <c r="Z424" s="288">
        <v>110502</v>
      </c>
      <c r="AA424" s="288">
        <v>107315</v>
      </c>
      <c r="AB424" s="284" t="s">
        <v>2181</v>
      </c>
      <c r="AC424" s="290">
        <v>2.1999999999999999E-2</v>
      </c>
      <c r="AE424" s="168"/>
      <c r="AF424" s="286"/>
      <c r="AG424" s="286"/>
      <c r="AH424" s="286"/>
      <c r="AI424" s="286"/>
      <c r="AJ424" s="284"/>
    </row>
    <row r="425" spans="1:36" x14ac:dyDescent="0.3">
      <c r="A425" s="167">
        <v>44839</v>
      </c>
      <c r="B425" s="171">
        <v>31.25</v>
      </c>
      <c r="C425" s="171">
        <v>30.24</v>
      </c>
      <c r="D425" s="171">
        <v>31.8</v>
      </c>
      <c r="E425" s="171">
        <v>30.04</v>
      </c>
      <c r="F425" s="171" t="s">
        <v>2180</v>
      </c>
      <c r="G425" s="283">
        <v>3.2000000000000001E-2</v>
      </c>
      <c r="I425" s="167">
        <v>44865</v>
      </c>
      <c r="J425" s="285">
        <v>2547.7199999999998</v>
      </c>
      <c r="K425" s="285">
        <v>2562.65</v>
      </c>
      <c r="L425" s="285">
        <v>2564.65</v>
      </c>
      <c r="M425" s="285">
        <v>2543.04</v>
      </c>
      <c r="N425" s="283" t="s">
        <v>2179</v>
      </c>
      <c r="P425" s="167">
        <v>44858</v>
      </c>
      <c r="Q425" s="285">
        <v>5.3032000000000004</v>
      </c>
      <c r="R425" s="285">
        <v>5.1649000000000003</v>
      </c>
      <c r="S425" s="285">
        <v>5.3101000000000003</v>
      </c>
      <c r="T425" s="285">
        <v>5.1647999999999996</v>
      </c>
      <c r="U425" s="283">
        <v>2.7699999999999999E-2</v>
      </c>
      <c r="W425" s="167">
        <v>44833</v>
      </c>
      <c r="X425" s="287">
        <v>107664</v>
      </c>
      <c r="Y425" s="287">
        <v>108449</v>
      </c>
      <c r="Z425" s="287">
        <v>108449</v>
      </c>
      <c r="AA425" s="287">
        <v>106244</v>
      </c>
      <c r="AB425" s="283" t="s">
        <v>2070</v>
      </c>
      <c r="AC425" s="289">
        <v>-7.3000000000000001E-3</v>
      </c>
      <c r="AE425" s="167"/>
      <c r="AF425" s="285"/>
      <c r="AG425" s="285"/>
      <c r="AH425" s="285"/>
      <c r="AI425" s="285"/>
      <c r="AJ425" s="283"/>
    </row>
    <row r="426" spans="1:36" x14ac:dyDescent="0.3">
      <c r="A426" s="168">
        <v>44838</v>
      </c>
      <c r="B426" s="83">
        <v>30.28</v>
      </c>
      <c r="C426" s="83">
        <v>29.44</v>
      </c>
      <c r="D426" s="83">
        <v>30.92</v>
      </c>
      <c r="E426" s="83">
        <v>29.39</v>
      </c>
      <c r="F426" s="83" t="s">
        <v>1328</v>
      </c>
      <c r="G426" s="284">
        <v>4.8000000000000001E-2</v>
      </c>
      <c r="I426" s="168">
        <v>44862</v>
      </c>
      <c r="J426" s="286">
        <v>2561.04</v>
      </c>
      <c r="K426" s="286">
        <v>2520.8200000000002</v>
      </c>
      <c r="L426" s="286">
        <v>2563.56</v>
      </c>
      <c r="M426" s="286">
        <v>2512.52</v>
      </c>
      <c r="N426" s="284" t="s">
        <v>2178</v>
      </c>
      <c r="P426" s="168">
        <v>44855</v>
      </c>
      <c r="Q426" s="286">
        <v>5.1604999999999999</v>
      </c>
      <c r="R426" s="286">
        <v>5.218</v>
      </c>
      <c r="S426" s="286">
        <v>5.2773000000000003</v>
      </c>
      <c r="T426" s="286">
        <v>5.1403999999999996</v>
      </c>
      <c r="U426" s="284">
        <v>-1.04E-2</v>
      </c>
      <c r="W426" s="168">
        <v>44832</v>
      </c>
      <c r="X426" s="288">
        <v>108451</v>
      </c>
      <c r="Y426" s="288">
        <v>108377</v>
      </c>
      <c r="Z426" s="288">
        <v>108970</v>
      </c>
      <c r="AA426" s="288">
        <v>107914</v>
      </c>
      <c r="AB426" s="284" t="s">
        <v>2173</v>
      </c>
      <c r="AC426" s="290">
        <v>6.9999999999999999E-4</v>
      </c>
      <c r="AE426" s="168"/>
      <c r="AF426" s="286"/>
      <c r="AG426" s="286"/>
      <c r="AH426" s="286"/>
      <c r="AI426" s="286"/>
      <c r="AJ426" s="284"/>
    </row>
    <row r="427" spans="1:36" x14ac:dyDescent="0.3">
      <c r="A427" s="167">
        <v>44837</v>
      </c>
      <c r="B427" s="171">
        <v>28.89</v>
      </c>
      <c r="C427" s="171">
        <v>28.53</v>
      </c>
      <c r="D427" s="171">
        <v>29.38</v>
      </c>
      <c r="E427" s="171">
        <v>28.45</v>
      </c>
      <c r="F427" s="171" t="s">
        <v>2177</v>
      </c>
      <c r="G427" s="283">
        <v>5.1200000000000002E-2</v>
      </c>
      <c r="I427" s="167">
        <v>44861</v>
      </c>
      <c r="J427" s="285">
        <v>2523.59</v>
      </c>
      <c r="K427" s="285">
        <v>2537.9</v>
      </c>
      <c r="L427" s="285">
        <v>2552.25</v>
      </c>
      <c r="M427" s="285">
        <v>2519.9899999999998</v>
      </c>
      <c r="N427" s="283" t="s">
        <v>1547</v>
      </c>
      <c r="P427" s="167">
        <v>44854</v>
      </c>
      <c r="Q427" s="285">
        <v>5.2146999999999997</v>
      </c>
      <c r="R427" s="285">
        <v>5.2706999999999997</v>
      </c>
      <c r="S427" s="285">
        <v>5.2716000000000003</v>
      </c>
      <c r="T427" s="285">
        <v>5.1921999999999997</v>
      </c>
      <c r="U427" s="283">
        <v>-1.0500000000000001E-2</v>
      </c>
      <c r="W427" s="167">
        <v>44831</v>
      </c>
      <c r="X427" s="287">
        <v>108376</v>
      </c>
      <c r="Y427" s="287">
        <v>109122</v>
      </c>
      <c r="Z427" s="287">
        <v>110161</v>
      </c>
      <c r="AA427" s="287">
        <v>108120</v>
      </c>
      <c r="AB427" s="283" t="s">
        <v>2176</v>
      </c>
      <c r="AC427" s="289">
        <v>-6.7999999999999996E-3</v>
      </c>
      <c r="AE427" s="167"/>
      <c r="AF427" s="285"/>
      <c r="AG427" s="285"/>
      <c r="AH427" s="285"/>
      <c r="AI427" s="285"/>
      <c r="AJ427" s="283"/>
    </row>
    <row r="428" spans="1:36" x14ac:dyDescent="0.3">
      <c r="A428" s="168">
        <v>44834</v>
      </c>
      <c r="B428" s="83">
        <v>27.49</v>
      </c>
      <c r="C428" s="83">
        <v>26.97</v>
      </c>
      <c r="D428" s="83">
        <v>27.77</v>
      </c>
      <c r="E428" s="83">
        <v>26.77</v>
      </c>
      <c r="F428" s="83" t="s">
        <v>2175</v>
      </c>
      <c r="G428" s="284">
        <v>1.0999999999999999E-2</v>
      </c>
      <c r="I428" s="168">
        <v>44860</v>
      </c>
      <c r="J428" s="286">
        <v>2535.67</v>
      </c>
      <c r="K428" s="286">
        <v>2537.1799999999998</v>
      </c>
      <c r="L428" s="286">
        <v>2563.87</v>
      </c>
      <c r="M428" s="286">
        <v>2524.94</v>
      </c>
      <c r="N428" s="284" t="s">
        <v>1812</v>
      </c>
      <c r="P428" s="168">
        <v>44853</v>
      </c>
      <c r="Q428" s="286">
        <v>5.27</v>
      </c>
      <c r="R428" s="286">
        <v>5.2413999999999996</v>
      </c>
      <c r="S428" s="286">
        <v>5.2998000000000003</v>
      </c>
      <c r="T428" s="286">
        <v>5.2411000000000003</v>
      </c>
      <c r="U428" s="284">
        <v>5.5999999999999999E-3</v>
      </c>
      <c r="W428" s="168">
        <v>44830</v>
      </c>
      <c r="X428" s="288">
        <v>109114</v>
      </c>
      <c r="Y428" s="288">
        <v>111713</v>
      </c>
      <c r="Z428" s="288">
        <v>111713</v>
      </c>
      <c r="AA428" s="288">
        <v>109022</v>
      </c>
      <c r="AB428" s="284" t="s">
        <v>2174</v>
      </c>
      <c r="AC428" s="290">
        <v>-2.3300000000000001E-2</v>
      </c>
      <c r="AE428" s="168"/>
      <c r="AF428" s="286"/>
      <c r="AG428" s="286"/>
      <c r="AH428" s="286"/>
      <c r="AI428" s="286"/>
      <c r="AJ428" s="284"/>
    </row>
    <row r="429" spans="1:36" x14ac:dyDescent="0.3">
      <c r="A429" s="167">
        <v>44833</v>
      </c>
      <c r="B429" s="171">
        <v>27.19</v>
      </c>
      <c r="C429" s="171">
        <v>27.68</v>
      </c>
      <c r="D429" s="171">
        <v>27.79</v>
      </c>
      <c r="E429" s="171">
        <v>26.79</v>
      </c>
      <c r="F429" s="171" t="s">
        <v>1708</v>
      </c>
      <c r="G429" s="283">
        <v>-2.4400000000000002E-2</v>
      </c>
      <c r="I429" s="167">
        <v>44859</v>
      </c>
      <c r="J429" s="285">
        <v>2537.54</v>
      </c>
      <c r="K429" s="285">
        <v>2494.5300000000002</v>
      </c>
      <c r="L429" s="285">
        <v>2539.7199999999998</v>
      </c>
      <c r="M429" s="285">
        <v>2493.2199999999998</v>
      </c>
      <c r="N429" s="283" t="s">
        <v>1801</v>
      </c>
      <c r="P429" s="167">
        <v>44852</v>
      </c>
      <c r="Q429" s="285">
        <v>5.2404999999999999</v>
      </c>
      <c r="R429" s="285">
        <v>5.2832999999999997</v>
      </c>
      <c r="S429" s="285">
        <v>5.2992999999999997</v>
      </c>
      <c r="T429" s="285">
        <v>5.2336</v>
      </c>
      <c r="U429" s="283">
        <v>-7.6E-3</v>
      </c>
      <c r="W429" s="167">
        <v>44827</v>
      </c>
      <c r="X429" s="287">
        <v>111716</v>
      </c>
      <c r="Y429" s="287">
        <v>114070</v>
      </c>
      <c r="Z429" s="287">
        <v>114070</v>
      </c>
      <c r="AA429" s="287">
        <v>110732</v>
      </c>
      <c r="AB429" s="283" t="s">
        <v>2173</v>
      </c>
      <c r="AC429" s="289">
        <v>-2.06E-2</v>
      </c>
      <c r="AE429" s="167"/>
      <c r="AF429" s="285"/>
      <c r="AG429" s="285"/>
      <c r="AH429" s="285"/>
      <c r="AI429" s="285"/>
      <c r="AJ429" s="283"/>
    </row>
    <row r="430" spans="1:36" x14ac:dyDescent="0.3">
      <c r="A430" s="168">
        <v>44832</v>
      </c>
      <c r="B430" s="83">
        <v>27.87</v>
      </c>
      <c r="C430" s="83">
        <v>27.21</v>
      </c>
      <c r="D430" s="83">
        <v>28.28</v>
      </c>
      <c r="E430" s="83">
        <v>27.03</v>
      </c>
      <c r="F430" s="83" t="s">
        <v>2172</v>
      </c>
      <c r="G430" s="284">
        <v>2.69E-2</v>
      </c>
      <c r="I430" s="168">
        <v>44858</v>
      </c>
      <c r="J430" s="286">
        <v>2493.06</v>
      </c>
      <c r="K430" s="286">
        <v>2467.89</v>
      </c>
      <c r="L430" s="286">
        <v>2499.12</v>
      </c>
      <c r="M430" s="286">
        <v>2462.52</v>
      </c>
      <c r="N430" s="284" t="s">
        <v>2171</v>
      </c>
      <c r="P430" s="168">
        <v>44851</v>
      </c>
      <c r="Q430" s="286">
        <v>5.2808000000000002</v>
      </c>
      <c r="R430" s="286">
        <v>5.3288000000000002</v>
      </c>
      <c r="S430" s="286">
        <v>5.3307000000000002</v>
      </c>
      <c r="T430" s="286">
        <v>5.2530999999999999</v>
      </c>
      <c r="U430" s="284">
        <v>-8.3000000000000001E-3</v>
      </c>
      <c r="W430" s="168">
        <v>44826</v>
      </c>
      <c r="X430" s="288">
        <v>114070</v>
      </c>
      <c r="Y430" s="288">
        <v>111942</v>
      </c>
      <c r="Z430" s="288">
        <v>114392</v>
      </c>
      <c r="AA430" s="288">
        <v>111819</v>
      </c>
      <c r="AB430" s="284" t="s">
        <v>2170</v>
      </c>
      <c r="AC430" s="290">
        <v>1.9099999999999999E-2</v>
      </c>
      <c r="AE430" s="168"/>
      <c r="AF430" s="286"/>
      <c r="AG430" s="286"/>
      <c r="AH430" s="286"/>
      <c r="AI430" s="286"/>
      <c r="AJ430" s="284"/>
    </row>
    <row r="431" spans="1:36" x14ac:dyDescent="0.3">
      <c r="A431" s="167">
        <v>44831</v>
      </c>
      <c r="B431" s="171">
        <v>27.14</v>
      </c>
      <c r="C431" s="171">
        <v>27.72</v>
      </c>
      <c r="D431" s="171">
        <v>28</v>
      </c>
      <c r="E431" s="171">
        <v>27.07</v>
      </c>
      <c r="F431" s="171" t="s">
        <v>1933</v>
      </c>
      <c r="G431" s="283">
        <v>-1.5E-3</v>
      </c>
      <c r="I431" s="167">
        <v>44855</v>
      </c>
      <c r="J431" s="285">
        <v>2462.42</v>
      </c>
      <c r="K431" s="285">
        <v>2423.94</v>
      </c>
      <c r="L431" s="285">
        <v>2471.84</v>
      </c>
      <c r="M431" s="285">
        <v>2406.12</v>
      </c>
      <c r="N431" s="283" t="s">
        <v>2169</v>
      </c>
      <c r="P431" s="167">
        <v>44848</v>
      </c>
      <c r="Q431" s="285">
        <v>5.3251999999999997</v>
      </c>
      <c r="R431" s="285">
        <v>5.2629000000000001</v>
      </c>
      <c r="S431" s="285">
        <v>5.3346999999999998</v>
      </c>
      <c r="T431" s="285">
        <v>5.2407000000000004</v>
      </c>
      <c r="U431" s="283">
        <v>1.1900000000000001E-2</v>
      </c>
      <c r="W431" s="167">
        <v>44825</v>
      </c>
      <c r="X431" s="287">
        <v>111936</v>
      </c>
      <c r="Y431" s="287">
        <v>112517</v>
      </c>
      <c r="Z431" s="287">
        <v>113294</v>
      </c>
      <c r="AA431" s="287">
        <v>111380</v>
      </c>
      <c r="AB431" s="283" t="s">
        <v>2168</v>
      </c>
      <c r="AC431" s="289">
        <v>-5.1999999999999998E-3</v>
      </c>
      <c r="AE431" s="167"/>
      <c r="AF431" s="285"/>
      <c r="AG431" s="285"/>
      <c r="AH431" s="285"/>
      <c r="AI431" s="285"/>
      <c r="AJ431" s="283"/>
    </row>
    <row r="432" spans="1:36" x14ac:dyDescent="0.3">
      <c r="A432" s="168">
        <v>44830</v>
      </c>
      <c r="B432" s="83">
        <v>27.18</v>
      </c>
      <c r="C432" s="83">
        <v>27.87</v>
      </c>
      <c r="D432" s="83">
        <v>27.99</v>
      </c>
      <c r="E432" s="83">
        <v>27</v>
      </c>
      <c r="F432" s="83" t="s">
        <v>2167</v>
      </c>
      <c r="G432" s="284">
        <v>-3.2000000000000001E-2</v>
      </c>
      <c r="I432" s="168">
        <v>44854</v>
      </c>
      <c r="J432" s="286">
        <v>2429.2600000000002</v>
      </c>
      <c r="K432" s="286">
        <v>2436.66</v>
      </c>
      <c r="L432" s="286">
        <v>2463.11</v>
      </c>
      <c r="M432" s="286">
        <v>2419.52</v>
      </c>
      <c r="N432" s="284" t="s">
        <v>2166</v>
      </c>
      <c r="P432" s="168">
        <v>44847</v>
      </c>
      <c r="Q432" s="286">
        <v>5.2625999999999999</v>
      </c>
      <c r="R432" s="286">
        <v>5.2725</v>
      </c>
      <c r="S432" s="286">
        <v>5.3817000000000004</v>
      </c>
      <c r="T432" s="286">
        <v>5.2287999999999997</v>
      </c>
      <c r="U432" s="284">
        <v>-5.7000000000000002E-3</v>
      </c>
      <c r="W432" s="168">
        <v>44824</v>
      </c>
      <c r="X432" s="288">
        <v>112517</v>
      </c>
      <c r="Y432" s="288">
        <v>111824</v>
      </c>
      <c r="Z432" s="288">
        <v>112544</v>
      </c>
      <c r="AA432" s="288">
        <v>111393</v>
      </c>
      <c r="AB432" s="284" t="s">
        <v>2083</v>
      </c>
      <c r="AC432" s="290">
        <v>6.1999999999999998E-3</v>
      </c>
      <c r="AE432" s="168"/>
      <c r="AF432" s="286"/>
      <c r="AG432" s="286"/>
      <c r="AH432" s="286"/>
      <c r="AI432" s="286"/>
      <c r="AJ432" s="284"/>
    </row>
    <row r="433" spans="1:36" x14ac:dyDescent="0.3">
      <c r="A433" s="167">
        <v>44827</v>
      </c>
      <c r="B433" s="171">
        <v>28.07</v>
      </c>
      <c r="C433" s="171">
        <v>28.73</v>
      </c>
      <c r="D433" s="171">
        <v>29.03</v>
      </c>
      <c r="E433" s="171">
        <v>27.39</v>
      </c>
      <c r="F433" s="171" t="s">
        <v>2165</v>
      </c>
      <c r="G433" s="283">
        <v>-4.8399999999999999E-2</v>
      </c>
      <c r="I433" s="167">
        <v>44853</v>
      </c>
      <c r="J433" s="285">
        <v>2439.3000000000002</v>
      </c>
      <c r="K433" s="285">
        <v>2458.69</v>
      </c>
      <c r="L433" s="285">
        <v>2460</v>
      </c>
      <c r="M433" s="285">
        <v>2423.98</v>
      </c>
      <c r="N433" s="283" t="s">
        <v>1733</v>
      </c>
      <c r="P433" s="167">
        <v>44846</v>
      </c>
      <c r="Q433" s="285">
        <v>5.2930000000000001</v>
      </c>
      <c r="R433" s="285">
        <v>5.3033999999999999</v>
      </c>
      <c r="S433" s="285">
        <v>5.3033999999999999</v>
      </c>
      <c r="T433" s="285">
        <v>5.2931999999999997</v>
      </c>
      <c r="U433" s="283">
        <v>-1.4E-3</v>
      </c>
      <c r="W433" s="167">
        <v>44823</v>
      </c>
      <c r="X433" s="287">
        <v>111824</v>
      </c>
      <c r="Y433" s="287">
        <v>109283</v>
      </c>
      <c r="Z433" s="287">
        <v>111976</v>
      </c>
      <c r="AA433" s="287">
        <v>108508</v>
      </c>
      <c r="AB433" s="283" t="s">
        <v>1742</v>
      </c>
      <c r="AC433" s="289">
        <v>2.3300000000000001E-2</v>
      </c>
      <c r="AE433" s="167"/>
      <c r="AF433" s="285"/>
      <c r="AG433" s="285"/>
      <c r="AH433" s="285"/>
      <c r="AI433" s="285"/>
      <c r="AJ433" s="283"/>
    </row>
    <row r="434" spans="1:36" x14ac:dyDescent="0.3">
      <c r="A434" s="168">
        <v>44826</v>
      </c>
      <c r="B434" s="83">
        <v>29.5</v>
      </c>
      <c r="C434" s="83">
        <v>28.8</v>
      </c>
      <c r="D434" s="83">
        <v>29.61</v>
      </c>
      <c r="E434" s="83">
        <v>28.37</v>
      </c>
      <c r="F434" s="83" t="s">
        <v>2164</v>
      </c>
      <c r="G434" s="284">
        <v>3.5799999999999998E-2</v>
      </c>
      <c r="I434" s="168">
        <v>44852</v>
      </c>
      <c r="J434" s="286">
        <v>2457.86</v>
      </c>
      <c r="K434" s="286">
        <v>2431.9299999999998</v>
      </c>
      <c r="L434" s="286">
        <v>2482.64</v>
      </c>
      <c r="M434" s="286">
        <v>2431.89</v>
      </c>
      <c r="N434" s="284" t="s">
        <v>1396</v>
      </c>
      <c r="P434" s="168">
        <v>44845</v>
      </c>
      <c r="Q434" s="286">
        <v>5.3005000000000004</v>
      </c>
      <c r="R434" s="286">
        <v>5.1898999999999997</v>
      </c>
      <c r="S434" s="286">
        <v>5.3056999999999999</v>
      </c>
      <c r="T434" s="286">
        <v>5.1769999999999996</v>
      </c>
      <c r="U434" s="284">
        <v>2.1299999999999999E-2</v>
      </c>
      <c r="W434" s="168">
        <v>44820</v>
      </c>
      <c r="X434" s="288">
        <v>109280</v>
      </c>
      <c r="Y434" s="288">
        <v>109951</v>
      </c>
      <c r="Z434" s="288">
        <v>109952</v>
      </c>
      <c r="AA434" s="288">
        <v>108489</v>
      </c>
      <c r="AB434" s="284" t="s">
        <v>2163</v>
      </c>
      <c r="AC434" s="290">
        <v>-6.1000000000000004E-3</v>
      </c>
      <c r="AE434" s="168"/>
      <c r="AF434" s="286"/>
      <c r="AG434" s="286"/>
      <c r="AH434" s="286"/>
      <c r="AI434" s="286"/>
      <c r="AJ434" s="284"/>
    </row>
    <row r="435" spans="1:36" x14ac:dyDescent="0.3">
      <c r="A435" s="167">
        <v>44825</v>
      </c>
      <c r="B435" s="171">
        <v>28.48</v>
      </c>
      <c r="C435" s="171">
        <v>28.65</v>
      </c>
      <c r="D435" s="171">
        <v>28.79</v>
      </c>
      <c r="E435" s="171">
        <v>28.23</v>
      </c>
      <c r="F435" s="171" t="s">
        <v>1989</v>
      </c>
      <c r="G435" s="283">
        <v>7.1000000000000004E-3</v>
      </c>
      <c r="I435" s="167">
        <v>44851</v>
      </c>
      <c r="J435" s="285">
        <v>2431.84</v>
      </c>
      <c r="K435" s="285">
        <v>2373.92</v>
      </c>
      <c r="L435" s="285">
        <v>2438</v>
      </c>
      <c r="M435" s="285">
        <v>2372.44</v>
      </c>
      <c r="N435" s="283" t="s">
        <v>2162</v>
      </c>
      <c r="P435" s="167">
        <v>44844</v>
      </c>
      <c r="Q435" s="285">
        <v>5.1901000000000002</v>
      </c>
      <c r="R435" s="285">
        <v>5.1999000000000004</v>
      </c>
      <c r="S435" s="285">
        <v>5.2173999999999996</v>
      </c>
      <c r="T435" s="285">
        <v>5.1624999999999996</v>
      </c>
      <c r="U435" s="283">
        <v>-1.8E-3</v>
      </c>
      <c r="W435" s="167">
        <v>44819</v>
      </c>
      <c r="X435" s="287">
        <v>109954</v>
      </c>
      <c r="Y435" s="287">
        <v>110547</v>
      </c>
      <c r="Z435" s="287">
        <v>111100</v>
      </c>
      <c r="AA435" s="287">
        <v>109524</v>
      </c>
      <c r="AB435" s="283" t="s">
        <v>2161</v>
      </c>
      <c r="AC435" s="289">
        <v>-5.4000000000000003E-3</v>
      </c>
      <c r="AE435" s="167"/>
      <c r="AF435" s="285"/>
      <c r="AG435" s="285"/>
      <c r="AH435" s="285"/>
      <c r="AI435" s="285"/>
      <c r="AJ435" s="283"/>
    </row>
    <row r="436" spans="1:36" x14ac:dyDescent="0.3">
      <c r="A436" s="168">
        <v>44824</v>
      </c>
      <c r="B436" s="83">
        <v>28.28</v>
      </c>
      <c r="C436" s="83">
        <v>28.11</v>
      </c>
      <c r="D436" s="83">
        <v>28.36</v>
      </c>
      <c r="E436" s="83">
        <v>27.92</v>
      </c>
      <c r="F436" s="83" t="s">
        <v>2160</v>
      </c>
      <c r="G436" s="284">
        <v>8.8999999999999999E-3</v>
      </c>
      <c r="I436" s="168">
        <v>44848</v>
      </c>
      <c r="J436" s="286">
        <v>2376.64</v>
      </c>
      <c r="K436" s="286">
        <v>2416.19</v>
      </c>
      <c r="L436" s="286">
        <v>2447.71</v>
      </c>
      <c r="M436" s="286">
        <v>2373.15</v>
      </c>
      <c r="N436" s="284" t="s">
        <v>2159</v>
      </c>
      <c r="P436" s="168">
        <v>44841</v>
      </c>
      <c r="Q436" s="286">
        <v>5.1996000000000002</v>
      </c>
      <c r="R436" s="286">
        <v>5.2214999999999998</v>
      </c>
      <c r="S436" s="286">
        <v>5.2533000000000003</v>
      </c>
      <c r="T436" s="286">
        <v>5.1936999999999998</v>
      </c>
      <c r="U436" s="284">
        <v>-4.1999999999999997E-3</v>
      </c>
      <c r="W436" s="168">
        <v>44818</v>
      </c>
      <c r="X436" s="288">
        <v>110547</v>
      </c>
      <c r="Y436" s="288">
        <v>110794</v>
      </c>
      <c r="Z436" s="288">
        <v>111504</v>
      </c>
      <c r="AA436" s="288">
        <v>110118</v>
      </c>
      <c r="AB436" s="284" t="s">
        <v>1294</v>
      </c>
      <c r="AC436" s="290">
        <v>-2.2000000000000001E-3</v>
      </c>
      <c r="AE436" s="168"/>
      <c r="AF436" s="286"/>
      <c r="AG436" s="286"/>
      <c r="AH436" s="286"/>
      <c r="AI436" s="286"/>
      <c r="AJ436" s="284"/>
    </row>
    <row r="437" spans="1:36" x14ac:dyDescent="0.3">
      <c r="A437" s="167">
        <v>44823</v>
      </c>
      <c r="B437" s="171">
        <v>28.03</v>
      </c>
      <c r="C437" s="171">
        <v>27.36</v>
      </c>
      <c r="D437" s="171">
        <v>28.23</v>
      </c>
      <c r="E437" s="171">
        <v>27.3</v>
      </c>
      <c r="F437" s="171" t="s">
        <v>2072</v>
      </c>
      <c r="G437" s="283">
        <v>2.0999999999999999E-3</v>
      </c>
      <c r="I437" s="167">
        <v>44847</v>
      </c>
      <c r="J437" s="285">
        <v>2411.69</v>
      </c>
      <c r="K437" s="285">
        <v>2367.96</v>
      </c>
      <c r="L437" s="285">
        <v>2423.94</v>
      </c>
      <c r="M437" s="285">
        <v>2314.9699999999998</v>
      </c>
      <c r="N437" s="283" t="s">
        <v>2158</v>
      </c>
      <c r="P437" s="167">
        <v>44840</v>
      </c>
      <c r="Q437" s="285">
        <v>5.2217000000000002</v>
      </c>
      <c r="R437" s="285">
        <v>5.1959</v>
      </c>
      <c r="S437" s="285">
        <v>5.2332999999999998</v>
      </c>
      <c r="T437" s="285">
        <v>5.1722999999999999</v>
      </c>
      <c r="U437" s="283">
        <v>5.3E-3</v>
      </c>
      <c r="W437" s="167">
        <v>44817</v>
      </c>
      <c r="X437" s="287">
        <v>110794</v>
      </c>
      <c r="Y437" s="287">
        <v>113398</v>
      </c>
      <c r="Z437" s="287">
        <v>113400</v>
      </c>
      <c r="AA437" s="287">
        <v>110522</v>
      </c>
      <c r="AB437" s="283" t="s">
        <v>2157</v>
      </c>
      <c r="AC437" s="289">
        <v>-2.3E-2</v>
      </c>
      <c r="AE437" s="167"/>
      <c r="AF437" s="285"/>
      <c r="AG437" s="285"/>
      <c r="AH437" s="285"/>
      <c r="AI437" s="285"/>
      <c r="AJ437" s="283"/>
    </row>
    <row r="438" spans="1:36" x14ac:dyDescent="0.3">
      <c r="A438" s="168">
        <v>44820</v>
      </c>
      <c r="B438" s="83">
        <v>27.98</v>
      </c>
      <c r="C438" s="83">
        <v>27.56</v>
      </c>
      <c r="D438" s="83">
        <v>28.04</v>
      </c>
      <c r="E438" s="83">
        <v>27.25</v>
      </c>
      <c r="F438" s="83" t="s">
        <v>2156</v>
      </c>
      <c r="G438" s="284">
        <v>1.1599999999999999E-2</v>
      </c>
      <c r="I438" s="168">
        <v>44846</v>
      </c>
      <c r="J438" s="286">
        <v>2367.69</v>
      </c>
      <c r="K438" s="286">
        <v>2375.56</v>
      </c>
      <c r="L438" s="286">
        <v>2381.4499999999998</v>
      </c>
      <c r="M438" s="286">
        <v>2364.09</v>
      </c>
      <c r="N438" s="284" t="s">
        <v>1209</v>
      </c>
      <c r="P438" s="168">
        <v>44839</v>
      </c>
      <c r="Q438" s="286">
        <v>5.194</v>
      </c>
      <c r="R438" s="286">
        <v>5.1779000000000002</v>
      </c>
      <c r="S438" s="286">
        <v>5.2442000000000002</v>
      </c>
      <c r="T438" s="286">
        <v>5.1593</v>
      </c>
      <c r="U438" s="284">
        <v>3.3E-3</v>
      </c>
      <c r="W438" s="168">
        <v>44816</v>
      </c>
      <c r="X438" s="288">
        <v>113407</v>
      </c>
      <c r="Y438" s="288">
        <v>112307</v>
      </c>
      <c r="Z438" s="288">
        <v>114160</v>
      </c>
      <c r="AA438" s="288">
        <v>112305</v>
      </c>
      <c r="AB438" s="284" t="s">
        <v>1836</v>
      </c>
      <c r="AC438" s="290">
        <v>9.7999999999999997E-3</v>
      </c>
      <c r="AE438" s="168"/>
      <c r="AF438" s="286"/>
      <c r="AG438" s="286"/>
      <c r="AH438" s="286"/>
      <c r="AI438" s="286"/>
      <c r="AJ438" s="284"/>
    </row>
    <row r="439" spans="1:36" x14ac:dyDescent="0.3">
      <c r="A439" s="167">
        <v>44819</v>
      </c>
      <c r="B439" s="171">
        <v>27.66</v>
      </c>
      <c r="C439" s="171">
        <v>28.01</v>
      </c>
      <c r="D439" s="171">
        <v>28.22</v>
      </c>
      <c r="E439" s="171">
        <v>27.29</v>
      </c>
      <c r="F439" s="171" t="s">
        <v>2155</v>
      </c>
      <c r="G439" s="283">
        <v>-2.5000000000000001E-2</v>
      </c>
      <c r="I439" s="167">
        <v>44845</v>
      </c>
      <c r="J439" s="285">
        <v>2376.29</v>
      </c>
      <c r="K439" s="285">
        <v>2396.2399999999998</v>
      </c>
      <c r="L439" s="285">
        <v>2405.61</v>
      </c>
      <c r="M439" s="285">
        <v>2362.6</v>
      </c>
      <c r="N439" s="283" t="s">
        <v>1675</v>
      </c>
      <c r="P439" s="167">
        <v>44838</v>
      </c>
      <c r="Q439" s="285">
        <v>5.1769999999999996</v>
      </c>
      <c r="R439" s="285">
        <v>5.165</v>
      </c>
      <c r="S439" s="285">
        <v>5.2218</v>
      </c>
      <c r="T439" s="285">
        <v>5.1082999999999998</v>
      </c>
      <c r="U439" s="283">
        <v>1.9E-3</v>
      </c>
      <c r="W439" s="167">
        <v>44813</v>
      </c>
      <c r="X439" s="287">
        <v>112300</v>
      </c>
      <c r="Y439" s="287">
        <v>109922</v>
      </c>
      <c r="Z439" s="287">
        <v>112540</v>
      </c>
      <c r="AA439" s="287">
        <v>109922</v>
      </c>
      <c r="AB439" s="283" t="s">
        <v>1669</v>
      </c>
      <c r="AC439" s="289">
        <v>2.1700000000000001E-2</v>
      </c>
      <c r="AE439" s="167"/>
      <c r="AF439" s="285"/>
      <c r="AG439" s="285"/>
      <c r="AH439" s="285"/>
      <c r="AI439" s="285"/>
      <c r="AJ439" s="283"/>
    </row>
    <row r="440" spans="1:36" x14ac:dyDescent="0.3">
      <c r="A440" s="168">
        <v>44818</v>
      </c>
      <c r="B440" s="83">
        <v>28.36</v>
      </c>
      <c r="C440" s="83">
        <v>26.96</v>
      </c>
      <c r="D440" s="83">
        <v>28.36</v>
      </c>
      <c r="E440" s="83">
        <v>26.87</v>
      </c>
      <c r="F440" s="83" t="s">
        <v>2002</v>
      </c>
      <c r="G440" s="284">
        <v>5.11E-2</v>
      </c>
      <c r="I440" s="168">
        <v>44844</v>
      </c>
      <c r="J440" s="286">
        <v>2395.61</v>
      </c>
      <c r="K440" s="286">
        <v>2414.35</v>
      </c>
      <c r="L440" s="286">
        <v>2417.75</v>
      </c>
      <c r="M440" s="286">
        <v>2383.41</v>
      </c>
      <c r="N440" s="284" t="s">
        <v>1825</v>
      </c>
      <c r="P440" s="168">
        <v>44837</v>
      </c>
      <c r="Q440" s="286">
        <v>5.1672000000000002</v>
      </c>
      <c r="R440" s="286">
        <v>5.4157999999999999</v>
      </c>
      <c r="S440" s="286">
        <v>5.4157999999999999</v>
      </c>
      <c r="T440" s="286">
        <v>5.1525999999999996</v>
      </c>
      <c r="U440" s="284">
        <v>-4.58E-2</v>
      </c>
      <c r="W440" s="168">
        <v>44812</v>
      </c>
      <c r="X440" s="288">
        <v>109916</v>
      </c>
      <c r="Y440" s="288">
        <v>109771</v>
      </c>
      <c r="Z440" s="288">
        <v>110768</v>
      </c>
      <c r="AA440" s="288">
        <v>108619</v>
      </c>
      <c r="AB440" s="284" t="s">
        <v>1776</v>
      </c>
      <c r="AC440" s="290">
        <v>1.4E-3</v>
      </c>
      <c r="AE440" s="168"/>
      <c r="AF440" s="286"/>
      <c r="AG440" s="286"/>
      <c r="AH440" s="286"/>
      <c r="AI440" s="286"/>
      <c r="AJ440" s="284"/>
    </row>
    <row r="441" spans="1:36" x14ac:dyDescent="0.3">
      <c r="A441" s="167">
        <v>44817</v>
      </c>
      <c r="B441" s="171">
        <v>26.99</v>
      </c>
      <c r="C441" s="171">
        <v>27.11</v>
      </c>
      <c r="D441" s="171">
        <v>27.81</v>
      </c>
      <c r="E441" s="171">
        <v>26.9</v>
      </c>
      <c r="F441" s="171" t="s">
        <v>1652</v>
      </c>
      <c r="G441" s="283">
        <v>-1.9900000000000001E-2</v>
      </c>
      <c r="I441" s="167">
        <v>44841</v>
      </c>
      <c r="J441" s="285">
        <v>2417.7199999999998</v>
      </c>
      <c r="K441" s="285">
        <v>2476.19</v>
      </c>
      <c r="L441" s="285">
        <v>2476.4</v>
      </c>
      <c r="M441" s="285">
        <v>2405.54</v>
      </c>
      <c r="N441" s="283" t="s">
        <v>2154</v>
      </c>
      <c r="P441" s="167">
        <v>44834</v>
      </c>
      <c r="Q441" s="285">
        <v>5.4154</v>
      </c>
      <c r="R441" s="285">
        <v>5.4013</v>
      </c>
      <c r="S441" s="285">
        <v>5.4278000000000004</v>
      </c>
      <c r="T441" s="285">
        <v>5.3281999999999998</v>
      </c>
      <c r="U441" s="283">
        <v>3.5000000000000001E-3</v>
      </c>
      <c r="W441" s="167">
        <v>44810</v>
      </c>
      <c r="X441" s="287">
        <v>109764</v>
      </c>
      <c r="Y441" s="287">
        <v>112203</v>
      </c>
      <c r="Z441" s="287">
        <v>112203</v>
      </c>
      <c r="AA441" s="287">
        <v>109348</v>
      </c>
      <c r="AB441" s="283" t="s">
        <v>2153</v>
      </c>
      <c r="AC441" s="289">
        <v>-2.1700000000000001E-2</v>
      </c>
      <c r="AE441" s="167"/>
      <c r="AF441" s="285"/>
      <c r="AG441" s="285"/>
      <c r="AH441" s="285"/>
      <c r="AI441" s="285"/>
      <c r="AJ441" s="283"/>
    </row>
    <row r="442" spans="1:36" x14ac:dyDescent="0.3">
      <c r="A442" s="168">
        <v>44816</v>
      </c>
      <c r="B442" s="83">
        <v>27.54</v>
      </c>
      <c r="C442" s="83">
        <v>28.41</v>
      </c>
      <c r="D442" s="83">
        <v>28.78</v>
      </c>
      <c r="E442" s="83">
        <v>27.39</v>
      </c>
      <c r="F442" s="83" t="s">
        <v>2152</v>
      </c>
      <c r="G442" s="284">
        <v>-1.6799999999999999E-2</v>
      </c>
      <c r="I442" s="168">
        <v>44840</v>
      </c>
      <c r="J442" s="286">
        <v>2478.42</v>
      </c>
      <c r="K442" s="286">
        <v>2503.1</v>
      </c>
      <c r="L442" s="286">
        <v>2507.94</v>
      </c>
      <c r="M442" s="286">
        <v>2473.46</v>
      </c>
      <c r="N442" s="284" t="s">
        <v>1273</v>
      </c>
      <c r="P442" s="168">
        <v>44833</v>
      </c>
      <c r="Q442" s="286">
        <v>5.3963999999999999</v>
      </c>
      <c r="R442" s="286">
        <v>5.3765000000000001</v>
      </c>
      <c r="S442" s="286">
        <v>5.43</v>
      </c>
      <c r="T442" s="286">
        <v>5.3730000000000002</v>
      </c>
      <c r="U442" s="284">
        <v>4.1000000000000003E-3</v>
      </c>
      <c r="W442" s="168">
        <v>44809</v>
      </c>
      <c r="X442" s="288">
        <v>112203</v>
      </c>
      <c r="Y442" s="288">
        <v>110868</v>
      </c>
      <c r="Z442" s="288">
        <v>112671</v>
      </c>
      <c r="AA442" s="288">
        <v>110865</v>
      </c>
      <c r="AB442" s="284" t="s">
        <v>1640</v>
      </c>
      <c r="AC442" s="290">
        <v>1.21E-2</v>
      </c>
      <c r="AE442" s="168"/>
      <c r="AF442" s="286"/>
      <c r="AG442" s="286"/>
      <c r="AH442" s="286"/>
      <c r="AI442" s="286"/>
      <c r="AJ442" s="284"/>
    </row>
    <row r="443" spans="1:36" x14ac:dyDescent="0.3">
      <c r="A443" s="167">
        <v>44813</v>
      </c>
      <c r="B443" s="171">
        <v>28.01</v>
      </c>
      <c r="C443" s="171">
        <v>27.87</v>
      </c>
      <c r="D443" s="171">
        <v>28.13</v>
      </c>
      <c r="E443" s="171">
        <v>27.42</v>
      </c>
      <c r="F443" s="171" t="s">
        <v>2151</v>
      </c>
      <c r="G443" s="283">
        <v>1.8100000000000002E-2</v>
      </c>
      <c r="I443" s="167">
        <v>44839</v>
      </c>
      <c r="J443" s="285">
        <v>2500.08</v>
      </c>
      <c r="K443" s="285">
        <v>2514.25</v>
      </c>
      <c r="L443" s="285">
        <v>2517.39</v>
      </c>
      <c r="M443" s="285">
        <v>2468.8000000000002</v>
      </c>
      <c r="N443" s="283" t="s">
        <v>1226</v>
      </c>
      <c r="P443" s="167">
        <v>44832</v>
      </c>
      <c r="Q443" s="285">
        <v>5.3745000000000003</v>
      </c>
      <c r="R443" s="285">
        <v>5.3814000000000002</v>
      </c>
      <c r="S443" s="285">
        <v>5.4236000000000004</v>
      </c>
      <c r="T443" s="285">
        <v>5.3226000000000004</v>
      </c>
      <c r="U443" s="283">
        <v>-1.5E-3</v>
      </c>
      <c r="W443" s="167">
        <v>44806</v>
      </c>
      <c r="X443" s="287">
        <v>110864</v>
      </c>
      <c r="Y443" s="287">
        <v>110409</v>
      </c>
      <c r="Z443" s="287">
        <v>112264</v>
      </c>
      <c r="AA443" s="287">
        <v>110409</v>
      </c>
      <c r="AB443" s="283" t="s">
        <v>1853</v>
      </c>
      <c r="AC443" s="289">
        <v>4.1999999999999997E-3</v>
      </c>
      <c r="AE443" s="167"/>
      <c r="AF443" s="285"/>
      <c r="AG443" s="285"/>
      <c r="AH443" s="285"/>
      <c r="AI443" s="285"/>
      <c r="AJ443" s="283"/>
    </row>
    <row r="444" spans="1:36" x14ac:dyDescent="0.3">
      <c r="A444" s="168">
        <v>44812</v>
      </c>
      <c r="B444" s="83">
        <v>27.51</v>
      </c>
      <c r="C444" s="83">
        <v>28.25</v>
      </c>
      <c r="D444" s="83">
        <v>28.38</v>
      </c>
      <c r="E444" s="83">
        <v>27.04</v>
      </c>
      <c r="F444" s="83" t="s">
        <v>2150</v>
      </c>
      <c r="G444" s="284">
        <v>-4.07E-2</v>
      </c>
      <c r="I444" s="168">
        <v>44838</v>
      </c>
      <c r="J444" s="286">
        <v>2511.7199999999998</v>
      </c>
      <c r="K444" s="286">
        <v>2430.94</v>
      </c>
      <c r="L444" s="286">
        <v>2514.6799999999998</v>
      </c>
      <c r="M444" s="286">
        <v>2430.94</v>
      </c>
      <c r="N444" s="284" t="s">
        <v>2149</v>
      </c>
      <c r="P444" s="168">
        <v>44831</v>
      </c>
      <c r="Q444" s="286">
        <v>5.3823999999999996</v>
      </c>
      <c r="R444" s="286">
        <v>5.391</v>
      </c>
      <c r="S444" s="286">
        <v>5.3954000000000004</v>
      </c>
      <c r="T444" s="286">
        <v>5.2962999999999996</v>
      </c>
      <c r="U444" s="284">
        <v>-1.4E-3</v>
      </c>
      <c r="W444" s="168">
        <v>44805</v>
      </c>
      <c r="X444" s="288">
        <v>110405</v>
      </c>
      <c r="Y444" s="288">
        <v>109524</v>
      </c>
      <c r="Z444" s="288">
        <v>110405</v>
      </c>
      <c r="AA444" s="288">
        <v>108217</v>
      </c>
      <c r="AB444" s="284" t="s">
        <v>2148</v>
      </c>
      <c r="AC444" s="290">
        <v>8.0999999999999996E-3</v>
      </c>
      <c r="AE444" s="168"/>
      <c r="AF444" s="286"/>
      <c r="AG444" s="286"/>
      <c r="AH444" s="286"/>
      <c r="AI444" s="286"/>
      <c r="AJ444" s="284"/>
    </row>
    <row r="445" spans="1:36" x14ac:dyDescent="0.3">
      <c r="A445" s="167">
        <v>44810</v>
      </c>
      <c r="B445" s="171">
        <v>28.67</v>
      </c>
      <c r="C445" s="171">
        <v>28.85</v>
      </c>
      <c r="D445" s="171">
        <v>29.4</v>
      </c>
      <c r="E445" s="171">
        <v>28.57</v>
      </c>
      <c r="F445" s="171" t="s">
        <v>2147</v>
      </c>
      <c r="G445" s="283">
        <v>-2.7799999999999998E-2</v>
      </c>
      <c r="I445" s="167">
        <v>44837</v>
      </c>
      <c r="J445" s="285">
        <v>2429.91</v>
      </c>
      <c r="K445" s="285">
        <v>2378.17</v>
      </c>
      <c r="L445" s="285">
        <v>2439.6</v>
      </c>
      <c r="M445" s="285">
        <v>2372.85</v>
      </c>
      <c r="N445" s="283" t="s">
        <v>2146</v>
      </c>
      <c r="P445" s="167">
        <v>44830</v>
      </c>
      <c r="Q445" s="285">
        <v>5.3898000000000001</v>
      </c>
      <c r="R445" s="285">
        <v>5.2603</v>
      </c>
      <c r="S445" s="285">
        <v>5.4173999999999998</v>
      </c>
      <c r="T445" s="285">
        <v>5.2603</v>
      </c>
      <c r="U445" s="283">
        <v>2.4799999999999999E-2</v>
      </c>
      <c r="W445" s="167">
        <v>44804</v>
      </c>
      <c r="X445" s="287">
        <v>109523</v>
      </c>
      <c r="Y445" s="287">
        <v>110431</v>
      </c>
      <c r="Z445" s="287">
        <v>111364</v>
      </c>
      <c r="AA445" s="287">
        <v>109523</v>
      </c>
      <c r="AB445" s="283" t="s">
        <v>2145</v>
      </c>
      <c r="AC445" s="289">
        <v>-8.2000000000000007E-3</v>
      </c>
      <c r="AE445" s="167"/>
      <c r="AF445" s="285"/>
      <c r="AG445" s="285"/>
      <c r="AH445" s="285"/>
      <c r="AI445" s="285"/>
      <c r="AJ445" s="283"/>
    </row>
    <row r="446" spans="1:36" x14ac:dyDescent="0.3">
      <c r="A446" s="168">
        <v>44809</v>
      </c>
      <c r="B446" s="83">
        <v>29.49</v>
      </c>
      <c r="C446" s="83">
        <v>28.54</v>
      </c>
      <c r="D446" s="83">
        <v>29.72</v>
      </c>
      <c r="E446" s="83">
        <v>28.46</v>
      </c>
      <c r="F446" s="83" t="s">
        <v>2144</v>
      </c>
      <c r="G446" s="284">
        <v>6.4500000000000002E-2</v>
      </c>
      <c r="I446" s="168">
        <v>44834</v>
      </c>
      <c r="J446" s="286">
        <v>2378.65</v>
      </c>
      <c r="K446" s="286">
        <v>2404.69</v>
      </c>
      <c r="L446" s="286">
        <v>2421.2199999999998</v>
      </c>
      <c r="M446" s="286">
        <v>2377.39</v>
      </c>
      <c r="N446" s="284" t="s">
        <v>2143</v>
      </c>
      <c r="P446" s="168">
        <v>44827</v>
      </c>
      <c r="Q446" s="286">
        <v>5.2595000000000001</v>
      </c>
      <c r="R446" s="286">
        <v>5.1173000000000002</v>
      </c>
      <c r="S446" s="286">
        <v>5.2693000000000003</v>
      </c>
      <c r="T446" s="286">
        <v>5.1163999999999996</v>
      </c>
      <c r="U446" s="284">
        <v>2.7900000000000001E-2</v>
      </c>
      <c r="W446" s="168">
        <v>44803</v>
      </c>
      <c r="X446" s="288">
        <v>110431</v>
      </c>
      <c r="Y446" s="288">
        <v>112323</v>
      </c>
      <c r="Z446" s="288">
        <v>112869</v>
      </c>
      <c r="AA446" s="288">
        <v>110103</v>
      </c>
      <c r="AB446" s="284" t="s">
        <v>1986</v>
      </c>
      <c r="AC446" s="290">
        <v>-1.6799999999999999E-2</v>
      </c>
      <c r="AE446" s="168"/>
      <c r="AF446" s="286"/>
      <c r="AG446" s="286"/>
      <c r="AH446" s="286"/>
      <c r="AI446" s="286"/>
      <c r="AJ446" s="284"/>
    </row>
    <row r="447" spans="1:36" x14ac:dyDescent="0.3">
      <c r="A447" s="167">
        <v>44806</v>
      </c>
      <c r="B447" s="171">
        <v>27.71</v>
      </c>
      <c r="C447" s="171">
        <v>28.13</v>
      </c>
      <c r="D447" s="171">
        <v>29.3</v>
      </c>
      <c r="E447" s="171">
        <v>27.56</v>
      </c>
      <c r="F447" s="171" t="s">
        <v>2142</v>
      </c>
      <c r="G447" s="283">
        <v>2.0199999999999999E-2</v>
      </c>
      <c r="I447" s="167">
        <v>44833</v>
      </c>
      <c r="J447" s="285">
        <v>2401.3200000000002</v>
      </c>
      <c r="K447" s="285">
        <v>2443.38</v>
      </c>
      <c r="L447" s="285">
        <v>2443.84</v>
      </c>
      <c r="M447" s="285">
        <v>2386.48</v>
      </c>
      <c r="N447" s="283" t="s">
        <v>2141</v>
      </c>
      <c r="P447" s="167">
        <v>44826</v>
      </c>
      <c r="Q447" s="285">
        <v>5.1166</v>
      </c>
      <c r="R447" s="285">
        <v>5.1727999999999996</v>
      </c>
      <c r="S447" s="285">
        <v>5.1859000000000002</v>
      </c>
      <c r="T447" s="285">
        <v>5.1055000000000001</v>
      </c>
      <c r="U447" s="283">
        <v>-1.06E-2</v>
      </c>
      <c r="W447" s="167">
        <v>44802</v>
      </c>
      <c r="X447" s="287">
        <v>112323</v>
      </c>
      <c r="Y447" s="287">
        <v>112296</v>
      </c>
      <c r="Z447" s="287">
        <v>113222</v>
      </c>
      <c r="AA447" s="287">
        <v>111689</v>
      </c>
      <c r="AB447" s="283" t="s">
        <v>2140</v>
      </c>
      <c r="AC447" s="289">
        <v>2.0000000000000001E-4</v>
      </c>
      <c r="AE447" s="167"/>
      <c r="AF447" s="285"/>
      <c r="AG447" s="285"/>
      <c r="AH447" s="285"/>
      <c r="AI447" s="285"/>
      <c r="AJ447" s="283"/>
    </row>
    <row r="448" spans="1:36" x14ac:dyDescent="0.3">
      <c r="A448" s="168">
        <v>44805</v>
      </c>
      <c r="B448" s="83">
        <v>27.16</v>
      </c>
      <c r="C448" s="83">
        <v>27.21</v>
      </c>
      <c r="D448" s="83">
        <v>27.23</v>
      </c>
      <c r="E448" s="83">
        <v>26.76</v>
      </c>
      <c r="F448" s="83" t="s">
        <v>1839</v>
      </c>
      <c r="G448" s="284">
        <v>-4.0000000000000001E-3</v>
      </c>
      <c r="I448" s="168">
        <v>44832</v>
      </c>
      <c r="J448" s="286">
        <v>2438.7800000000002</v>
      </c>
      <c r="K448" s="286">
        <v>2401.9499999999998</v>
      </c>
      <c r="L448" s="286">
        <v>2452.1799999999998</v>
      </c>
      <c r="M448" s="286">
        <v>2388.9499999999998</v>
      </c>
      <c r="N448" s="284" t="s">
        <v>2139</v>
      </c>
      <c r="P448" s="168">
        <v>44825</v>
      </c>
      <c r="Q448" s="286">
        <v>5.1715999999999998</v>
      </c>
      <c r="R448" s="286">
        <v>5.1429999999999998</v>
      </c>
      <c r="S448" s="286">
        <v>5.194</v>
      </c>
      <c r="T448" s="286">
        <v>5.1188000000000002</v>
      </c>
      <c r="U448" s="284">
        <v>5.7999999999999996E-3</v>
      </c>
      <c r="W448" s="168">
        <v>44799</v>
      </c>
      <c r="X448" s="288">
        <v>112299</v>
      </c>
      <c r="Y448" s="288">
        <v>113533</v>
      </c>
      <c r="Z448" s="288">
        <v>114091</v>
      </c>
      <c r="AA448" s="288">
        <v>111978</v>
      </c>
      <c r="AB448" s="284" t="s">
        <v>1654</v>
      </c>
      <c r="AC448" s="290">
        <v>-1.09E-2</v>
      </c>
      <c r="AE448" s="168"/>
      <c r="AF448" s="286"/>
      <c r="AG448" s="286"/>
      <c r="AH448" s="286"/>
      <c r="AI448" s="286"/>
      <c r="AJ448" s="284"/>
    </row>
    <row r="449" spans="1:36" x14ac:dyDescent="0.3">
      <c r="A449" s="167">
        <v>44804</v>
      </c>
      <c r="B449" s="171">
        <v>27.27</v>
      </c>
      <c r="C449" s="171">
        <v>26.45</v>
      </c>
      <c r="D449" s="171">
        <v>27.39</v>
      </c>
      <c r="E449" s="171">
        <v>26.16</v>
      </c>
      <c r="F449" s="171" t="s">
        <v>1865</v>
      </c>
      <c r="G449" s="283">
        <v>1.6400000000000001E-2</v>
      </c>
      <c r="I449" s="167">
        <v>44831</v>
      </c>
      <c r="J449" s="285">
        <v>2403.88</v>
      </c>
      <c r="K449" s="285">
        <v>2405.5</v>
      </c>
      <c r="L449" s="285">
        <v>2442.04</v>
      </c>
      <c r="M449" s="285">
        <v>2390.16</v>
      </c>
      <c r="N449" s="283" t="s">
        <v>1390</v>
      </c>
      <c r="P449" s="167">
        <v>44824</v>
      </c>
      <c r="Q449" s="285">
        <v>5.1417000000000002</v>
      </c>
      <c r="R449" s="285">
        <v>5.1704999999999997</v>
      </c>
      <c r="S449" s="285">
        <v>5.2240000000000002</v>
      </c>
      <c r="T449" s="285">
        <v>5.1406000000000001</v>
      </c>
      <c r="U449" s="283">
        <v>-4.8999999999999998E-3</v>
      </c>
      <c r="W449" s="167">
        <v>44798</v>
      </c>
      <c r="X449" s="287">
        <v>113532</v>
      </c>
      <c r="Y449" s="287">
        <v>112898</v>
      </c>
      <c r="Z449" s="287">
        <v>114156</v>
      </c>
      <c r="AA449" s="287">
        <v>112768</v>
      </c>
      <c r="AB449" s="283" t="s">
        <v>2138</v>
      </c>
      <c r="AC449" s="289">
        <v>5.5999999999999999E-3</v>
      </c>
      <c r="AE449" s="167"/>
      <c r="AF449" s="285"/>
      <c r="AG449" s="285"/>
      <c r="AH449" s="285"/>
      <c r="AI449" s="285"/>
      <c r="AJ449" s="283"/>
    </row>
    <row r="450" spans="1:36" x14ac:dyDescent="0.3">
      <c r="A450" s="168">
        <v>44803</v>
      </c>
      <c r="B450" s="83">
        <v>26.83</v>
      </c>
      <c r="C450" s="83">
        <v>26.83</v>
      </c>
      <c r="D450" s="83">
        <v>27.35</v>
      </c>
      <c r="E450" s="83">
        <v>26.27</v>
      </c>
      <c r="F450" s="83" t="s">
        <v>2137</v>
      </c>
      <c r="G450" s="284">
        <v>-1.32E-2</v>
      </c>
      <c r="I450" s="168">
        <v>44830</v>
      </c>
      <c r="J450" s="286">
        <v>2408.44</v>
      </c>
      <c r="K450" s="286">
        <v>2436.42</v>
      </c>
      <c r="L450" s="286">
        <v>2443.16</v>
      </c>
      <c r="M450" s="286">
        <v>2400.46</v>
      </c>
      <c r="N450" s="284" t="s">
        <v>2136</v>
      </c>
      <c r="P450" s="168">
        <v>44823</v>
      </c>
      <c r="Q450" s="286">
        <v>5.1669999999999998</v>
      </c>
      <c r="R450" s="286">
        <v>5.2544000000000004</v>
      </c>
      <c r="S450" s="286">
        <v>5.3029000000000002</v>
      </c>
      <c r="T450" s="286">
        <v>5.1420000000000003</v>
      </c>
      <c r="U450" s="284">
        <v>-1.6400000000000001E-2</v>
      </c>
      <c r="W450" s="168">
        <v>44797</v>
      </c>
      <c r="X450" s="288">
        <v>112898</v>
      </c>
      <c r="Y450" s="288">
        <v>112856</v>
      </c>
      <c r="Z450" s="288">
        <v>113888</v>
      </c>
      <c r="AA450" s="288">
        <v>112632</v>
      </c>
      <c r="AB450" s="284" t="s">
        <v>1776</v>
      </c>
      <c r="AC450" s="290">
        <v>4.0000000000000002E-4</v>
      </c>
      <c r="AE450" s="168"/>
      <c r="AF450" s="286"/>
      <c r="AG450" s="286"/>
      <c r="AH450" s="286"/>
      <c r="AI450" s="286"/>
      <c r="AJ450" s="284"/>
    </row>
    <row r="451" spans="1:36" x14ac:dyDescent="0.3">
      <c r="A451" s="167">
        <v>44802</v>
      </c>
      <c r="B451" s="171">
        <v>27.19</v>
      </c>
      <c r="C451" s="171">
        <v>26.51</v>
      </c>
      <c r="D451" s="171">
        <v>28</v>
      </c>
      <c r="E451" s="171">
        <v>26.4</v>
      </c>
      <c r="F451" s="171" t="s">
        <v>2135</v>
      </c>
      <c r="G451" s="283">
        <v>2.52E-2</v>
      </c>
      <c r="I451" s="167">
        <v>44827</v>
      </c>
      <c r="J451" s="285">
        <v>2438.5</v>
      </c>
      <c r="K451" s="285">
        <v>2490.44</v>
      </c>
      <c r="L451" s="285">
        <v>2490.69</v>
      </c>
      <c r="M451" s="285">
        <v>2414.84</v>
      </c>
      <c r="N451" s="283" t="s">
        <v>2134</v>
      </c>
      <c r="P451" s="167">
        <v>44820</v>
      </c>
      <c r="Q451" s="285">
        <v>5.2530999999999999</v>
      </c>
      <c r="R451" s="285">
        <v>5.2462</v>
      </c>
      <c r="S451" s="285">
        <v>5.3105000000000002</v>
      </c>
      <c r="T451" s="285">
        <v>5.2462</v>
      </c>
      <c r="U451" s="283">
        <v>1.1999999999999999E-3</v>
      </c>
      <c r="W451" s="167">
        <v>44796</v>
      </c>
      <c r="X451" s="287">
        <v>112857</v>
      </c>
      <c r="Y451" s="287">
        <v>110504</v>
      </c>
      <c r="Z451" s="287">
        <v>112965</v>
      </c>
      <c r="AA451" s="287">
        <v>110503</v>
      </c>
      <c r="AB451" s="283" t="s">
        <v>2133</v>
      </c>
      <c r="AC451" s="289">
        <v>2.1299999999999999E-2</v>
      </c>
      <c r="AE451" s="167"/>
      <c r="AF451" s="285"/>
      <c r="AG451" s="285"/>
      <c r="AH451" s="285"/>
      <c r="AI451" s="285"/>
      <c r="AJ451" s="283"/>
    </row>
    <row r="452" spans="1:36" x14ac:dyDescent="0.3">
      <c r="A452" s="168">
        <v>44799</v>
      </c>
      <c r="B452" s="83">
        <v>26.52</v>
      </c>
      <c r="C452" s="83">
        <v>26.44</v>
      </c>
      <c r="D452" s="83">
        <v>26.65</v>
      </c>
      <c r="E452" s="83">
        <v>26.06</v>
      </c>
      <c r="F452" s="83" t="s">
        <v>1421</v>
      </c>
      <c r="G452" s="284">
        <v>6.4000000000000003E-3</v>
      </c>
      <c r="I452" s="168">
        <v>44826</v>
      </c>
      <c r="J452" s="286">
        <v>2489.36</v>
      </c>
      <c r="K452" s="286">
        <v>2512.16</v>
      </c>
      <c r="L452" s="286">
        <v>2519.1799999999998</v>
      </c>
      <c r="M452" s="286">
        <v>2485.37</v>
      </c>
      <c r="N452" s="284" t="s">
        <v>2132</v>
      </c>
      <c r="P452" s="168">
        <v>44819</v>
      </c>
      <c r="Q452" s="286">
        <v>5.2469999999999999</v>
      </c>
      <c r="R452" s="286">
        <v>5.1643999999999997</v>
      </c>
      <c r="S452" s="286">
        <v>5.2502000000000004</v>
      </c>
      <c r="T452" s="286">
        <v>5.1641000000000004</v>
      </c>
      <c r="U452" s="284">
        <v>1.6299999999999999E-2</v>
      </c>
      <c r="W452" s="168">
        <v>44795</v>
      </c>
      <c r="X452" s="288">
        <v>110501</v>
      </c>
      <c r="Y452" s="288">
        <v>111487</v>
      </c>
      <c r="Z452" s="288">
        <v>111487</v>
      </c>
      <c r="AA452" s="288">
        <v>109858</v>
      </c>
      <c r="AB452" s="284" t="s">
        <v>2075</v>
      </c>
      <c r="AC452" s="290">
        <v>-8.8999999999999999E-3</v>
      </c>
      <c r="AE452" s="168"/>
      <c r="AF452" s="286"/>
      <c r="AG452" s="286"/>
      <c r="AH452" s="286"/>
      <c r="AI452" s="286"/>
      <c r="AJ452" s="284"/>
    </row>
    <row r="453" spans="1:36" x14ac:dyDescent="0.3">
      <c r="A453" s="167">
        <v>44798</v>
      </c>
      <c r="B453" s="171">
        <v>26.35</v>
      </c>
      <c r="C453" s="171">
        <v>26.16</v>
      </c>
      <c r="D453" s="171">
        <v>26.41</v>
      </c>
      <c r="E453" s="171">
        <v>25.7</v>
      </c>
      <c r="F453" s="171" t="s">
        <v>1796</v>
      </c>
      <c r="G453" s="283">
        <v>1.5800000000000002E-2</v>
      </c>
      <c r="I453" s="167">
        <v>44825</v>
      </c>
      <c r="J453" s="285">
        <v>2516.59</v>
      </c>
      <c r="K453" s="285">
        <v>2551.8200000000002</v>
      </c>
      <c r="L453" s="285">
        <v>2574.63</v>
      </c>
      <c r="M453" s="285">
        <v>2514.39</v>
      </c>
      <c r="N453" s="283" t="s">
        <v>2131</v>
      </c>
      <c r="P453" s="167">
        <v>44818</v>
      </c>
      <c r="Q453" s="285">
        <v>5.1631</v>
      </c>
      <c r="R453" s="285">
        <v>5.1921999999999997</v>
      </c>
      <c r="S453" s="285">
        <v>5.1985999999999999</v>
      </c>
      <c r="T453" s="285">
        <v>5.1494999999999997</v>
      </c>
      <c r="U453" s="283">
        <v>-5.4000000000000003E-3</v>
      </c>
      <c r="W453" s="167">
        <v>44792</v>
      </c>
      <c r="X453" s="287">
        <v>111496</v>
      </c>
      <c r="Y453" s="287">
        <v>113807</v>
      </c>
      <c r="Z453" s="287">
        <v>113807</v>
      </c>
      <c r="AA453" s="287">
        <v>111146</v>
      </c>
      <c r="AB453" s="283" t="s">
        <v>2130</v>
      </c>
      <c r="AC453" s="289">
        <v>-2.0400000000000001E-2</v>
      </c>
      <c r="AE453" s="167"/>
      <c r="AF453" s="285"/>
      <c r="AG453" s="285"/>
      <c r="AH453" s="285"/>
      <c r="AI453" s="285"/>
      <c r="AJ453" s="283"/>
    </row>
    <row r="454" spans="1:36" x14ac:dyDescent="0.3">
      <c r="A454" s="168">
        <v>44797</v>
      </c>
      <c r="B454" s="83">
        <v>25.94</v>
      </c>
      <c r="C454" s="83">
        <v>24.85</v>
      </c>
      <c r="D454" s="83">
        <v>26.21</v>
      </c>
      <c r="E454" s="83">
        <v>24.8</v>
      </c>
      <c r="F454" s="83" t="s">
        <v>2129</v>
      </c>
      <c r="G454" s="284">
        <v>3.4599999999999999E-2</v>
      </c>
      <c r="I454" s="168">
        <v>44824</v>
      </c>
      <c r="J454" s="286">
        <v>2554.02</v>
      </c>
      <c r="K454" s="286">
        <v>2583.1999999999998</v>
      </c>
      <c r="L454" s="286">
        <v>2587.88</v>
      </c>
      <c r="M454" s="286">
        <v>2539.36</v>
      </c>
      <c r="N454" s="284" t="s">
        <v>2128</v>
      </c>
      <c r="P454" s="168">
        <v>44817</v>
      </c>
      <c r="Q454" s="286">
        <v>5.1910999999999996</v>
      </c>
      <c r="R454" s="286">
        <v>5.0918000000000001</v>
      </c>
      <c r="S454" s="286">
        <v>5.2092000000000001</v>
      </c>
      <c r="T454" s="286">
        <v>5.0766</v>
      </c>
      <c r="U454" s="284">
        <v>1.9300000000000001E-2</v>
      </c>
      <c r="W454" s="168">
        <v>44791</v>
      </c>
      <c r="X454" s="288">
        <v>113813</v>
      </c>
      <c r="Y454" s="288">
        <v>113708</v>
      </c>
      <c r="Z454" s="288">
        <v>114375</v>
      </c>
      <c r="AA454" s="288">
        <v>113304</v>
      </c>
      <c r="AB454" s="284" t="s">
        <v>1608</v>
      </c>
      <c r="AC454" s="290">
        <v>8.9999999999999998E-4</v>
      </c>
      <c r="AE454" s="168"/>
      <c r="AF454" s="286"/>
      <c r="AG454" s="286"/>
      <c r="AH454" s="286"/>
      <c r="AI454" s="286"/>
      <c r="AJ454" s="284"/>
    </row>
    <row r="455" spans="1:36" x14ac:dyDescent="0.3">
      <c r="A455" s="167">
        <v>44796</v>
      </c>
      <c r="B455" s="171">
        <v>25.07</v>
      </c>
      <c r="C455" s="171">
        <v>23.58</v>
      </c>
      <c r="D455" s="171">
        <v>25.17</v>
      </c>
      <c r="E455" s="171">
        <v>23.52</v>
      </c>
      <c r="F455" s="171" t="s">
        <v>2127</v>
      </c>
      <c r="G455" s="283">
        <v>7.22E-2</v>
      </c>
      <c r="I455" s="167">
        <v>44823</v>
      </c>
      <c r="J455" s="285">
        <v>2580.5500000000002</v>
      </c>
      <c r="K455" s="285">
        <v>2569.69</v>
      </c>
      <c r="L455" s="285">
        <v>2581.9699999999998</v>
      </c>
      <c r="M455" s="285">
        <v>2546.5500000000002</v>
      </c>
      <c r="N455" s="283" t="s">
        <v>2126</v>
      </c>
      <c r="P455" s="167">
        <v>44816</v>
      </c>
      <c r="Q455" s="285">
        <v>5.093</v>
      </c>
      <c r="R455" s="285">
        <v>5.1477000000000004</v>
      </c>
      <c r="S455" s="285">
        <v>5.1477000000000004</v>
      </c>
      <c r="T455" s="285">
        <v>5.0834000000000001</v>
      </c>
      <c r="U455" s="283">
        <v>-1.03E-2</v>
      </c>
      <c r="W455" s="167">
        <v>44790</v>
      </c>
      <c r="X455" s="287">
        <v>113708</v>
      </c>
      <c r="Y455" s="287">
        <v>113508</v>
      </c>
      <c r="Z455" s="287">
        <v>114146</v>
      </c>
      <c r="AA455" s="287">
        <v>112483</v>
      </c>
      <c r="AB455" s="283" t="s">
        <v>2125</v>
      </c>
      <c r="AC455" s="289">
        <v>1.6999999999999999E-3</v>
      </c>
      <c r="AE455" s="167"/>
      <c r="AF455" s="285"/>
      <c r="AG455" s="285"/>
      <c r="AH455" s="285"/>
      <c r="AI455" s="285"/>
      <c r="AJ455" s="283"/>
    </row>
    <row r="456" spans="1:36" x14ac:dyDescent="0.3">
      <c r="A456" s="168">
        <v>44795</v>
      </c>
      <c r="B456" s="83">
        <v>23.38</v>
      </c>
      <c r="C456" s="83">
        <v>23.8</v>
      </c>
      <c r="D456" s="83">
        <v>23.84</v>
      </c>
      <c r="E456" s="83">
        <v>22.93</v>
      </c>
      <c r="F456" s="83" t="s">
        <v>2124</v>
      </c>
      <c r="G456" s="284">
        <v>-2.29E-2</v>
      </c>
      <c r="I456" s="168">
        <v>44820</v>
      </c>
      <c r="J456" s="286">
        <v>2569.29</v>
      </c>
      <c r="K456" s="286">
        <v>2589.79</v>
      </c>
      <c r="L456" s="286">
        <v>2591.15</v>
      </c>
      <c r="M456" s="286">
        <v>2550.36</v>
      </c>
      <c r="N456" s="284" t="s">
        <v>1837</v>
      </c>
      <c r="P456" s="168">
        <v>44813</v>
      </c>
      <c r="Q456" s="286">
        <v>5.1462000000000003</v>
      </c>
      <c r="R456" s="286">
        <v>5.2142999999999997</v>
      </c>
      <c r="S456" s="286">
        <v>5.2145999999999999</v>
      </c>
      <c r="T456" s="286">
        <v>5.1378000000000004</v>
      </c>
      <c r="U456" s="284">
        <v>-1.2999999999999999E-2</v>
      </c>
      <c r="W456" s="168">
        <v>44789</v>
      </c>
      <c r="X456" s="288">
        <v>113512</v>
      </c>
      <c r="Y456" s="288">
        <v>113034</v>
      </c>
      <c r="Z456" s="288">
        <v>113626</v>
      </c>
      <c r="AA456" s="288">
        <v>112690</v>
      </c>
      <c r="AB456" s="284" t="s">
        <v>2123</v>
      </c>
      <c r="AC456" s="290">
        <v>4.3E-3</v>
      </c>
      <c r="AE456" s="168"/>
      <c r="AF456" s="286"/>
      <c r="AG456" s="286"/>
      <c r="AH456" s="286"/>
      <c r="AI456" s="286"/>
      <c r="AJ456" s="284"/>
    </row>
    <row r="457" spans="1:36" x14ac:dyDescent="0.3">
      <c r="A457" s="167">
        <v>44792</v>
      </c>
      <c r="B457" s="171">
        <v>23.93</v>
      </c>
      <c r="C457" s="171">
        <v>24.36</v>
      </c>
      <c r="D457" s="171">
        <v>24.74</v>
      </c>
      <c r="E457" s="171">
        <v>23.8</v>
      </c>
      <c r="F457" s="171" t="s">
        <v>1642</v>
      </c>
      <c r="G457" s="283">
        <v>-2.7199999999999998E-2</v>
      </c>
      <c r="I457" s="167">
        <v>44819</v>
      </c>
      <c r="J457" s="285">
        <v>2592</v>
      </c>
      <c r="K457" s="285">
        <v>2616.4899999999998</v>
      </c>
      <c r="L457" s="285">
        <v>2623.26</v>
      </c>
      <c r="M457" s="285">
        <v>2584.9499999999998</v>
      </c>
      <c r="N457" s="283" t="s">
        <v>1615</v>
      </c>
      <c r="P457" s="167">
        <v>44812</v>
      </c>
      <c r="Q457" s="285">
        <v>5.2141000000000002</v>
      </c>
      <c r="R457" s="285">
        <v>5.2483000000000004</v>
      </c>
      <c r="S457" s="285">
        <v>5.2523</v>
      </c>
      <c r="T457" s="285">
        <v>5.1783000000000001</v>
      </c>
      <c r="U457" s="283">
        <v>-6.4999999999999997E-3</v>
      </c>
      <c r="W457" s="167">
        <v>44788</v>
      </c>
      <c r="X457" s="287">
        <v>113032</v>
      </c>
      <c r="Y457" s="287">
        <v>112767</v>
      </c>
      <c r="Z457" s="287">
        <v>113214</v>
      </c>
      <c r="AA457" s="287">
        <v>111067</v>
      </c>
      <c r="AB457" s="283" t="s">
        <v>2122</v>
      </c>
      <c r="AC457" s="289">
        <v>2.3999999999999998E-3</v>
      </c>
      <c r="AE457" s="167"/>
      <c r="AF457" s="285"/>
      <c r="AG457" s="285"/>
      <c r="AH457" s="285"/>
      <c r="AI457" s="285"/>
      <c r="AJ457" s="283"/>
    </row>
    <row r="458" spans="1:36" x14ac:dyDescent="0.3">
      <c r="A458" s="168">
        <v>44791</v>
      </c>
      <c r="B458" s="83">
        <v>24.6</v>
      </c>
      <c r="C458" s="83">
        <v>24.65</v>
      </c>
      <c r="D458" s="83">
        <v>25.01</v>
      </c>
      <c r="E458" s="83">
        <v>24.42</v>
      </c>
      <c r="F458" s="83" t="s">
        <v>2031</v>
      </c>
      <c r="G458" s="284">
        <v>1.23E-2</v>
      </c>
      <c r="I458" s="168">
        <v>44818</v>
      </c>
      <c r="J458" s="286">
        <v>2617.84</v>
      </c>
      <c r="K458" s="286">
        <v>2615.96</v>
      </c>
      <c r="L458" s="286">
        <v>2625.52</v>
      </c>
      <c r="M458" s="286">
        <v>2599.4499999999998</v>
      </c>
      <c r="N458" s="284" t="s">
        <v>1204</v>
      </c>
      <c r="P458" s="168">
        <v>44811</v>
      </c>
      <c r="Q458" s="286">
        <v>5.2480000000000002</v>
      </c>
      <c r="R458" s="286">
        <v>5.2507000000000001</v>
      </c>
      <c r="S458" s="286">
        <v>5.2507000000000001</v>
      </c>
      <c r="T458" s="286">
        <v>5.2483000000000004</v>
      </c>
      <c r="U458" s="284">
        <v>-8.9999999999999998E-4</v>
      </c>
      <c r="W458" s="168">
        <v>44785</v>
      </c>
      <c r="X458" s="288">
        <v>112764</v>
      </c>
      <c r="Y458" s="288">
        <v>109718</v>
      </c>
      <c r="Z458" s="288">
        <v>112764</v>
      </c>
      <c r="AA458" s="288">
        <v>109718</v>
      </c>
      <c r="AB458" s="284" t="s">
        <v>2121</v>
      </c>
      <c r="AC458" s="290">
        <v>2.7799999999999998E-2</v>
      </c>
      <c r="AE458" s="168"/>
      <c r="AF458" s="286"/>
      <c r="AG458" s="286"/>
      <c r="AH458" s="286"/>
      <c r="AI458" s="286"/>
      <c r="AJ458" s="284"/>
    </row>
    <row r="459" spans="1:36" x14ac:dyDescent="0.3">
      <c r="A459" s="167">
        <v>44790</v>
      </c>
      <c r="B459" s="171">
        <v>24.3</v>
      </c>
      <c r="C459" s="171">
        <v>24.17</v>
      </c>
      <c r="D459" s="171">
        <v>24.6</v>
      </c>
      <c r="E459" s="171">
        <v>23.87</v>
      </c>
      <c r="F459" s="171" t="s">
        <v>2120</v>
      </c>
      <c r="G459" s="283">
        <v>8.0000000000000004E-4</v>
      </c>
      <c r="I459" s="167">
        <v>44817</v>
      </c>
      <c r="J459" s="285">
        <v>2619.5</v>
      </c>
      <c r="K459" s="285">
        <v>2718.62</v>
      </c>
      <c r="L459" s="285">
        <v>2725.55</v>
      </c>
      <c r="M459" s="285">
        <v>2611.3000000000002</v>
      </c>
      <c r="N459" s="283" t="s">
        <v>2003</v>
      </c>
      <c r="P459" s="167">
        <v>44810</v>
      </c>
      <c r="Q459" s="285">
        <v>5.2527999999999997</v>
      </c>
      <c r="R459" s="285">
        <v>5.1547000000000001</v>
      </c>
      <c r="S459" s="285">
        <v>5.2538999999999998</v>
      </c>
      <c r="T459" s="285">
        <v>5.1532</v>
      </c>
      <c r="U459" s="283">
        <v>1.9599999999999999E-2</v>
      </c>
      <c r="W459" s="167">
        <v>44784</v>
      </c>
      <c r="X459" s="287">
        <v>109718</v>
      </c>
      <c r="Y459" s="287">
        <v>110236</v>
      </c>
      <c r="Z459" s="287">
        <v>111310</v>
      </c>
      <c r="AA459" s="287">
        <v>109604</v>
      </c>
      <c r="AB459" s="283" t="s">
        <v>2028</v>
      </c>
      <c r="AC459" s="289">
        <v>-4.7000000000000002E-3</v>
      </c>
      <c r="AE459" s="167"/>
      <c r="AF459" s="285"/>
      <c r="AG459" s="285"/>
      <c r="AH459" s="285"/>
      <c r="AI459" s="285"/>
      <c r="AJ459" s="283"/>
    </row>
    <row r="460" spans="1:36" x14ac:dyDescent="0.3">
      <c r="A460" s="168">
        <v>44789</v>
      </c>
      <c r="B460" s="83">
        <v>24.28</v>
      </c>
      <c r="C460" s="83">
        <v>24.78</v>
      </c>
      <c r="D460" s="83">
        <v>24.86</v>
      </c>
      <c r="E460" s="83">
        <v>24.13</v>
      </c>
      <c r="F460" s="83" t="s">
        <v>2119</v>
      </c>
      <c r="G460" s="284">
        <v>-3.9899999999999998E-2</v>
      </c>
      <c r="I460" s="168">
        <v>44816</v>
      </c>
      <c r="J460" s="286">
        <v>2719.01</v>
      </c>
      <c r="K460" s="286">
        <v>2685.5</v>
      </c>
      <c r="L460" s="286">
        <v>2723.38</v>
      </c>
      <c r="M460" s="286">
        <v>2684.75</v>
      </c>
      <c r="N460" s="284" t="s">
        <v>2067</v>
      </c>
      <c r="P460" s="168">
        <v>44809</v>
      </c>
      <c r="Q460" s="286">
        <v>5.1516000000000002</v>
      </c>
      <c r="R460" s="286">
        <v>5.1660000000000004</v>
      </c>
      <c r="S460" s="286">
        <v>5.1905000000000001</v>
      </c>
      <c r="T460" s="286">
        <v>5.1494999999999997</v>
      </c>
      <c r="U460" s="284">
        <v>-3.2000000000000002E-3</v>
      </c>
      <c r="W460" s="168">
        <v>44783</v>
      </c>
      <c r="X460" s="288">
        <v>110236</v>
      </c>
      <c r="Y460" s="288">
        <v>108658</v>
      </c>
      <c r="Z460" s="288">
        <v>110362</v>
      </c>
      <c r="AA460" s="288">
        <v>108657</v>
      </c>
      <c r="AB460" s="284" t="s">
        <v>2118</v>
      </c>
      <c r="AC460" s="290">
        <v>1.46E-2</v>
      </c>
      <c r="AE460" s="168"/>
      <c r="AF460" s="286"/>
      <c r="AG460" s="286"/>
      <c r="AH460" s="286"/>
      <c r="AI460" s="286"/>
      <c r="AJ460" s="284"/>
    </row>
    <row r="461" spans="1:36" x14ac:dyDescent="0.3">
      <c r="A461" s="167">
        <v>44788</v>
      </c>
      <c r="B461" s="171">
        <v>25.29</v>
      </c>
      <c r="C461" s="171">
        <v>24.91</v>
      </c>
      <c r="D461" s="171">
        <v>25.5</v>
      </c>
      <c r="E461" s="171">
        <v>24.67</v>
      </c>
      <c r="F461" s="171" t="s">
        <v>2117</v>
      </c>
      <c r="G461" s="283">
        <v>-2.0899999999999998E-2</v>
      </c>
      <c r="I461" s="167">
        <v>44813</v>
      </c>
      <c r="J461" s="285">
        <v>2682.9</v>
      </c>
      <c r="K461" s="285">
        <v>2639.09</v>
      </c>
      <c r="L461" s="285">
        <v>2687.55</v>
      </c>
      <c r="M461" s="285">
        <v>2638.97</v>
      </c>
      <c r="N461" s="283" t="s">
        <v>2116</v>
      </c>
      <c r="P461" s="167">
        <v>44806</v>
      </c>
      <c r="Q461" s="285">
        <v>5.1680999999999999</v>
      </c>
      <c r="R461" s="285">
        <v>5.2422000000000004</v>
      </c>
      <c r="S461" s="285">
        <v>5.2422000000000004</v>
      </c>
      <c r="T461" s="285">
        <v>5.1574999999999998</v>
      </c>
      <c r="U461" s="283">
        <v>-1.4E-2</v>
      </c>
      <c r="W461" s="167">
        <v>44782</v>
      </c>
      <c r="X461" s="287">
        <v>108651</v>
      </c>
      <c r="Y461" s="287">
        <v>108403</v>
      </c>
      <c r="Z461" s="287">
        <v>109331</v>
      </c>
      <c r="AA461" s="287">
        <v>107842</v>
      </c>
      <c r="AB461" s="283" t="s">
        <v>2115</v>
      </c>
      <c r="AC461" s="289">
        <v>2.3E-3</v>
      </c>
      <c r="AE461" s="167"/>
      <c r="AF461" s="285"/>
      <c r="AG461" s="285"/>
      <c r="AH461" s="285"/>
      <c r="AI461" s="285"/>
      <c r="AJ461" s="283"/>
    </row>
    <row r="462" spans="1:36" x14ac:dyDescent="0.3">
      <c r="A462" s="168">
        <v>44785</v>
      </c>
      <c r="B462" s="83">
        <v>25.83</v>
      </c>
      <c r="C462" s="83">
        <v>25.19</v>
      </c>
      <c r="D462" s="83">
        <v>25.85</v>
      </c>
      <c r="E462" s="83">
        <v>25.19</v>
      </c>
      <c r="F462" s="83" t="s">
        <v>1643</v>
      </c>
      <c r="G462" s="284">
        <v>2.01E-2</v>
      </c>
      <c r="I462" s="168">
        <v>44812</v>
      </c>
      <c r="J462" s="286">
        <v>2636.17</v>
      </c>
      <c r="K462" s="286">
        <v>2618.54</v>
      </c>
      <c r="L462" s="286">
        <v>2638.78</v>
      </c>
      <c r="M462" s="286">
        <v>2599.15</v>
      </c>
      <c r="N462" s="284" t="s">
        <v>2114</v>
      </c>
      <c r="P462" s="168">
        <v>44805</v>
      </c>
      <c r="Q462" s="286">
        <v>5.2416</v>
      </c>
      <c r="R462" s="286">
        <v>5.1833</v>
      </c>
      <c r="S462" s="286">
        <v>5.2576999999999998</v>
      </c>
      <c r="T462" s="286">
        <v>5.1462000000000003</v>
      </c>
      <c r="U462" s="284">
        <v>1.1299999999999999E-2</v>
      </c>
      <c r="W462" s="168">
        <v>44781</v>
      </c>
      <c r="X462" s="288">
        <v>108402</v>
      </c>
      <c r="Y462" s="288">
        <v>106473</v>
      </c>
      <c r="Z462" s="288">
        <v>108489</v>
      </c>
      <c r="AA462" s="288">
        <v>106473</v>
      </c>
      <c r="AB462" s="284" t="s">
        <v>2113</v>
      </c>
      <c r="AC462" s="290">
        <v>1.8100000000000002E-2</v>
      </c>
      <c r="AE462" s="168"/>
      <c r="AF462" s="286"/>
      <c r="AG462" s="286"/>
      <c r="AH462" s="286"/>
      <c r="AI462" s="286"/>
      <c r="AJ462" s="284"/>
    </row>
    <row r="463" spans="1:36" x14ac:dyDescent="0.3">
      <c r="A463" s="167">
        <v>44784</v>
      </c>
      <c r="B463" s="171">
        <v>25.32</v>
      </c>
      <c r="C463" s="171">
        <v>25.11</v>
      </c>
      <c r="D463" s="171">
        <v>25.73</v>
      </c>
      <c r="E463" s="171">
        <v>25.06</v>
      </c>
      <c r="F463" s="171" t="s">
        <v>2112</v>
      </c>
      <c r="G463" s="283">
        <v>2.2599999999999999E-2</v>
      </c>
      <c r="I463" s="167">
        <v>44811</v>
      </c>
      <c r="J463" s="285">
        <v>2614.1</v>
      </c>
      <c r="K463" s="285">
        <v>2583.21</v>
      </c>
      <c r="L463" s="285">
        <v>2621.66</v>
      </c>
      <c r="M463" s="285">
        <v>2574.0300000000002</v>
      </c>
      <c r="N463" s="283" t="s">
        <v>2111</v>
      </c>
      <c r="P463" s="167">
        <v>44804</v>
      </c>
      <c r="Q463" s="285">
        <v>5.1830999999999996</v>
      </c>
      <c r="R463" s="285">
        <v>5.1228999999999996</v>
      </c>
      <c r="S463" s="285">
        <v>5.2122000000000002</v>
      </c>
      <c r="T463" s="285">
        <v>5.1228999999999996</v>
      </c>
      <c r="U463" s="283">
        <v>1.1900000000000001E-2</v>
      </c>
      <c r="W463" s="167">
        <v>44778</v>
      </c>
      <c r="X463" s="287">
        <v>106472</v>
      </c>
      <c r="Y463" s="287">
        <v>105893</v>
      </c>
      <c r="Z463" s="287">
        <v>107176</v>
      </c>
      <c r="AA463" s="287">
        <v>105518</v>
      </c>
      <c r="AB463" s="283" t="s">
        <v>2110</v>
      </c>
      <c r="AC463" s="289">
        <v>5.4999999999999997E-3</v>
      </c>
      <c r="AE463" s="167"/>
      <c r="AF463" s="285"/>
      <c r="AG463" s="285"/>
      <c r="AH463" s="285"/>
      <c r="AI463" s="285"/>
      <c r="AJ463" s="283"/>
    </row>
    <row r="464" spans="1:36" x14ac:dyDescent="0.3">
      <c r="A464" s="168">
        <v>44783</v>
      </c>
      <c r="B464" s="83">
        <v>24.76</v>
      </c>
      <c r="C464" s="83">
        <v>25.23</v>
      </c>
      <c r="D464" s="83">
        <v>25.32</v>
      </c>
      <c r="E464" s="83">
        <v>24.5</v>
      </c>
      <c r="F464" s="83" t="s">
        <v>2109</v>
      </c>
      <c r="G464" s="284">
        <v>-0.01</v>
      </c>
      <c r="I464" s="168">
        <v>44810</v>
      </c>
      <c r="J464" s="286">
        <v>2584.9699999999998</v>
      </c>
      <c r="K464" s="286">
        <v>2598.48</v>
      </c>
      <c r="L464" s="286">
        <v>2603.4899999999998</v>
      </c>
      <c r="M464" s="286">
        <v>2570.71</v>
      </c>
      <c r="N464" s="284" t="s">
        <v>1581</v>
      </c>
      <c r="P464" s="168">
        <v>44803</v>
      </c>
      <c r="Q464" s="286">
        <v>5.1223000000000001</v>
      </c>
      <c r="R464" s="286">
        <v>5.0285000000000002</v>
      </c>
      <c r="S464" s="286">
        <v>5.1258999999999997</v>
      </c>
      <c r="T464" s="286">
        <v>5.0076000000000001</v>
      </c>
      <c r="U464" s="284">
        <v>1.8700000000000001E-2</v>
      </c>
      <c r="W464" s="168">
        <v>44777</v>
      </c>
      <c r="X464" s="288">
        <v>105892</v>
      </c>
      <c r="Y464" s="288">
        <v>103777</v>
      </c>
      <c r="Z464" s="288">
        <v>106162</v>
      </c>
      <c r="AA464" s="288">
        <v>103777</v>
      </c>
      <c r="AB464" s="284" t="s">
        <v>2108</v>
      </c>
      <c r="AC464" s="290">
        <v>2.0400000000000001E-2</v>
      </c>
      <c r="AE464" s="168"/>
      <c r="AF464" s="286"/>
      <c r="AG464" s="286"/>
      <c r="AH464" s="286"/>
      <c r="AI464" s="286"/>
      <c r="AJ464" s="284"/>
    </row>
    <row r="465" spans="1:36" x14ac:dyDescent="0.3">
      <c r="A465" s="167">
        <v>44782</v>
      </c>
      <c r="B465" s="171">
        <v>25.01</v>
      </c>
      <c r="C465" s="171">
        <v>24.96</v>
      </c>
      <c r="D465" s="171">
        <v>25.25</v>
      </c>
      <c r="E465" s="171">
        <v>24.62</v>
      </c>
      <c r="F465" s="171" t="s">
        <v>1455</v>
      </c>
      <c r="G465" s="283">
        <v>1.6199999999999999E-2</v>
      </c>
      <c r="I465" s="167">
        <v>44809</v>
      </c>
      <c r="J465" s="285">
        <v>2596.6999999999998</v>
      </c>
      <c r="K465" s="285">
        <v>2599.08</v>
      </c>
      <c r="L465" s="285">
        <v>2600.46</v>
      </c>
      <c r="M465" s="285">
        <v>2590.35</v>
      </c>
      <c r="N465" s="283" t="s">
        <v>2107</v>
      </c>
      <c r="P465" s="167">
        <v>44802</v>
      </c>
      <c r="Q465" s="285">
        <v>5.0282</v>
      </c>
      <c r="R465" s="285">
        <v>5.0608000000000004</v>
      </c>
      <c r="S465" s="285">
        <v>5.0917000000000003</v>
      </c>
      <c r="T465" s="285">
        <v>5.01</v>
      </c>
      <c r="U465" s="283">
        <v>-6.3E-3</v>
      </c>
      <c r="W465" s="167">
        <v>44776</v>
      </c>
      <c r="X465" s="287">
        <v>103775</v>
      </c>
      <c r="Y465" s="287">
        <v>103362</v>
      </c>
      <c r="Z465" s="287">
        <v>103878</v>
      </c>
      <c r="AA465" s="287">
        <v>102822</v>
      </c>
      <c r="AB465" s="283" t="s">
        <v>1283</v>
      </c>
      <c r="AC465" s="289">
        <v>4.0000000000000001E-3</v>
      </c>
      <c r="AE465" s="167"/>
      <c r="AF465" s="285"/>
      <c r="AG465" s="285"/>
      <c r="AH465" s="285"/>
      <c r="AI465" s="285"/>
      <c r="AJ465" s="283"/>
    </row>
    <row r="466" spans="1:36" x14ac:dyDescent="0.3">
      <c r="A466" s="168">
        <v>44781</v>
      </c>
      <c r="B466" s="83">
        <v>24.61</v>
      </c>
      <c r="C466" s="83">
        <v>24</v>
      </c>
      <c r="D466" s="83">
        <v>24.94</v>
      </c>
      <c r="E466" s="83">
        <v>23.81</v>
      </c>
      <c r="F466" s="83" t="s">
        <v>2106</v>
      </c>
      <c r="G466" s="284">
        <v>2.41E-2</v>
      </c>
      <c r="I466" s="168">
        <v>44806</v>
      </c>
      <c r="J466" s="286">
        <v>2605.21</v>
      </c>
      <c r="K466" s="286">
        <v>2611.5</v>
      </c>
      <c r="L466" s="286">
        <v>2648.69</v>
      </c>
      <c r="M466" s="286">
        <v>2592.61</v>
      </c>
      <c r="N466" s="284" t="s">
        <v>1390</v>
      </c>
      <c r="P466" s="168">
        <v>44799</v>
      </c>
      <c r="Q466" s="286">
        <v>5.0601000000000003</v>
      </c>
      <c r="R466" s="286">
        <v>5.1101999999999999</v>
      </c>
      <c r="S466" s="286">
        <v>5.1174999999999997</v>
      </c>
      <c r="T466" s="286">
        <v>5.0540000000000003</v>
      </c>
      <c r="U466" s="284">
        <v>-9.7000000000000003E-3</v>
      </c>
      <c r="W466" s="168">
        <v>44775</v>
      </c>
      <c r="X466" s="288">
        <v>103362</v>
      </c>
      <c r="Y466" s="288">
        <v>102225</v>
      </c>
      <c r="Z466" s="288">
        <v>103660</v>
      </c>
      <c r="AA466" s="288">
        <v>101694</v>
      </c>
      <c r="AB466" s="284" t="s">
        <v>2105</v>
      </c>
      <c r="AC466" s="290">
        <v>1.11E-2</v>
      </c>
      <c r="AE466" s="168"/>
      <c r="AF466" s="286"/>
      <c r="AG466" s="286"/>
      <c r="AH466" s="286"/>
      <c r="AI466" s="286"/>
      <c r="AJ466" s="284"/>
    </row>
    <row r="467" spans="1:36" x14ac:dyDescent="0.3">
      <c r="A467" s="167">
        <v>44778</v>
      </c>
      <c r="B467" s="171">
        <v>24.03</v>
      </c>
      <c r="C467" s="171">
        <v>23.22</v>
      </c>
      <c r="D467" s="171">
        <v>24.46</v>
      </c>
      <c r="E467" s="171">
        <v>22.87</v>
      </c>
      <c r="F467" s="171" t="s">
        <v>2104</v>
      </c>
      <c r="G467" s="283">
        <v>3.0800000000000001E-2</v>
      </c>
      <c r="I467" s="167">
        <v>44805</v>
      </c>
      <c r="J467" s="285">
        <v>2610.25</v>
      </c>
      <c r="K467" s="285">
        <v>2622.89</v>
      </c>
      <c r="L467" s="285">
        <v>2622.89</v>
      </c>
      <c r="M467" s="285">
        <v>2579.0100000000002</v>
      </c>
      <c r="N467" s="283" t="s">
        <v>1228</v>
      </c>
      <c r="P467" s="167">
        <v>44798</v>
      </c>
      <c r="Q467" s="285">
        <v>5.1098999999999997</v>
      </c>
      <c r="R467" s="285">
        <v>5.1113999999999997</v>
      </c>
      <c r="S467" s="285">
        <v>5.1436999999999999</v>
      </c>
      <c r="T467" s="285">
        <v>5.0852000000000004</v>
      </c>
      <c r="U467" s="283">
        <v>-2.9999999999999997E-4</v>
      </c>
      <c r="W467" s="167">
        <v>44774</v>
      </c>
      <c r="X467" s="287">
        <v>102225</v>
      </c>
      <c r="Y467" s="287">
        <v>103165</v>
      </c>
      <c r="Z467" s="287">
        <v>103317</v>
      </c>
      <c r="AA467" s="287">
        <v>101764</v>
      </c>
      <c r="AB467" s="283" t="s">
        <v>1294</v>
      </c>
      <c r="AC467" s="289">
        <v>-9.1000000000000004E-3</v>
      </c>
      <c r="AE467" s="167"/>
      <c r="AF467" s="285"/>
      <c r="AG467" s="285"/>
      <c r="AH467" s="285"/>
      <c r="AI467" s="285"/>
      <c r="AJ467" s="283"/>
    </row>
    <row r="468" spans="1:36" x14ac:dyDescent="0.3">
      <c r="A468" s="168">
        <v>44777</v>
      </c>
      <c r="B468" s="83">
        <v>23.31</v>
      </c>
      <c r="C468" s="83">
        <v>24.35</v>
      </c>
      <c r="D468" s="83">
        <v>24.37</v>
      </c>
      <c r="E468" s="83">
        <v>23.23</v>
      </c>
      <c r="F468" s="83" t="s">
        <v>1982</v>
      </c>
      <c r="G468" s="284">
        <v>-1.7299999999999999E-2</v>
      </c>
      <c r="I468" s="168">
        <v>44804</v>
      </c>
      <c r="J468" s="286">
        <v>2627.32</v>
      </c>
      <c r="K468" s="286">
        <v>2645.31</v>
      </c>
      <c r="L468" s="286">
        <v>2658.86</v>
      </c>
      <c r="M468" s="286">
        <v>2625.66</v>
      </c>
      <c r="N468" s="284" t="s">
        <v>2103</v>
      </c>
      <c r="P468" s="168">
        <v>44797</v>
      </c>
      <c r="Q468" s="286">
        <v>5.1113999999999997</v>
      </c>
      <c r="R468" s="286">
        <v>5.1050000000000004</v>
      </c>
      <c r="S468" s="286">
        <v>5.1243999999999996</v>
      </c>
      <c r="T468" s="286">
        <v>5.0801999999999996</v>
      </c>
      <c r="U468" s="284">
        <v>1.5E-3</v>
      </c>
      <c r="W468" s="168">
        <v>44771</v>
      </c>
      <c r="X468" s="288">
        <v>103165</v>
      </c>
      <c r="Y468" s="288">
        <v>102597</v>
      </c>
      <c r="Z468" s="288">
        <v>103989</v>
      </c>
      <c r="AA468" s="288">
        <v>102514</v>
      </c>
      <c r="AB468" s="284" t="s">
        <v>1942</v>
      </c>
      <c r="AC468" s="290">
        <v>5.4999999999999997E-3</v>
      </c>
      <c r="AE468" s="168"/>
      <c r="AF468" s="286"/>
      <c r="AG468" s="286"/>
      <c r="AH468" s="286"/>
      <c r="AI468" s="286"/>
      <c r="AJ468" s="284"/>
    </row>
    <row r="469" spans="1:36" x14ac:dyDescent="0.3">
      <c r="A469" s="167">
        <v>44776</v>
      </c>
      <c r="B469" s="171">
        <v>23.72</v>
      </c>
      <c r="C469" s="171">
        <v>23.59</v>
      </c>
      <c r="D469" s="171">
        <v>23.77</v>
      </c>
      <c r="E469" s="171">
        <v>23.12</v>
      </c>
      <c r="F469" s="171" t="s">
        <v>2102</v>
      </c>
      <c r="G469" s="283">
        <v>1.5800000000000002E-2</v>
      </c>
      <c r="I469" s="167">
        <v>44803</v>
      </c>
      <c r="J469" s="285">
        <v>2645.37</v>
      </c>
      <c r="K469" s="285">
        <v>2671.37</v>
      </c>
      <c r="L469" s="285">
        <v>2682.04</v>
      </c>
      <c r="M469" s="285">
        <v>2636.22</v>
      </c>
      <c r="N469" s="283" t="s">
        <v>1837</v>
      </c>
      <c r="P469" s="167">
        <v>44796</v>
      </c>
      <c r="Q469" s="285">
        <v>5.1036999999999999</v>
      </c>
      <c r="R469" s="285">
        <v>5.1576000000000004</v>
      </c>
      <c r="S469" s="285">
        <v>5.1578999999999997</v>
      </c>
      <c r="T469" s="285">
        <v>5.07</v>
      </c>
      <c r="U469" s="283">
        <v>-1.04E-2</v>
      </c>
      <c r="W469" s="167">
        <v>44770</v>
      </c>
      <c r="X469" s="287">
        <v>102597</v>
      </c>
      <c r="Y469" s="287">
        <v>101437</v>
      </c>
      <c r="Z469" s="287">
        <v>102686</v>
      </c>
      <c r="AA469" s="287">
        <v>101045</v>
      </c>
      <c r="AB469" s="283" t="s">
        <v>1782</v>
      </c>
      <c r="AC469" s="289">
        <v>1.14E-2</v>
      </c>
      <c r="AE469" s="167"/>
      <c r="AF469" s="285"/>
      <c r="AG469" s="285"/>
      <c r="AH469" s="285"/>
      <c r="AI469" s="285"/>
      <c r="AJ469" s="283"/>
    </row>
    <row r="470" spans="1:36" x14ac:dyDescent="0.3">
      <c r="A470" s="168">
        <v>44775</v>
      </c>
      <c r="B470" s="83">
        <v>23.35</v>
      </c>
      <c r="C470" s="83">
        <v>23.29</v>
      </c>
      <c r="D470" s="83">
        <v>23.87</v>
      </c>
      <c r="E470" s="83">
        <v>23.24</v>
      </c>
      <c r="F470" s="83" t="s">
        <v>2101</v>
      </c>
      <c r="G470" s="284">
        <v>8.9999999999999998E-4</v>
      </c>
      <c r="I470" s="168">
        <v>44802</v>
      </c>
      <c r="J470" s="286">
        <v>2668.79</v>
      </c>
      <c r="K470" s="286">
        <v>2687.26</v>
      </c>
      <c r="L470" s="286">
        <v>2687.54</v>
      </c>
      <c r="M470" s="286">
        <v>2662.68</v>
      </c>
      <c r="N470" s="284" t="s">
        <v>1241</v>
      </c>
      <c r="P470" s="168">
        <v>44795</v>
      </c>
      <c r="Q470" s="286">
        <v>5.1574</v>
      </c>
      <c r="R470" s="286">
        <v>5.1706000000000003</v>
      </c>
      <c r="S470" s="286">
        <v>5.2046000000000001</v>
      </c>
      <c r="T470" s="286">
        <v>5.1497999999999999</v>
      </c>
      <c r="U470" s="284">
        <v>-2.3999999999999998E-3</v>
      </c>
      <c r="W470" s="168">
        <v>44769</v>
      </c>
      <c r="X470" s="288">
        <v>101438</v>
      </c>
      <c r="Y470" s="288">
        <v>99773</v>
      </c>
      <c r="Z470" s="288">
        <v>101471</v>
      </c>
      <c r="AA470" s="288">
        <v>99772</v>
      </c>
      <c r="AB470" s="284" t="s">
        <v>1830</v>
      </c>
      <c r="AC470" s="290">
        <v>1.67E-2</v>
      </c>
      <c r="AE470" s="168"/>
      <c r="AF470" s="286"/>
      <c r="AG470" s="286"/>
      <c r="AH470" s="286"/>
      <c r="AI470" s="286"/>
      <c r="AJ470" s="284"/>
    </row>
    <row r="471" spans="1:36" x14ac:dyDescent="0.3">
      <c r="A471" s="167">
        <v>44774</v>
      </c>
      <c r="B471" s="171">
        <v>23.33</v>
      </c>
      <c r="C471" s="171">
        <v>23.71</v>
      </c>
      <c r="D471" s="171">
        <v>23.74</v>
      </c>
      <c r="E471" s="171">
        <v>22.89</v>
      </c>
      <c r="F471" s="171" t="s">
        <v>1936</v>
      </c>
      <c r="G471" s="283">
        <v>-3.5099999999999999E-2</v>
      </c>
      <c r="I471" s="167">
        <v>44799</v>
      </c>
      <c r="J471" s="285">
        <v>2694.62</v>
      </c>
      <c r="K471" s="285">
        <v>2768.99</v>
      </c>
      <c r="L471" s="285">
        <v>2773.6</v>
      </c>
      <c r="M471" s="285">
        <v>2691.26</v>
      </c>
      <c r="N471" s="283" t="s">
        <v>2100</v>
      </c>
      <c r="P471" s="167">
        <v>44792</v>
      </c>
      <c r="Q471" s="285">
        <v>5.1696999999999997</v>
      </c>
      <c r="R471" s="285">
        <v>5.1694000000000004</v>
      </c>
      <c r="S471" s="285">
        <v>5.2199</v>
      </c>
      <c r="T471" s="285">
        <v>5.1647999999999996</v>
      </c>
      <c r="U471" s="283">
        <v>4.0000000000000002E-4</v>
      </c>
      <c r="W471" s="167">
        <v>44768</v>
      </c>
      <c r="X471" s="287">
        <v>99772</v>
      </c>
      <c r="Y471" s="287">
        <v>100270</v>
      </c>
      <c r="Z471" s="287">
        <v>100753</v>
      </c>
      <c r="AA471" s="287">
        <v>99365</v>
      </c>
      <c r="AB471" s="283" t="s">
        <v>2099</v>
      </c>
      <c r="AC471" s="289">
        <v>-5.0000000000000001E-3</v>
      </c>
      <c r="AE471" s="167"/>
      <c r="AF471" s="285"/>
      <c r="AG471" s="285"/>
      <c r="AH471" s="285"/>
      <c r="AI471" s="285"/>
      <c r="AJ471" s="283"/>
    </row>
    <row r="472" spans="1:36" x14ac:dyDescent="0.3">
      <c r="A472" s="168">
        <v>44771</v>
      </c>
      <c r="B472" s="83">
        <v>24.18</v>
      </c>
      <c r="C472" s="83">
        <v>23.98</v>
      </c>
      <c r="D472" s="83">
        <v>24.49</v>
      </c>
      <c r="E472" s="83">
        <v>23.82</v>
      </c>
      <c r="F472" s="83" t="s">
        <v>1799</v>
      </c>
      <c r="G472" s="284">
        <v>1.8100000000000002E-2</v>
      </c>
      <c r="I472" s="168">
        <v>44798</v>
      </c>
      <c r="J472" s="286">
        <v>2768.48</v>
      </c>
      <c r="K472" s="286">
        <v>2734.8</v>
      </c>
      <c r="L472" s="286">
        <v>2769.16</v>
      </c>
      <c r="M472" s="286">
        <v>2734.34</v>
      </c>
      <c r="N472" s="284" t="s">
        <v>2098</v>
      </c>
      <c r="P472" s="168">
        <v>44791</v>
      </c>
      <c r="Q472" s="286">
        <v>5.1673999999999998</v>
      </c>
      <c r="R472" s="286">
        <v>5.1654999999999998</v>
      </c>
      <c r="S472" s="286">
        <v>5.2073999999999998</v>
      </c>
      <c r="T472" s="286">
        <v>5.1283000000000003</v>
      </c>
      <c r="U472" s="284">
        <v>5.9999999999999995E-4</v>
      </c>
      <c r="W472" s="168">
        <v>44767</v>
      </c>
      <c r="X472" s="288">
        <v>100270</v>
      </c>
      <c r="Y472" s="288">
        <v>98926</v>
      </c>
      <c r="Z472" s="288">
        <v>100508</v>
      </c>
      <c r="AA472" s="288">
        <v>98925</v>
      </c>
      <c r="AB472" s="284" t="s">
        <v>1306</v>
      </c>
      <c r="AC472" s="290">
        <v>1.3599999999999999E-2</v>
      </c>
      <c r="AE472" s="168"/>
      <c r="AF472" s="286"/>
      <c r="AG472" s="286"/>
      <c r="AH472" s="286"/>
      <c r="AI472" s="286"/>
      <c r="AJ472" s="284"/>
    </row>
    <row r="473" spans="1:36" x14ac:dyDescent="0.3">
      <c r="A473" s="167">
        <v>44770</v>
      </c>
      <c r="B473" s="171">
        <v>23.75</v>
      </c>
      <c r="C473" s="171">
        <v>23.86</v>
      </c>
      <c r="D473" s="171">
        <v>24.1</v>
      </c>
      <c r="E473" s="171">
        <v>23.2</v>
      </c>
      <c r="F473" s="171" t="s">
        <v>2097</v>
      </c>
      <c r="G473" s="283">
        <v>4.1999999999999997E-3</v>
      </c>
      <c r="I473" s="167">
        <v>44797</v>
      </c>
      <c r="J473" s="285">
        <v>2736.01</v>
      </c>
      <c r="K473" s="285">
        <v>2728.5</v>
      </c>
      <c r="L473" s="285">
        <v>2742.98</v>
      </c>
      <c r="M473" s="285">
        <v>2720.83</v>
      </c>
      <c r="N473" s="283" t="s">
        <v>1417</v>
      </c>
      <c r="P473" s="167">
        <v>44790</v>
      </c>
      <c r="Q473" s="285">
        <v>5.1642000000000001</v>
      </c>
      <c r="R473" s="285">
        <v>5.1468999999999996</v>
      </c>
      <c r="S473" s="285">
        <v>5.2144000000000004</v>
      </c>
      <c r="T473" s="285">
        <v>5.1452</v>
      </c>
      <c r="U473" s="283">
        <v>3.5999999999999999E-3</v>
      </c>
      <c r="W473" s="167">
        <v>44764</v>
      </c>
      <c r="X473" s="287">
        <v>98925</v>
      </c>
      <c r="Y473" s="287">
        <v>99034</v>
      </c>
      <c r="Z473" s="287">
        <v>99724</v>
      </c>
      <c r="AA473" s="287">
        <v>98321</v>
      </c>
      <c r="AB473" s="283" t="s">
        <v>1429</v>
      </c>
      <c r="AC473" s="289">
        <v>-1.1000000000000001E-3</v>
      </c>
      <c r="AE473" s="167"/>
      <c r="AF473" s="285"/>
      <c r="AG473" s="285"/>
      <c r="AH473" s="285"/>
      <c r="AI473" s="285"/>
      <c r="AJ473" s="283"/>
    </row>
    <row r="474" spans="1:36" x14ac:dyDescent="0.3">
      <c r="A474" s="168">
        <v>44769</v>
      </c>
      <c r="B474" s="83">
        <v>23.65</v>
      </c>
      <c r="C474" s="83">
        <v>23.92</v>
      </c>
      <c r="D474" s="83">
        <v>23.94</v>
      </c>
      <c r="E474" s="83">
        <v>22.86</v>
      </c>
      <c r="F474" s="83" t="s">
        <v>1428</v>
      </c>
      <c r="G474" s="284">
        <v>-2.0999999999999999E-3</v>
      </c>
      <c r="I474" s="168">
        <v>44796</v>
      </c>
      <c r="J474" s="286">
        <v>2730.35</v>
      </c>
      <c r="K474" s="286">
        <v>2733.6</v>
      </c>
      <c r="L474" s="286">
        <v>2748.27</v>
      </c>
      <c r="M474" s="286">
        <v>2726.72</v>
      </c>
      <c r="N474" s="284" t="s">
        <v>1760</v>
      </c>
      <c r="P474" s="168">
        <v>44789</v>
      </c>
      <c r="Q474" s="286">
        <v>5.1459000000000001</v>
      </c>
      <c r="R474" s="286">
        <v>5.0987</v>
      </c>
      <c r="S474" s="286">
        <v>5.1548999999999996</v>
      </c>
      <c r="T474" s="286">
        <v>5.0964999999999998</v>
      </c>
      <c r="U474" s="284">
        <v>9.7999999999999997E-3</v>
      </c>
      <c r="W474" s="168">
        <v>44763</v>
      </c>
      <c r="X474" s="288">
        <v>99033</v>
      </c>
      <c r="Y474" s="288">
        <v>98286</v>
      </c>
      <c r="Z474" s="288">
        <v>99057</v>
      </c>
      <c r="AA474" s="288">
        <v>97088</v>
      </c>
      <c r="AB474" s="284" t="s">
        <v>2096</v>
      </c>
      <c r="AC474" s="290">
        <v>7.6E-3</v>
      </c>
      <c r="AE474" s="168"/>
      <c r="AF474" s="286"/>
      <c r="AG474" s="286"/>
      <c r="AH474" s="286"/>
      <c r="AI474" s="286"/>
      <c r="AJ474" s="284"/>
    </row>
    <row r="475" spans="1:36" x14ac:dyDescent="0.3">
      <c r="A475" s="167">
        <v>44768</v>
      </c>
      <c r="B475" s="171">
        <v>23.7</v>
      </c>
      <c r="C475" s="171">
        <v>23.87</v>
      </c>
      <c r="D475" s="171">
        <v>24.06</v>
      </c>
      <c r="E475" s="171">
        <v>23.22</v>
      </c>
      <c r="F475" s="171" t="s">
        <v>2095</v>
      </c>
      <c r="G475" s="283">
        <v>5.4999999999999997E-3</v>
      </c>
      <c r="I475" s="167">
        <v>44795</v>
      </c>
      <c r="J475" s="285">
        <v>2736.1</v>
      </c>
      <c r="K475" s="285">
        <v>2786.69</v>
      </c>
      <c r="L475" s="285">
        <v>2787.9</v>
      </c>
      <c r="M475" s="285">
        <v>2730.75</v>
      </c>
      <c r="N475" s="283" t="s">
        <v>1790</v>
      </c>
      <c r="P475" s="167">
        <v>44788</v>
      </c>
      <c r="Q475" s="285">
        <v>5.0960999999999999</v>
      </c>
      <c r="R475" s="285">
        <v>5.0720999999999998</v>
      </c>
      <c r="S475" s="285">
        <v>5.1409000000000002</v>
      </c>
      <c r="T475" s="285">
        <v>5.0720999999999998</v>
      </c>
      <c r="U475" s="283">
        <v>4.4999999999999997E-3</v>
      </c>
      <c r="W475" s="167">
        <v>44762</v>
      </c>
      <c r="X475" s="287">
        <v>98287</v>
      </c>
      <c r="Y475" s="287">
        <v>98244</v>
      </c>
      <c r="Z475" s="287">
        <v>98366</v>
      </c>
      <c r="AA475" s="287">
        <v>97277</v>
      </c>
      <c r="AB475" s="283" t="s">
        <v>2094</v>
      </c>
      <c r="AC475" s="289">
        <v>4.0000000000000002E-4</v>
      </c>
      <c r="AE475" s="167"/>
      <c r="AF475" s="285"/>
      <c r="AG475" s="285"/>
      <c r="AH475" s="285"/>
      <c r="AI475" s="285"/>
      <c r="AJ475" s="283"/>
    </row>
    <row r="476" spans="1:36" x14ac:dyDescent="0.3">
      <c r="A476" s="168">
        <v>44767</v>
      </c>
      <c r="B476" s="83">
        <v>23.57</v>
      </c>
      <c r="C476" s="83">
        <v>22.96</v>
      </c>
      <c r="D476" s="83">
        <v>23.79</v>
      </c>
      <c r="E476" s="83">
        <v>22.86</v>
      </c>
      <c r="F476" s="83" t="s">
        <v>2093</v>
      </c>
      <c r="G476" s="284">
        <v>4.1500000000000002E-2</v>
      </c>
      <c r="I476" s="168">
        <v>44792</v>
      </c>
      <c r="J476" s="286">
        <v>2787.71</v>
      </c>
      <c r="K476" s="286">
        <v>2823.97</v>
      </c>
      <c r="L476" s="286">
        <v>2824.11</v>
      </c>
      <c r="M476" s="286">
        <v>2783.43</v>
      </c>
      <c r="N476" s="284" t="s">
        <v>1840</v>
      </c>
      <c r="P476" s="168">
        <v>44785</v>
      </c>
      <c r="Q476" s="286">
        <v>5.0735000000000001</v>
      </c>
      <c r="R476" s="286">
        <v>5.1592000000000002</v>
      </c>
      <c r="S476" s="286">
        <v>5.1649000000000003</v>
      </c>
      <c r="T476" s="286">
        <v>5.0640000000000001</v>
      </c>
      <c r="U476" s="284">
        <v>-1.6400000000000001E-2</v>
      </c>
      <c r="W476" s="168">
        <v>44761</v>
      </c>
      <c r="X476" s="288">
        <v>98245</v>
      </c>
      <c r="Y476" s="288">
        <v>96920</v>
      </c>
      <c r="Z476" s="288">
        <v>98346</v>
      </c>
      <c r="AA476" s="288">
        <v>96917</v>
      </c>
      <c r="AB476" s="284" t="s">
        <v>2092</v>
      </c>
      <c r="AC476" s="290">
        <v>1.37E-2</v>
      </c>
      <c r="AE476" s="168"/>
      <c r="AF476" s="286"/>
      <c r="AG476" s="286"/>
      <c r="AH476" s="286"/>
      <c r="AI476" s="286"/>
      <c r="AJ476" s="284"/>
    </row>
    <row r="477" spans="1:36" x14ac:dyDescent="0.3">
      <c r="A477" s="167">
        <v>44764</v>
      </c>
      <c r="B477" s="171">
        <v>22.63</v>
      </c>
      <c r="C477" s="171">
        <v>22.78</v>
      </c>
      <c r="D477" s="171">
        <v>23.3</v>
      </c>
      <c r="E477" s="171">
        <v>22.56</v>
      </c>
      <c r="F477" s="171" t="s">
        <v>2091</v>
      </c>
      <c r="G477" s="283">
        <v>-7.4000000000000003E-3</v>
      </c>
      <c r="I477" s="167">
        <v>44791</v>
      </c>
      <c r="J477" s="285">
        <v>2826.41</v>
      </c>
      <c r="K477" s="285">
        <v>2822.92</v>
      </c>
      <c r="L477" s="285">
        <v>2828.07</v>
      </c>
      <c r="M477" s="285">
        <v>2815.17</v>
      </c>
      <c r="N477" s="283" t="s">
        <v>1227</v>
      </c>
      <c r="P477" s="167">
        <v>44784</v>
      </c>
      <c r="Q477" s="285">
        <v>5.1581000000000001</v>
      </c>
      <c r="R477" s="285">
        <v>5.0945</v>
      </c>
      <c r="S477" s="285">
        <v>5.1711999999999998</v>
      </c>
      <c r="T477" s="285">
        <v>5.0605000000000002</v>
      </c>
      <c r="U477" s="283">
        <v>1.2800000000000001E-2</v>
      </c>
      <c r="W477" s="167">
        <v>44760</v>
      </c>
      <c r="X477" s="287">
        <v>96916</v>
      </c>
      <c r="Y477" s="287">
        <v>96553</v>
      </c>
      <c r="Z477" s="287">
        <v>98291</v>
      </c>
      <c r="AA477" s="287">
        <v>96553</v>
      </c>
      <c r="AB477" s="283" t="s">
        <v>1677</v>
      </c>
      <c r="AC477" s="289">
        <v>3.8E-3</v>
      </c>
      <c r="AE477" s="167"/>
      <c r="AF477" s="285"/>
      <c r="AG477" s="285"/>
      <c r="AH477" s="285"/>
      <c r="AI477" s="285"/>
      <c r="AJ477" s="283"/>
    </row>
    <row r="478" spans="1:36" x14ac:dyDescent="0.3">
      <c r="A478" s="168">
        <v>44763</v>
      </c>
      <c r="B478" s="83">
        <v>22.8</v>
      </c>
      <c r="C478" s="83">
        <v>21.8</v>
      </c>
      <c r="D478" s="83">
        <v>22.87</v>
      </c>
      <c r="E478" s="83">
        <v>21.53</v>
      </c>
      <c r="F478" s="83" t="s">
        <v>2090</v>
      </c>
      <c r="G478" s="284">
        <v>2.6100000000000002E-2</v>
      </c>
      <c r="I478" s="168">
        <v>44790</v>
      </c>
      <c r="J478" s="286">
        <v>2822.87</v>
      </c>
      <c r="K478" s="286">
        <v>2845.44</v>
      </c>
      <c r="L478" s="286">
        <v>2848.48</v>
      </c>
      <c r="M478" s="286">
        <v>2812.7</v>
      </c>
      <c r="N478" s="284" t="s">
        <v>1733</v>
      </c>
      <c r="P478" s="168">
        <v>44783</v>
      </c>
      <c r="Q478" s="286">
        <v>5.0926999999999998</v>
      </c>
      <c r="R478" s="286">
        <v>5.1249000000000002</v>
      </c>
      <c r="S478" s="286">
        <v>5.1421000000000001</v>
      </c>
      <c r="T478" s="286">
        <v>5.0342000000000002</v>
      </c>
      <c r="U478" s="284">
        <v>-6.1000000000000004E-3</v>
      </c>
      <c r="W478" s="168">
        <v>44757</v>
      </c>
      <c r="X478" s="288">
        <v>96551</v>
      </c>
      <c r="Y478" s="288">
        <v>96119</v>
      </c>
      <c r="Z478" s="288">
        <v>96971</v>
      </c>
      <c r="AA478" s="288">
        <v>95267</v>
      </c>
      <c r="AB478" s="284" t="s">
        <v>2089</v>
      </c>
      <c r="AC478" s="290">
        <v>4.4999999999999997E-3</v>
      </c>
      <c r="AE478" s="168"/>
      <c r="AF478" s="286"/>
      <c r="AG478" s="286"/>
      <c r="AH478" s="286"/>
      <c r="AI478" s="286"/>
      <c r="AJ478" s="284"/>
    </row>
    <row r="479" spans="1:36" x14ac:dyDescent="0.3">
      <c r="A479" s="167">
        <v>44762</v>
      </c>
      <c r="B479" s="171">
        <v>22.22</v>
      </c>
      <c r="C479" s="171">
        <v>22.01</v>
      </c>
      <c r="D479" s="171">
        <v>22.41</v>
      </c>
      <c r="E479" s="171">
        <v>22.01</v>
      </c>
      <c r="F479" s="171" t="s">
        <v>1951</v>
      </c>
      <c r="G479" s="283">
        <v>-4.4999999999999997E-3</v>
      </c>
      <c r="I479" s="167">
        <v>44789</v>
      </c>
      <c r="J479" s="285">
        <v>2844.42</v>
      </c>
      <c r="K479" s="285">
        <v>2840.8</v>
      </c>
      <c r="L479" s="285">
        <v>2854.34</v>
      </c>
      <c r="M479" s="285">
        <v>2829.63</v>
      </c>
      <c r="N479" s="283" t="s">
        <v>1267</v>
      </c>
      <c r="P479" s="167">
        <v>44782</v>
      </c>
      <c r="Q479" s="285">
        <v>5.1237000000000004</v>
      </c>
      <c r="R479" s="285">
        <v>5.1128999999999998</v>
      </c>
      <c r="S479" s="285">
        <v>5.1521999999999997</v>
      </c>
      <c r="T479" s="285">
        <v>5.0926</v>
      </c>
      <c r="U479" s="283">
        <v>2.3E-3</v>
      </c>
      <c r="W479" s="167">
        <v>44756</v>
      </c>
      <c r="X479" s="287">
        <v>96121</v>
      </c>
      <c r="Y479" s="287">
        <v>97879</v>
      </c>
      <c r="Z479" s="287">
        <v>97879</v>
      </c>
      <c r="AA479" s="287">
        <v>95431</v>
      </c>
      <c r="AB479" s="283" t="s">
        <v>2088</v>
      </c>
      <c r="AC479" s="289">
        <v>-1.7999999999999999E-2</v>
      </c>
      <c r="AE479" s="167"/>
      <c r="AF479" s="285"/>
      <c r="AG479" s="285"/>
      <c r="AH479" s="285"/>
      <c r="AI479" s="285"/>
      <c r="AJ479" s="283"/>
    </row>
    <row r="480" spans="1:36" x14ac:dyDescent="0.3">
      <c r="A480" s="168">
        <v>44761</v>
      </c>
      <c r="B480" s="83">
        <v>22.32</v>
      </c>
      <c r="C480" s="83">
        <v>21.92</v>
      </c>
      <c r="D480" s="83">
        <v>22.46</v>
      </c>
      <c r="E480" s="83">
        <v>21.62</v>
      </c>
      <c r="F480" s="83" t="s">
        <v>2087</v>
      </c>
      <c r="G480" s="284">
        <v>1.2200000000000001E-2</v>
      </c>
      <c r="I480" s="168">
        <v>44788</v>
      </c>
      <c r="J480" s="286">
        <v>2842.48</v>
      </c>
      <c r="K480" s="286">
        <v>2836.08</v>
      </c>
      <c r="L480" s="286">
        <v>2842.6</v>
      </c>
      <c r="M480" s="286">
        <v>2823.92</v>
      </c>
      <c r="N480" s="284" t="s">
        <v>1286</v>
      </c>
      <c r="P480" s="168">
        <v>44781</v>
      </c>
      <c r="Q480" s="286">
        <v>5.1116999999999999</v>
      </c>
      <c r="R480" s="286">
        <v>5.1638000000000002</v>
      </c>
      <c r="S480" s="286">
        <v>5.1638000000000002</v>
      </c>
      <c r="T480" s="286">
        <v>5.1022999999999996</v>
      </c>
      <c r="U480" s="284">
        <v>-1.0200000000000001E-2</v>
      </c>
      <c r="W480" s="168">
        <v>44755</v>
      </c>
      <c r="X480" s="288">
        <v>97881</v>
      </c>
      <c r="Y480" s="288">
        <v>98258</v>
      </c>
      <c r="Z480" s="288">
        <v>98928</v>
      </c>
      <c r="AA480" s="288">
        <v>97403</v>
      </c>
      <c r="AB480" s="284" t="s">
        <v>2086</v>
      </c>
      <c r="AC480" s="290">
        <v>-4.0000000000000001E-3</v>
      </c>
      <c r="AE480" s="168"/>
      <c r="AF480" s="286"/>
      <c r="AG480" s="286"/>
      <c r="AH480" s="286"/>
      <c r="AI480" s="286"/>
      <c r="AJ480" s="284"/>
    </row>
    <row r="481" spans="1:36" x14ac:dyDescent="0.3">
      <c r="A481" s="167">
        <v>44760</v>
      </c>
      <c r="B481" s="171">
        <v>22.05</v>
      </c>
      <c r="C481" s="171">
        <v>21.21</v>
      </c>
      <c r="D481" s="171">
        <v>22.32</v>
      </c>
      <c r="E481" s="171">
        <v>21.21</v>
      </c>
      <c r="F481" s="171" t="s">
        <v>2085</v>
      </c>
      <c r="G481" s="283">
        <v>6.7100000000000007E-2</v>
      </c>
      <c r="I481" s="167">
        <v>44785</v>
      </c>
      <c r="J481" s="285">
        <v>2834.51</v>
      </c>
      <c r="K481" s="285">
        <v>2800.87</v>
      </c>
      <c r="L481" s="285">
        <v>2836.13</v>
      </c>
      <c r="M481" s="285">
        <v>2800.04</v>
      </c>
      <c r="N481" s="283" t="s">
        <v>2084</v>
      </c>
      <c r="P481" s="167">
        <v>44778</v>
      </c>
      <c r="Q481" s="285">
        <v>5.1646000000000001</v>
      </c>
      <c r="R481" s="285">
        <v>5.2145000000000001</v>
      </c>
      <c r="S481" s="285">
        <v>5.2782</v>
      </c>
      <c r="T481" s="285">
        <v>5.1553000000000004</v>
      </c>
      <c r="U481" s="283">
        <v>-9.9000000000000008E-3</v>
      </c>
      <c r="W481" s="167">
        <v>44754</v>
      </c>
      <c r="X481" s="287">
        <v>98271</v>
      </c>
      <c r="Y481" s="287">
        <v>98212</v>
      </c>
      <c r="Z481" s="287">
        <v>98737</v>
      </c>
      <c r="AA481" s="287">
        <v>97253</v>
      </c>
      <c r="AB481" s="283" t="s">
        <v>2083</v>
      </c>
      <c r="AC481" s="289">
        <v>5.9999999999999995E-4</v>
      </c>
      <c r="AE481" s="167"/>
      <c r="AF481" s="285"/>
      <c r="AG481" s="285"/>
      <c r="AH481" s="285"/>
      <c r="AI481" s="285"/>
      <c r="AJ481" s="283"/>
    </row>
    <row r="482" spans="1:36" x14ac:dyDescent="0.3">
      <c r="A482" s="168">
        <v>44757</v>
      </c>
      <c r="B482" s="83">
        <v>20.67</v>
      </c>
      <c r="C482" s="83">
        <v>21.4</v>
      </c>
      <c r="D482" s="83">
        <v>21.49</v>
      </c>
      <c r="E482" s="83">
        <v>20.67</v>
      </c>
      <c r="F482" s="83" t="s">
        <v>2082</v>
      </c>
      <c r="G482" s="284">
        <v>-2.8999999999999998E-3</v>
      </c>
      <c r="I482" s="168">
        <v>44784</v>
      </c>
      <c r="J482" s="286">
        <v>2802.23</v>
      </c>
      <c r="K482" s="286">
        <v>2800.32</v>
      </c>
      <c r="L482" s="286">
        <v>2829.78</v>
      </c>
      <c r="M482" s="286">
        <v>2797.17</v>
      </c>
      <c r="N482" s="284" t="s">
        <v>1648</v>
      </c>
      <c r="P482" s="168">
        <v>44777</v>
      </c>
      <c r="Q482" s="286">
        <v>5.2164000000000001</v>
      </c>
      <c r="R482" s="286">
        <v>5.2843999999999998</v>
      </c>
      <c r="S482" s="286">
        <v>5.2958999999999996</v>
      </c>
      <c r="T482" s="286">
        <v>5.1985999999999999</v>
      </c>
      <c r="U482" s="284">
        <v>-1.23E-2</v>
      </c>
      <c r="W482" s="168">
        <v>44753</v>
      </c>
      <c r="X482" s="288">
        <v>98212</v>
      </c>
      <c r="Y482" s="288">
        <v>100282</v>
      </c>
      <c r="Z482" s="288">
        <v>100282</v>
      </c>
      <c r="AA482" s="288">
        <v>97854</v>
      </c>
      <c r="AB482" s="284" t="s">
        <v>1453</v>
      </c>
      <c r="AC482" s="290">
        <v>-2.07E-2</v>
      </c>
      <c r="AE482" s="168"/>
      <c r="AF482" s="286"/>
      <c r="AG482" s="286"/>
      <c r="AH482" s="286"/>
      <c r="AI482" s="286"/>
      <c r="AJ482" s="284"/>
    </row>
    <row r="483" spans="1:36" x14ac:dyDescent="0.3">
      <c r="A483" s="167">
        <v>44756</v>
      </c>
      <c r="B483" s="171">
        <v>20.73</v>
      </c>
      <c r="C483" s="171">
        <v>21.28</v>
      </c>
      <c r="D483" s="171">
        <v>21.28</v>
      </c>
      <c r="E483" s="171">
        <v>19.989999999999998</v>
      </c>
      <c r="F483" s="171" t="s">
        <v>2081</v>
      </c>
      <c r="G483" s="283">
        <v>-3.8399999999999997E-2</v>
      </c>
      <c r="I483" s="167">
        <v>44783</v>
      </c>
      <c r="J483" s="285">
        <v>2803.37</v>
      </c>
      <c r="K483" s="285">
        <v>2742.5</v>
      </c>
      <c r="L483" s="285">
        <v>2803.37</v>
      </c>
      <c r="M483" s="285">
        <v>2739.85</v>
      </c>
      <c r="N483" s="283" t="s">
        <v>2080</v>
      </c>
      <c r="P483" s="167">
        <v>44776</v>
      </c>
      <c r="Q483" s="285">
        <v>5.2815000000000003</v>
      </c>
      <c r="R483" s="285">
        <v>5.2796000000000003</v>
      </c>
      <c r="S483" s="285">
        <v>5.3163</v>
      </c>
      <c r="T483" s="285">
        <v>5.2430000000000003</v>
      </c>
      <c r="U483" s="283">
        <v>5.9999999999999995E-4</v>
      </c>
      <c r="W483" s="167">
        <v>44750</v>
      </c>
      <c r="X483" s="287">
        <v>100289</v>
      </c>
      <c r="Y483" s="287">
        <v>100732</v>
      </c>
      <c r="Z483" s="287">
        <v>101577</v>
      </c>
      <c r="AA483" s="287">
        <v>99958</v>
      </c>
      <c r="AB483" s="283" t="s">
        <v>2079</v>
      </c>
      <c r="AC483" s="289">
        <v>-4.4000000000000003E-3</v>
      </c>
      <c r="AE483" s="167"/>
      <c r="AF483" s="285"/>
      <c r="AG483" s="285"/>
      <c r="AH483" s="285"/>
      <c r="AI483" s="285"/>
      <c r="AJ483" s="283"/>
    </row>
    <row r="484" spans="1:36" x14ac:dyDescent="0.3">
      <c r="A484" s="168">
        <v>44755</v>
      </c>
      <c r="B484" s="83">
        <v>21.56</v>
      </c>
      <c r="C484" s="83">
        <v>22</v>
      </c>
      <c r="D484" s="83">
        <v>22.09</v>
      </c>
      <c r="E484" s="83">
        <v>21.47</v>
      </c>
      <c r="F484" s="83" t="s">
        <v>1902</v>
      </c>
      <c r="G484" s="284">
        <v>-2.92E-2</v>
      </c>
      <c r="I484" s="168">
        <v>44782</v>
      </c>
      <c r="J484" s="286">
        <v>2743.62</v>
      </c>
      <c r="K484" s="286">
        <v>2757.27</v>
      </c>
      <c r="L484" s="286">
        <v>2757.72</v>
      </c>
      <c r="M484" s="286">
        <v>2737.11</v>
      </c>
      <c r="N484" s="284" t="s">
        <v>2078</v>
      </c>
      <c r="P484" s="168">
        <v>44775</v>
      </c>
      <c r="Q484" s="286">
        <v>5.2784000000000004</v>
      </c>
      <c r="R484" s="286">
        <v>5.1856</v>
      </c>
      <c r="S484" s="286">
        <v>5.2850000000000001</v>
      </c>
      <c r="T484" s="286">
        <v>5.1856</v>
      </c>
      <c r="U484" s="284">
        <v>1.8200000000000001E-2</v>
      </c>
      <c r="W484" s="168">
        <v>44749</v>
      </c>
      <c r="X484" s="288">
        <v>100730</v>
      </c>
      <c r="Y484" s="288">
        <v>98722</v>
      </c>
      <c r="Z484" s="288">
        <v>101420</v>
      </c>
      <c r="AA484" s="288">
        <v>98722</v>
      </c>
      <c r="AB484" s="284" t="s">
        <v>1852</v>
      </c>
      <c r="AC484" s="290">
        <v>2.0400000000000001E-2</v>
      </c>
      <c r="AE484" s="168"/>
      <c r="AF484" s="286"/>
      <c r="AG484" s="286"/>
      <c r="AH484" s="286"/>
      <c r="AI484" s="286"/>
      <c r="AJ484" s="284"/>
    </row>
    <row r="485" spans="1:36" x14ac:dyDescent="0.3">
      <c r="A485" s="167">
        <v>44754</v>
      </c>
      <c r="B485" s="171">
        <v>22.2</v>
      </c>
      <c r="C485" s="171">
        <v>22.22</v>
      </c>
      <c r="D485" s="171">
        <v>22.48</v>
      </c>
      <c r="E485" s="171">
        <v>21.78</v>
      </c>
      <c r="F485" s="171" t="s">
        <v>2077</v>
      </c>
      <c r="G485" s="283">
        <v>1.46E-2</v>
      </c>
      <c r="I485" s="167">
        <v>44781</v>
      </c>
      <c r="J485" s="285">
        <v>2758.72</v>
      </c>
      <c r="K485" s="285">
        <v>2751.81</v>
      </c>
      <c r="L485" s="285">
        <v>2783.17</v>
      </c>
      <c r="M485" s="285">
        <v>2750.87</v>
      </c>
      <c r="N485" s="283" t="s">
        <v>1298</v>
      </c>
      <c r="P485" s="167">
        <v>44774</v>
      </c>
      <c r="Q485" s="285">
        <v>5.1837999999999997</v>
      </c>
      <c r="R485" s="285">
        <v>5.1759000000000004</v>
      </c>
      <c r="S485" s="285">
        <v>5.2050000000000001</v>
      </c>
      <c r="T485" s="285">
        <v>5.1269</v>
      </c>
      <c r="U485" s="283">
        <v>2E-3</v>
      </c>
      <c r="W485" s="167">
        <v>44748</v>
      </c>
      <c r="X485" s="287">
        <v>98719</v>
      </c>
      <c r="Y485" s="287">
        <v>98294</v>
      </c>
      <c r="Z485" s="287">
        <v>99141</v>
      </c>
      <c r="AA485" s="287">
        <v>97423</v>
      </c>
      <c r="AB485" s="283" t="s">
        <v>1885</v>
      </c>
      <c r="AC485" s="289">
        <v>4.3E-3</v>
      </c>
      <c r="AE485" s="167"/>
      <c r="AF485" s="285"/>
      <c r="AG485" s="285"/>
      <c r="AH485" s="285"/>
      <c r="AI485" s="285"/>
      <c r="AJ485" s="283"/>
    </row>
    <row r="486" spans="1:36" x14ac:dyDescent="0.3">
      <c r="A486" s="168">
        <v>44753</v>
      </c>
      <c r="B486" s="83">
        <v>21.88</v>
      </c>
      <c r="C486" s="83">
        <v>21.27</v>
      </c>
      <c r="D486" s="83">
        <v>21.94</v>
      </c>
      <c r="E486" s="83">
        <v>21.02</v>
      </c>
      <c r="F486" s="83" t="s">
        <v>2076</v>
      </c>
      <c r="G486" s="284">
        <v>7.4000000000000003E-3</v>
      </c>
      <c r="I486" s="168">
        <v>44778</v>
      </c>
      <c r="J486" s="286">
        <v>2752.06</v>
      </c>
      <c r="K486" s="286">
        <v>2763.72</v>
      </c>
      <c r="L486" s="286">
        <v>2764.93</v>
      </c>
      <c r="M486" s="286">
        <v>2732.99</v>
      </c>
      <c r="N486" s="284" t="s">
        <v>1578</v>
      </c>
      <c r="P486" s="168">
        <v>44771</v>
      </c>
      <c r="Q486" s="286">
        <v>5.1734</v>
      </c>
      <c r="R486" s="286">
        <v>5.1841999999999997</v>
      </c>
      <c r="S486" s="286">
        <v>5.2221000000000002</v>
      </c>
      <c r="T486" s="286">
        <v>5.1448</v>
      </c>
      <c r="U486" s="284">
        <v>-1.6999999999999999E-3</v>
      </c>
      <c r="W486" s="168">
        <v>44747</v>
      </c>
      <c r="X486" s="288">
        <v>98295</v>
      </c>
      <c r="Y486" s="288">
        <v>98608</v>
      </c>
      <c r="Z486" s="288">
        <v>98608</v>
      </c>
      <c r="AA486" s="288">
        <v>96499</v>
      </c>
      <c r="AB486" s="284" t="s">
        <v>1802</v>
      </c>
      <c r="AC486" s="290">
        <v>-3.2000000000000002E-3</v>
      </c>
      <c r="AE486" s="168"/>
      <c r="AF486" s="286"/>
      <c r="AG486" s="286"/>
      <c r="AH486" s="286"/>
      <c r="AI486" s="286"/>
      <c r="AJ486" s="284"/>
    </row>
    <row r="487" spans="1:36" x14ac:dyDescent="0.3">
      <c r="A487" s="167">
        <v>44750</v>
      </c>
      <c r="B487" s="171">
        <v>21.73</v>
      </c>
      <c r="C487" s="171">
        <v>21.32</v>
      </c>
      <c r="D487" s="171">
        <v>21.93</v>
      </c>
      <c r="E487" s="171">
        <v>21.23</v>
      </c>
      <c r="F487" s="171" t="s">
        <v>2075</v>
      </c>
      <c r="G487" s="283">
        <v>2.5399999999999999E-2</v>
      </c>
      <c r="I487" s="167">
        <v>44777</v>
      </c>
      <c r="J487" s="285">
        <v>2761.65</v>
      </c>
      <c r="K487" s="285">
        <v>2757.96</v>
      </c>
      <c r="L487" s="285">
        <v>2767.8</v>
      </c>
      <c r="M487" s="285">
        <v>2751.51</v>
      </c>
      <c r="N487" s="283" t="s">
        <v>1222</v>
      </c>
      <c r="P487" s="167">
        <v>44770</v>
      </c>
      <c r="Q487" s="285">
        <v>5.1822999999999997</v>
      </c>
      <c r="R487" s="285">
        <v>5.2442000000000002</v>
      </c>
      <c r="S487" s="285">
        <v>5.274</v>
      </c>
      <c r="T487" s="285">
        <v>5.1577999999999999</v>
      </c>
      <c r="U487" s="283">
        <v>-1.1599999999999999E-2</v>
      </c>
      <c r="W487" s="167">
        <v>44746</v>
      </c>
      <c r="X487" s="287">
        <v>98609</v>
      </c>
      <c r="Y487" s="287">
        <v>98952</v>
      </c>
      <c r="Z487" s="287">
        <v>99353</v>
      </c>
      <c r="AA487" s="287">
        <v>98264</v>
      </c>
      <c r="AB487" s="283" t="s">
        <v>2074</v>
      </c>
      <c r="AC487" s="289">
        <v>-3.5000000000000001E-3</v>
      </c>
      <c r="AE487" s="167"/>
      <c r="AF487" s="285"/>
      <c r="AG487" s="285"/>
      <c r="AH487" s="285"/>
      <c r="AI487" s="285"/>
      <c r="AJ487" s="283"/>
    </row>
    <row r="488" spans="1:36" x14ac:dyDescent="0.3">
      <c r="A488" s="168">
        <v>44749</v>
      </c>
      <c r="B488" s="83">
        <v>21.19</v>
      </c>
      <c r="C488" s="83">
        <v>21.47</v>
      </c>
      <c r="D488" s="83">
        <v>21.87</v>
      </c>
      <c r="E488" s="83">
        <v>21.14</v>
      </c>
      <c r="F488" s="83" t="s">
        <v>2073</v>
      </c>
      <c r="G488" s="284">
        <v>1.5800000000000002E-2</v>
      </c>
      <c r="I488" s="168">
        <v>44776</v>
      </c>
      <c r="J488" s="286">
        <v>2755.25</v>
      </c>
      <c r="K488" s="286">
        <v>2723.46</v>
      </c>
      <c r="L488" s="286">
        <v>2763.82</v>
      </c>
      <c r="M488" s="286">
        <v>2721.99</v>
      </c>
      <c r="N488" s="284" t="s">
        <v>1747</v>
      </c>
      <c r="P488" s="168">
        <v>44769</v>
      </c>
      <c r="Q488" s="286">
        <v>5.2431999999999999</v>
      </c>
      <c r="R488" s="286">
        <v>5.3517000000000001</v>
      </c>
      <c r="S488" s="286">
        <v>5.3525999999999998</v>
      </c>
      <c r="T488" s="286">
        <v>5.2371999999999996</v>
      </c>
      <c r="U488" s="284">
        <v>-2.0199999999999999E-2</v>
      </c>
      <c r="W488" s="168">
        <v>44743</v>
      </c>
      <c r="X488" s="288">
        <v>98954</v>
      </c>
      <c r="Y488" s="288">
        <v>98542</v>
      </c>
      <c r="Z488" s="288">
        <v>99340</v>
      </c>
      <c r="AA488" s="288">
        <v>97231</v>
      </c>
      <c r="AB488" s="284" t="s">
        <v>2072</v>
      </c>
      <c r="AC488" s="290">
        <v>4.1999999999999997E-3</v>
      </c>
      <c r="AE488" s="168"/>
      <c r="AF488" s="286"/>
      <c r="AG488" s="286"/>
      <c r="AH488" s="286"/>
      <c r="AI488" s="286"/>
      <c r="AJ488" s="284"/>
    </row>
    <row r="489" spans="1:36" x14ac:dyDescent="0.3">
      <c r="A489" s="167">
        <v>44748</v>
      </c>
      <c r="B489" s="171">
        <v>20.86</v>
      </c>
      <c r="C489" s="171">
        <v>21.31</v>
      </c>
      <c r="D489" s="171">
        <v>21.42</v>
      </c>
      <c r="E489" s="171">
        <v>20.02</v>
      </c>
      <c r="F489" s="171" t="s">
        <v>2071</v>
      </c>
      <c r="G489" s="283">
        <v>-1.32E-2</v>
      </c>
      <c r="I489" s="167">
        <v>44775</v>
      </c>
      <c r="J489" s="285">
        <v>2728.3</v>
      </c>
      <c r="K489" s="285">
        <v>2747.69</v>
      </c>
      <c r="L489" s="285">
        <v>2751.1</v>
      </c>
      <c r="M489" s="285">
        <v>2720.77</v>
      </c>
      <c r="N489" s="283" t="s">
        <v>1733</v>
      </c>
      <c r="P489" s="167">
        <v>44768</v>
      </c>
      <c r="Q489" s="285">
        <v>5.3510999999999997</v>
      </c>
      <c r="R489" s="285">
        <v>5.3575999999999997</v>
      </c>
      <c r="S489" s="285">
        <v>5.3930999999999996</v>
      </c>
      <c r="T489" s="285">
        <v>5.3345000000000002</v>
      </c>
      <c r="U489" s="283">
        <v>-1.1999999999999999E-3</v>
      </c>
      <c r="W489" s="167">
        <v>44742</v>
      </c>
      <c r="X489" s="287">
        <v>98542</v>
      </c>
      <c r="Y489" s="287">
        <v>99619</v>
      </c>
      <c r="Z489" s="287">
        <v>99619</v>
      </c>
      <c r="AA489" s="287">
        <v>97758</v>
      </c>
      <c r="AB489" s="283" t="s">
        <v>2070</v>
      </c>
      <c r="AC489" s="289">
        <v>-1.0800000000000001E-2</v>
      </c>
      <c r="AE489" s="167"/>
      <c r="AF489" s="285"/>
      <c r="AG489" s="285"/>
      <c r="AH489" s="285"/>
      <c r="AI489" s="285"/>
      <c r="AJ489" s="283"/>
    </row>
    <row r="490" spans="1:36" x14ac:dyDescent="0.3">
      <c r="A490" s="168">
        <v>44747</v>
      </c>
      <c r="B490" s="83">
        <v>21.14</v>
      </c>
      <c r="C490" s="83">
        <v>22.55</v>
      </c>
      <c r="D490" s="83">
        <v>22.55</v>
      </c>
      <c r="E490" s="83">
        <v>21.02</v>
      </c>
      <c r="F490" s="83" t="s">
        <v>2069</v>
      </c>
      <c r="G490" s="284">
        <v>-7.1099999999999997E-2</v>
      </c>
      <c r="I490" s="168">
        <v>44774</v>
      </c>
      <c r="J490" s="286">
        <v>2749.26</v>
      </c>
      <c r="K490" s="286">
        <v>2747.49</v>
      </c>
      <c r="L490" s="286">
        <v>2762.95</v>
      </c>
      <c r="M490" s="286">
        <v>2735.82</v>
      </c>
      <c r="N490" s="284" t="s">
        <v>1270</v>
      </c>
      <c r="P490" s="168">
        <v>44767</v>
      </c>
      <c r="Q490" s="286">
        <v>5.3575999999999997</v>
      </c>
      <c r="R490" s="286">
        <v>5.4987000000000004</v>
      </c>
      <c r="S490" s="286">
        <v>5.5010000000000003</v>
      </c>
      <c r="T490" s="286">
        <v>5.3566000000000003</v>
      </c>
      <c r="U490" s="284">
        <v>-2.53E-2</v>
      </c>
      <c r="W490" s="168">
        <v>44741</v>
      </c>
      <c r="X490" s="288">
        <v>99622</v>
      </c>
      <c r="Y490" s="288">
        <v>100592</v>
      </c>
      <c r="Z490" s="288">
        <v>101313</v>
      </c>
      <c r="AA490" s="288">
        <v>99218</v>
      </c>
      <c r="AB490" s="284" t="s">
        <v>2068</v>
      </c>
      <c r="AC490" s="290">
        <v>-9.5999999999999992E-3</v>
      </c>
      <c r="AE490" s="168"/>
      <c r="AF490" s="286"/>
      <c r="AG490" s="286"/>
      <c r="AH490" s="286"/>
      <c r="AI490" s="286"/>
      <c r="AJ490" s="284"/>
    </row>
    <row r="491" spans="1:36" x14ac:dyDescent="0.3">
      <c r="A491" s="167">
        <v>44746</v>
      </c>
      <c r="B491" s="171">
        <v>22.75</v>
      </c>
      <c r="C491" s="171">
        <v>22.26</v>
      </c>
      <c r="D491" s="171">
        <v>22.87</v>
      </c>
      <c r="E491" s="171">
        <v>22.18</v>
      </c>
      <c r="F491" s="171" t="s">
        <v>1453</v>
      </c>
      <c r="G491" s="283">
        <v>3.1199999999999999E-2</v>
      </c>
      <c r="I491" s="167">
        <v>44771</v>
      </c>
      <c r="J491" s="285">
        <v>2746.36</v>
      </c>
      <c r="K491" s="285">
        <v>2712.73</v>
      </c>
      <c r="L491" s="285">
        <v>2751.69</v>
      </c>
      <c r="M491" s="285">
        <v>2712.31</v>
      </c>
      <c r="N491" s="283" t="s">
        <v>2067</v>
      </c>
      <c r="P491" s="167">
        <v>44764</v>
      </c>
      <c r="Q491" s="285">
        <v>5.4968000000000004</v>
      </c>
      <c r="R491" s="285">
        <v>5.4992999999999999</v>
      </c>
      <c r="S491" s="285">
        <v>5.5046999999999997</v>
      </c>
      <c r="T491" s="285">
        <v>5.4348999999999998</v>
      </c>
      <c r="U491" s="283">
        <v>0</v>
      </c>
      <c r="W491" s="167">
        <v>44740</v>
      </c>
      <c r="X491" s="287">
        <v>100591</v>
      </c>
      <c r="Y491" s="287">
        <v>100766</v>
      </c>
      <c r="Z491" s="287">
        <v>102237</v>
      </c>
      <c r="AA491" s="287">
        <v>99956</v>
      </c>
      <c r="AB491" s="283" t="s">
        <v>2066</v>
      </c>
      <c r="AC491" s="289">
        <v>-1.6999999999999999E-3</v>
      </c>
      <c r="AE491" s="167"/>
      <c r="AF491" s="285"/>
      <c r="AG491" s="285"/>
      <c r="AH491" s="285"/>
      <c r="AI491" s="285"/>
      <c r="AJ491" s="283"/>
    </row>
    <row r="492" spans="1:36" x14ac:dyDescent="0.3">
      <c r="A492" s="168">
        <v>44743</v>
      </c>
      <c r="B492" s="83">
        <v>22.06</v>
      </c>
      <c r="C492" s="83">
        <v>22.18</v>
      </c>
      <c r="D492" s="83">
        <v>22.45</v>
      </c>
      <c r="E492" s="83">
        <v>21.55</v>
      </c>
      <c r="F492" s="83" t="s">
        <v>1337</v>
      </c>
      <c r="G492" s="284">
        <v>5.0000000000000001E-3</v>
      </c>
      <c r="I492" s="168">
        <v>44770</v>
      </c>
      <c r="J492" s="286">
        <v>2709.82</v>
      </c>
      <c r="K492" s="286">
        <v>2682.3</v>
      </c>
      <c r="L492" s="286">
        <v>2714.07</v>
      </c>
      <c r="M492" s="286">
        <v>2667.74</v>
      </c>
      <c r="N492" s="284" t="s">
        <v>2065</v>
      </c>
      <c r="P492" s="168">
        <v>44763</v>
      </c>
      <c r="Q492" s="286">
        <v>5.4968000000000004</v>
      </c>
      <c r="R492" s="286">
        <v>5.4720000000000004</v>
      </c>
      <c r="S492" s="286">
        <v>5.5152000000000001</v>
      </c>
      <c r="T492" s="286">
        <v>5.4288999999999996</v>
      </c>
      <c r="U492" s="284">
        <v>4.5999999999999999E-3</v>
      </c>
      <c r="W492" s="168">
        <v>44739</v>
      </c>
      <c r="X492" s="288">
        <v>100764</v>
      </c>
      <c r="Y492" s="288">
        <v>98673</v>
      </c>
      <c r="Z492" s="288">
        <v>101106</v>
      </c>
      <c r="AA492" s="288">
        <v>98672</v>
      </c>
      <c r="AB492" s="284" t="s">
        <v>2064</v>
      </c>
      <c r="AC492" s="290">
        <v>2.12E-2</v>
      </c>
      <c r="AE492" s="168"/>
      <c r="AF492" s="286"/>
      <c r="AG492" s="286"/>
      <c r="AH492" s="286"/>
      <c r="AI492" s="286"/>
      <c r="AJ492" s="284"/>
    </row>
    <row r="493" spans="1:36" x14ac:dyDescent="0.3">
      <c r="A493" s="167">
        <v>44742</v>
      </c>
      <c r="B493" s="171">
        <v>21.95</v>
      </c>
      <c r="C493" s="171">
        <v>21.86</v>
      </c>
      <c r="D493" s="171">
        <v>22.29</v>
      </c>
      <c r="E493" s="171">
        <v>21.51</v>
      </c>
      <c r="F493" s="171" t="s">
        <v>2063</v>
      </c>
      <c r="G493" s="283">
        <v>-2.1399999999999999E-2</v>
      </c>
      <c r="I493" s="167">
        <v>44769</v>
      </c>
      <c r="J493" s="285">
        <v>2675.08</v>
      </c>
      <c r="K493" s="285">
        <v>2623.42</v>
      </c>
      <c r="L493" s="285">
        <v>2689.05</v>
      </c>
      <c r="M493" s="285">
        <v>2623.09</v>
      </c>
      <c r="N493" s="283" t="s">
        <v>2062</v>
      </c>
      <c r="P493" s="167">
        <v>44762</v>
      </c>
      <c r="Q493" s="285">
        <v>5.4714</v>
      </c>
      <c r="R493" s="285">
        <v>5.4143999999999997</v>
      </c>
      <c r="S493" s="285">
        <v>5.4729000000000001</v>
      </c>
      <c r="T493" s="285">
        <v>5.3888999999999996</v>
      </c>
      <c r="U493" s="283">
        <v>1.0699999999999999E-2</v>
      </c>
      <c r="W493" s="167">
        <v>44736</v>
      </c>
      <c r="X493" s="287">
        <v>98672</v>
      </c>
      <c r="Y493" s="287">
        <v>98081</v>
      </c>
      <c r="Z493" s="287">
        <v>99313</v>
      </c>
      <c r="AA493" s="287">
        <v>98031</v>
      </c>
      <c r="AB493" s="283" t="s">
        <v>1510</v>
      </c>
      <c r="AC493" s="289">
        <v>6.0000000000000001E-3</v>
      </c>
      <c r="AE493" s="167"/>
      <c r="AF493" s="285"/>
      <c r="AG493" s="285"/>
      <c r="AH493" s="285"/>
      <c r="AI493" s="285"/>
      <c r="AJ493" s="283"/>
    </row>
    <row r="494" spans="1:36" x14ac:dyDescent="0.3">
      <c r="A494" s="168">
        <v>44741</v>
      </c>
      <c r="B494" s="83">
        <v>22.43</v>
      </c>
      <c r="C494" s="83">
        <v>22.87</v>
      </c>
      <c r="D494" s="83">
        <v>23.34</v>
      </c>
      <c r="E494" s="83">
        <v>21.94</v>
      </c>
      <c r="F494" s="83" t="s">
        <v>2061</v>
      </c>
      <c r="G494" s="284">
        <v>-8.3999999999999995E-3</v>
      </c>
      <c r="I494" s="168">
        <v>44768</v>
      </c>
      <c r="J494" s="286">
        <v>2624.49</v>
      </c>
      <c r="K494" s="286">
        <v>2652.41</v>
      </c>
      <c r="L494" s="286">
        <v>2653.79</v>
      </c>
      <c r="M494" s="286">
        <v>2618.73</v>
      </c>
      <c r="N494" s="284" t="s">
        <v>2060</v>
      </c>
      <c r="P494" s="168">
        <v>44761</v>
      </c>
      <c r="Q494" s="286">
        <v>5.4135</v>
      </c>
      <c r="R494" s="286">
        <v>5.4381000000000004</v>
      </c>
      <c r="S494" s="286">
        <v>5.4381000000000004</v>
      </c>
      <c r="T494" s="286">
        <v>5.3646000000000003</v>
      </c>
      <c r="U494" s="284">
        <v>-4.4000000000000003E-3</v>
      </c>
      <c r="W494" s="168">
        <v>44735</v>
      </c>
      <c r="X494" s="288">
        <v>98080</v>
      </c>
      <c r="Y494" s="288">
        <v>99523</v>
      </c>
      <c r="Z494" s="288">
        <v>100232</v>
      </c>
      <c r="AA494" s="288">
        <v>97775</v>
      </c>
      <c r="AB494" s="284" t="s">
        <v>2059</v>
      </c>
      <c r="AC494" s="290">
        <v>-1.4500000000000001E-2</v>
      </c>
      <c r="AE494" s="168"/>
      <c r="AF494" s="286"/>
      <c r="AG494" s="286"/>
      <c r="AH494" s="286"/>
      <c r="AI494" s="286"/>
      <c r="AJ494" s="284"/>
    </row>
    <row r="495" spans="1:36" x14ac:dyDescent="0.3">
      <c r="A495" s="167">
        <v>44740</v>
      </c>
      <c r="B495" s="171">
        <v>22.62</v>
      </c>
      <c r="C495" s="171">
        <v>23.43</v>
      </c>
      <c r="D495" s="171">
        <v>23.51</v>
      </c>
      <c r="E495" s="171">
        <v>22.38</v>
      </c>
      <c r="F495" s="171" t="s">
        <v>2058</v>
      </c>
      <c r="G495" s="283">
        <v>-4.0000000000000002E-4</v>
      </c>
      <c r="I495" s="167">
        <v>44767</v>
      </c>
      <c r="J495" s="285">
        <v>2651.22</v>
      </c>
      <c r="K495" s="285">
        <v>2646.73</v>
      </c>
      <c r="L495" s="285">
        <v>2655.57</v>
      </c>
      <c r="M495" s="285">
        <v>2640.59</v>
      </c>
      <c r="N495" s="283" t="s">
        <v>1514</v>
      </c>
      <c r="P495" s="167">
        <v>44760</v>
      </c>
      <c r="Q495" s="285">
        <v>5.4375</v>
      </c>
      <c r="R495" s="285">
        <v>5.4092000000000002</v>
      </c>
      <c r="S495" s="285">
        <v>5.4391999999999996</v>
      </c>
      <c r="T495" s="285">
        <v>5.3517000000000001</v>
      </c>
      <c r="U495" s="283">
        <v>5.4000000000000003E-3</v>
      </c>
      <c r="W495" s="167">
        <v>44734</v>
      </c>
      <c r="X495" s="287">
        <v>99522</v>
      </c>
      <c r="Y495" s="287">
        <v>99678</v>
      </c>
      <c r="Z495" s="287">
        <v>100374</v>
      </c>
      <c r="AA495" s="287">
        <v>98050</v>
      </c>
      <c r="AB495" s="283" t="s">
        <v>1613</v>
      </c>
      <c r="AC495" s="289">
        <v>-1.6000000000000001E-3</v>
      </c>
      <c r="AE495" s="167"/>
      <c r="AF495" s="285"/>
      <c r="AG495" s="285"/>
      <c r="AH495" s="285"/>
      <c r="AI495" s="285"/>
      <c r="AJ495" s="283"/>
    </row>
    <row r="496" spans="1:36" x14ac:dyDescent="0.3">
      <c r="A496" s="168">
        <v>44739</v>
      </c>
      <c r="B496" s="83">
        <v>22.63</v>
      </c>
      <c r="C496" s="83">
        <v>21.78</v>
      </c>
      <c r="D496" s="83">
        <v>22.82</v>
      </c>
      <c r="E496" s="83">
        <v>21.78</v>
      </c>
      <c r="F496" s="83" t="s">
        <v>2057</v>
      </c>
      <c r="G496" s="284">
        <v>5.2900000000000003E-2</v>
      </c>
      <c r="I496" s="168">
        <v>44764</v>
      </c>
      <c r="J496" s="286">
        <v>2650.82</v>
      </c>
      <c r="K496" s="286">
        <v>2666.04</v>
      </c>
      <c r="L496" s="286">
        <v>2679.53</v>
      </c>
      <c r="M496" s="286">
        <v>2637.43</v>
      </c>
      <c r="N496" s="284" t="s">
        <v>1488</v>
      </c>
      <c r="P496" s="168">
        <v>44757</v>
      </c>
      <c r="Q496" s="286">
        <v>5.4081999999999999</v>
      </c>
      <c r="R496" s="286">
        <v>5.4238999999999997</v>
      </c>
      <c r="S496" s="286">
        <v>5.4492000000000003</v>
      </c>
      <c r="T496" s="286">
        <v>5.3745000000000003</v>
      </c>
      <c r="U496" s="284">
        <v>-2.8E-3</v>
      </c>
      <c r="W496" s="168">
        <v>44733</v>
      </c>
      <c r="X496" s="288">
        <v>99685</v>
      </c>
      <c r="Y496" s="288">
        <v>99854</v>
      </c>
      <c r="Z496" s="288">
        <v>101069</v>
      </c>
      <c r="AA496" s="288">
        <v>99167</v>
      </c>
      <c r="AB496" s="284" t="s">
        <v>1606</v>
      </c>
      <c r="AC496" s="290">
        <v>-1.6999999999999999E-3</v>
      </c>
      <c r="AE496" s="168"/>
      <c r="AF496" s="286"/>
      <c r="AG496" s="286"/>
      <c r="AH496" s="286"/>
      <c r="AI496" s="286"/>
      <c r="AJ496" s="284"/>
    </row>
    <row r="497" spans="1:36" x14ac:dyDescent="0.3">
      <c r="A497" s="167">
        <v>44736</v>
      </c>
      <c r="B497" s="171">
        <v>21.5</v>
      </c>
      <c r="C497" s="171">
        <v>20.92</v>
      </c>
      <c r="D497" s="171">
        <v>21.79</v>
      </c>
      <c r="E497" s="171">
        <v>20.440000000000001</v>
      </c>
      <c r="F497" s="171" t="s">
        <v>2056</v>
      </c>
      <c r="G497" s="283">
        <v>5.1799999999999999E-2</v>
      </c>
      <c r="I497" s="167">
        <v>44763</v>
      </c>
      <c r="J497" s="285">
        <v>2663.84</v>
      </c>
      <c r="K497" s="285">
        <v>2641.55</v>
      </c>
      <c r="L497" s="285">
        <v>2666.28</v>
      </c>
      <c r="M497" s="285">
        <v>2625.72</v>
      </c>
      <c r="N497" s="283" t="s">
        <v>1561</v>
      </c>
      <c r="P497" s="167">
        <v>44756</v>
      </c>
      <c r="Q497" s="285">
        <v>5.4233000000000002</v>
      </c>
      <c r="R497" s="285">
        <v>5.3929999999999998</v>
      </c>
      <c r="S497" s="285">
        <v>5.4905999999999997</v>
      </c>
      <c r="T497" s="285">
        <v>5.3929999999999998</v>
      </c>
      <c r="U497" s="283">
        <v>5.8999999999999999E-3</v>
      </c>
      <c r="W497" s="167">
        <v>44732</v>
      </c>
      <c r="X497" s="287">
        <v>99853</v>
      </c>
      <c r="Y497" s="287">
        <v>99824</v>
      </c>
      <c r="Z497" s="287">
        <v>100481</v>
      </c>
      <c r="AA497" s="287">
        <v>98409</v>
      </c>
      <c r="AB497" s="283" t="s">
        <v>2055</v>
      </c>
      <c r="AC497" s="289">
        <v>2.9999999999999997E-4</v>
      </c>
      <c r="AE497" s="167"/>
      <c r="AF497" s="285"/>
      <c r="AG497" s="285"/>
      <c r="AH497" s="285"/>
      <c r="AI497" s="285"/>
      <c r="AJ497" s="283"/>
    </row>
    <row r="498" spans="1:36" x14ac:dyDescent="0.3">
      <c r="A498" s="168">
        <v>44735</v>
      </c>
      <c r="B498" s="83">
        <v>20.440000000000001</v>
      </c>
      <c r="C498" s="83">
        <v>21.39</v>
      </c>
      <c r="D498" s="83">
        <v>21.83</v>
      </c>
      <c r="E498" s="83">
        <v>20.239999999999998</v>
      </c>
      <c r="F498" s="83" t="s">
        <v>2054</v>
      </c>
      <c r="G498" s="284">
        <v>-3.7600000000000001E-2</v>
      </c>
      <c r="I498" s="168">
        <v>44762</v>
      </c>
      <c r="J498" s="286">
        <v>2643.93</v>
      </c>
      <c r="K498" s="286">
        <v>2628.73</v>
      </c>
      <c r="L498" s="286">
        <v>2650.06</v>
      </c>
      <c r="M498" s="286">
        <v>2622.55</v>
      </c>
      <c r="N498" s="284" t="s">
        <v>1338</v>
      </c>
      <c r="P498" s="168">
        <v>44755</v>
      </c>
      <c r="Q498" s="286">
        <v>5.3917000000000002</v>
      </c>
      <c r="R498" s="286">
        <v>5.4377000000000004</v>
      </c>
      <c r="S498" s="286">
        <v>5.4667000000000003</v>
      </c>
      <c r="T498" s="286">
        <v>5.3609</v>
      </c>
      <c r="U498" s="284">
        <v>-8.3000000000000001E-3</v>
      </c>
      <c r="W498" s="168">
        <v>44729</v>
      </c>
      <c r="X498" s="288">
        <v>99825</v>
      </c>
      <c r="Y498" s="288">
        <v>102800</v>
      </c>
      <c r="Z498" s="288">
        <v>102801</v>
      </c>
      <c r="AA498" s="288">
        <v>98402</v>
      </c>
      <c r="AB498" s="284" t="s">
        <v>2053</v>
      </c>
      <c r="AC498" s="290">
        <v>-2.9000000000000001E-2</v>
      </c>
      <c r="AE498" s="168"/>
      <c r="AF498" s="286"/>
      <c r="AG498" s="286"/>
      <c r="AH498" s="286"/>
      <c r="AI498" s="286"/>
      <c r="AJ498" s="284"/>
    </row>
    <row r="499" spans="1:36" x14ac:dyDescent="0.3">
      <c r="A499" s="167">
        <v>44734</v>
      </c>
      <c r="B499" s="171">
        <v>21.24</v>
      </c>
      <c r="C499" s="171">
        <v>21.5</v>
      </c>
      <c r="D499" s="171">
        <v>21.9</v>
      </c>
      <c r="E499" s="171">
        <v>21.19</v>
      </c>
      <c r="F499" s="171" t="s">
        <v>1308</v>
      </c>
      <c r="G499" s="283">
        <v>-6.4199999999999993E-2</v>
      </c>
      <c r="I499" s="167">
        <v>44761</v>
      </c>
      <c r="J499" s="285">
        <v>2628.34</v>
      </c>
      <c r="K499" s="285">
        <v>2565.33</v>
      </c>
      <c r="L499" s="285">
        <v>2628.34</v>
      </c>
      <c r="M499" s="285">
        <v>2563.25</v>
      </c>
      <c r="N499" s="283" t="s">
        <v>2052</v>
      </c>
      <c r="P499" s="167">
        <v>44754</v>
      </c>
      <c r="Q499" s="285">
        <v>5.4367999999999999</v>
      </c>
      <c r="R499" s="285">
        <v>5.3785999999999996</v>
      </c>
      <c r="S499" s="285">
        <v>5.4433999999999996</v>
      </c>
      <c r="T499" s="285">
        <v>5.3695000000000004</v>
      </c>
      <c r="U499" s="283">
        <v>1.09E-2</v>
      </c>
      <c r="W499" s="167">
        <v>44727</v>
      </c>
      <c r="X499" s="287">
        <v>102807</v>
      </c>
      <c r="Y499" s="287">
        <v>102068</v>
      </c>
      <c r="Z499" s="287">
        <v>103952</v>
      </c>
      <c r="AA499" s="287">
        <v>102046</v>
      </c>
      <c r="AB499" s="283" t="s">
        <v>2042</v>
      </c>
      <c r="AC499" s="289">
        <v>7.3000000000000001E-3</v>
      </c>
      <c r="AE499" s="167"/>
      <c r="AF499" s="285"/>
      <c r="AG499" s="285"/>
      <c r="AH499" s="285"/>
      <c r="AI499" s="285"/>
      <c r="AJ499" s="283"/>
    </row>
    <row r="500" spans="1:36" x14ac:dyDescent="0.3">
      <c r="A500" s="168">
        <v>44733</v>
      </c>
      <c r="B500" s="83">
        <v>22.69</v>
      </c>
      <c r="C500" s="83">
        <v>23.36</v>
      </c>
      <c r="D500" s="83">
        <v>23.73</v>
      </c>
      <c r="E500" s="83">
        <v>22.63</v>
      </c>
      <c r="F500" s="83" t="s">
        <v>2051</v>
      </c>
      <c r="G500" s="284">
        <v>-4.7999999999999996E-3</v>
      </c>
      <c r="I500" s="168">
        <v>44760</v>
      </c>
      <c r="J500" s="286">
        <v>2567.6799999999998</v>
      </c>
      <c r="K500" s="286">
        <v>2570.37</v>
      </c>
      <c r="L500" s="286">
        <v>2600.75</v>
      </c>
      <c r="M500" s="286">
        <v>2558.9899999999998</v>
      </c>
      <c r="N500" s="284" t="s">
        <v>1648</v>
      </c>
      <c r="P500" s="168">
        <v>44753</v>
      </c>
      <c r="Q500" s="286">
        <v>5.3781999999999996</v>
      </c>
      <c r="R500" s="286">
        <v>5.2550999999999997</v>
      </c>
      <c r="S500" s="286">
        <v>5.3864000000000001</v>
      </c>
      <c r="T500" s="286">
        <v>5.2550999999999997</v>
      </c>
      <c r="U500" s="284">
        <v>2.3699999999999999E-2</v>
      </c>
      <c r="W500" s="168">
        <v>44726</v>
      </c>
      <c r="X500" s="288">
        <v>102063</v>
      </c>
      <c r="Y500" s="288">
        <v>102598</v>
      </c>
      <c r="Z500" s="288">
        <v>103328</v>
      </c>
      <c r="AA500" s="288">
        <v>101325</v>
      </c>
      <c r="AB500" s="284" t="s">
        <v>2050</v>
      </c>
      <c r="AC500" s="290">
        <v>-5.1999999999999998E-3</v>
      </c>
      <c r="AE500" s="168"/>
      <c r="AF500" s="286"/>
      <c r="AG500" s="286"/>
      <c r="AH500" s="286"/>
      <c r="AI500" s="286"/>
      <c r="AJ500" s="284"/>
    </row>
    <row r="501" spans="1:36" x14ac:dyDescent="0.3">
      <c r="A501" s="167">
        <v>44732</v>
      </c>
      <c r="B501" s="171">
        <v>22.8</v>
      </c>
      <c r="C501" s="171">
        <v>22.86</v>
      </c>
      <c r="D501" s="171">
        <v>23.8</v>
      </c>
      <c r="E501" s="171">
        <v>21.64</v>
      </c>
      <c r="F501" s="171" t="s">
        <v>2049</v>
      </c>
      <c r="G501" s="283">
        <v>-8.6999999999999994E-3</v>
      </c>
      <c r="I501" s="167">
        <v>44757</v>
      </c>
      <c r="J501" s="285">
        <v>2568.64</v>
      </c>
      <c r="K501" s="285">
        <v>2523.42</v>
      </c>
      <c r="L501" s="285">
        <v>2569.1999999999998</v>
      </c>
      <c r="M501" s="285">
        <v>2520.88</v>
      </c>
      <c r="N501" s="283" t="s">
        <v>2048</v>
      </c>
      <c r="P501" s="167">
        <v>44750</v>
      </c>
      <c r="Q501" s="285">
        <v>5.2535999999999996</v>
      </c>
      <c r="R501" s="285">
        <v>5.3399000000000001</v>
      </c>
      <c r="S501" s="285">
        <v>5.3696000000000002</v>
      </c>
      <c r="T501" s="285">
        <v>5.2500999999999998</v>
      </c>
      <c r="U501" s="283">
        <v>-1.6E-2</v>
      </c>
      <c r="W501" s="167">
        <v>44725</v>
      </c>
      <c r="X501" s="287">
        <v>102598</v>
      </c>
      <c r="Y501" s="287">
        <v>105476</v>
      </c>
      <c r="Z501" s="287">
        <v>105478</v>
      </c>
      <c r="AA501" s="287">
        <v>101700</v>
      </c>
      <c r="AB501" s="283" t="s">
        <v>2047</v>
      </c>
      <c r="AC501" s="289">
        <v>-2.7300000000000001E-2</v>
      </c>
      <c r="AE501" s="167"/>
      <c r="AF501" s="285"/>
      <c r="AG501" s="285"/>
      <c r="AH501" s="285"/>
      <c r="AI501" s="285"/>
      <c r="AJ501" s="283"/>
    </row>
    <row r="502" spans="1:36" x14ac:dyDescent="0.3">
      <c r="A502" s="168">
        <v>44729</v>
      </c>
      <c r="B502" s="83">
        <v>23</v>
      </c>
      <c r="C502" s="83">
        <v>24.96</v>
      </c>
      <c r="D502" s="83">
        <v>25.08</v>
      </c>
      <c r="E502" s="83">
        <v>22.78</v>
      </c>
      <c r="F502" s="83" t="s">
        <v>2046</v>
      </c>
      <c r="G502" s="284">
        <v>-8.7900000000000006E-2</v>
      </c>
      <c r="I502" s="168">
        <v>44756</v>
      </c>
      <c r="J502" s="286">
        <v>2520.92</v>
      </c>
      <c r="K502" s="286">
        <v>2539.25</v>
      </c>
      <c r="L502" s="286">
        <v>2541.54</v>
      </c>
      <c r="M502" s="286">
        <v>2485.67</v>
      </c>
      <c r="N502" s="284" t="s">
        <v>2045</v>
      </c>
      <c r="P502" s="168">
        <v>44749</v>
      </c>
      <c r="Q502" s="286">
        <v>5.3391000000000002</v>
      </c>
      <c r="R502" s="286">
        <v>5.4298999999999999</v>
      </c>
      <c r="S502" s="286">
        <v>5.4302999999999999</v>
      </c>
      <c r="T502" s="286">
        <v>5.3296000000000001</v>
      </c>
      <c r="U502" s="284">
        <v>-1.6500000000000001E-2</v>
      </c>
      <c r="W502" s="168">
        <v>44722</v>
      </c>
      <c r="X502" s="288">
        <v>105481</v>
      </c>
      <c r="Y502" s="288">
        <v>107091</v>
      </c>
      <c r="Z502" s="288">
        <v>107092</v>
      </c>
      <c r="AA502" s="288">
        <v>104648</v>
      </c>
      <c r="AB502" s="284" t="s">
        <v>1938</v>
      </c>
      <c r="AC502" s="290">
        <v>-1.5100000000000001E-2</v>
      </c>
      <c r="AE502" s="168"/>
      <c r="AF502" s="286"/>
      <c r="AG502" s="286"/>
      <c r="AH502" s="286"/>
      <c r="AI502" s="286"/>
      <c r="AJ502" s="284"/>
    </row>
    <row r="503" spans="1:36" x14ac:dyDescent="0.3">
      <c r="A503" s="167">
        <v>44727</v>
      </c>
      <c r="B503" s="171">
        <v>25.22</v>
      </c>
      <c r="C503" s="171">
        <v>25.97</v>
      </c>
      <c r="D503" s="171">
        <v>26.26</v>
      </c>
      <c r="E503" s="171">
        <v>24.88</v>
      </c>
      <c r="F503" s="171" t="s">
        <v>2044</v>
      </c>
      <c r="G503" s="283">
        <v>-1.4800000000000001E-2</v>
      </c>
      <c r="I503" s="167">
        <v>44755</v>
      </c>
      <c r="J503" s="285">
        <v>2544.6799999999998</v>
      </c>
      <c r="K503" s="285">
        <v>2553.33</v>
      </c>
      <c r="L503" s="285">
        <v>2556.23</v>
      </c>
      <c r="M503" s="285">
        <v>2516.7199999999998</v>
      </c>
      <c r="N503" s="283" t="s">
        <v>1511</v>
      </c>
      <c r="P503" s="167">
        <v>44748</v>
      </c>
      <c r="Q503" s="285">
        <v>5.4287000000000001</v>
      </c>
      <c r="R503" s="285">
        <v>5.3869999999999996</v>
      </c>
      <c r="S503" s="285">
        <v>5.4626999999999999</v>
      </c>
      <c r="T503" s="285">
        <v>5.3869999999999996</v>
      </c>
      <c r="U503" s="283">
        <v>7.9000000000000008E-3</v>
      </c>
      <c r="W503" s="167">
        <v>44721</v>
      </c>
      <c r="X503" s="287">
        <v>107094</v>
      </c>
      <c r="Y503" s="287">
        <v>108367</v>
      </c>
      <c r="Z503" s="287">
        <v>108510</v>
      </c>
      <c r="AA503" s="287">
        <v>107068</v>
      </c>
      <c r="AB503" s="283" t="s">
        <v>2043</v>
      </c>
      <c r="AC503" s="289">
        <v>-1.18E-2</v>
      </c>
      <c r="AE503" s="167"/>
      <c r="AF503" s="285"/>
      <c r="AG503" s="285"/>
      <c r="AH503" s="285"/>
      <c r="AI503" s="285"/>
      <c r="AJ503" s="283"/>
    </row>
    <row r="504" spans="1:36" x14ac:dyDescent="0.3">
      <c r="A504" s="168">
        <v>44726</v>
      </c>
      <c r="B504" s="83">
        <v>25.6</v>
      </c>
      <c r="C504" s="83">
        <v>26.35</v>
      </c>
      <c r="D504" s="83">
        <v>26.78</v>
      </c>
      <c r="E504" s="83">
        <v>25.34</v>
      </c>
      <c r="F504" s="83" t="s">
        <v>2042</v>
      </c>
      <c r="G504" s="284">
        <v>-1.4999999999999999E-2</v>
      </c>
      <c r="I504" s="168">
        <v>44754</v>
      </c>
      <c r="J504" s="286">
        <v>2554.1799999999998</v>
      </c>
      <c r="K504" s="286">
        <v>2571.04</v>
      </c>
      <c r="L504" s="286">
        <v>2578.73</v>
      </c>
      <c r="M504" s="286">
        <v>2545.34</v>
      </c>
      <c r="N504" s="284" t="s">
        <v>1544</v>
      </c>
      <c r="P504" s="168">
        <v>44747</v>
      </c>
      <c r="Q504" s="286">
        <v>5.3860999999999999</v>
      </c>
      <c r="R504" s="286">
        <v>5.3299000000000003</v>
      </c>
      <c r="S504" s="286">
        <v>5.4043000000000001</v>
      </c>
      <c r="T504" s="286">
        <v>5.3287000000000004</v>
      </c>
      <c r="U504" s="284">
        <v>1.0699999999999999E-2</v>
      </c>
      <c r="W504" s="168">
        <v>44720</v>
      </c>
      <c r="X504" s="288">
        <v>108368</v>
      </c>
      <c r="Y504" s="288">
        <v>110067</v>
      </c>
      <c r="Z504" s="288">
        <v>110142</v>
      </c>
      <c r="AA504" s="288">
        <v>108045</v>
      </c>
      <c r="AB504" s="284" t="s">
        <v>1690</v>
      </c>
      <c r="AC504" s="290">
        <v>-1.55E-2</v>
      </c>
      <c r="AE504" s="168"/>
      <c r="AF504" s="286"/>
      <c r="AG504" s="286"/>
      <c r="AH504" s="286"/>
      <c r="AI504" s="286"/>
      <c r="AJ504" s="284"/>
    </row>
    <row r="505" spans="1:36" x14ac:dyDescent="0.3">
      <c r="A505" s="167">
        <v>44725</v>
      </c>
      <c r="B505" s="171">
        <v>25.99</v>
      </c>
      <c r="C505" s="171">
        <v>26.46</v>
      </c>
      <c r="D505" s="171">
        <v>26.69</v>
      </c>
      <c r="E505" s="171">
        <v>25.36</v>
      </c>
      <c r="F505" s="171" t="s">
        <v>2041</v>
      </c>
      <c r="G505" s="283">
        <v>-3.95E-2</v>
      </c>
      <c r="I505" s="167">
        <v>44753</v>
      </c>
      <c r="J505" s="285">
        <v>2572.33</v>
      </c>
      <c r="K505" s="285">
        <v>2604.34</v>
      </c>
      <c r="L505" s="285">
        <v>2605.42</v>
      </c>
      <c r="M505" s="285">
        <v>2567.4699999999998</v>
      </c>
      <c r="N505" s="283" t="s">
        <v>2040</v>
      </c>
      <c r="P505" s="167">
        <v>44746</v>
      </c>
      <c r="Q505" s="285">
        <v>5.3292999999999999</v>
      </c>
      <c r="R505" s="285">
        <v>5.3307000000000002</v>
      </c>
      <c r="S505" s="285">
        <v>5.3352000000000004</v>
      </c>
      <c r="T505" s="285">
        <v>5.2870999999999997</v>
      </c>
      <c r="U505" s="283">
        <v>-2.9999999999999997E-4</v>
      </c>
      <c r="W505" s="167">
        <v>44719</v>
      </c>
      <c r="X505" s="287">
        <v>110070</v>
      </c>
      <c r="Y505" s="287">
        <v>110185</v>
      </c>
      <c r="Z505" s="287">
        <v>110435</v>
      </c>
      <c r="AA505" s="287">
        <v>109394</v>
      </c>
      <c r="AB505" s="283" t="s">
        <v>2039</v>
      </c>
      <c r="AC505" s="289">
        <v>-1.1000000000000001E-3</v>
      </c>
      <c r="AE505" s="167"/>
      <c r="AF505" s="285"/>
      <c r="AG505" s="285"/>
      <c r="AH505" s="285"/>
      <c r="AI505" s="285"/>
      <c r="AJ505" s="283"/>
    </row>
    <row r="506" spans="1:36" x14ac:dyDescent="0.3">
      <c r="A506" s="168">
        <v>44722</v>
      </c>
      <c r="B506" s="83">
        <v>27.06</v>
      </c>
      <c r="C506" s="83">
        <v>26.84</v>
      </c>
      <c r="D506" s="83">
        <v>27.37</v>
      </c>
      <c r="E506" s="83">
        <v>26.63</v>
      </c>
      <c r="F506" s="83" t="s">
        <v>1353</v>
      </c>
      <c r="G506" s="284">
        <v>-4.4000000000000003E-3</v>
      </c>
      <c r="I506" s="168">
        <v>44750</v>
      </c>
      <c r="J506" s="286">
        <v>2603.62</v>
      </c>
      <c r="K506" s="286">
        <v>2603.14</v>
      </c>
      <c r="L506" s="286">
        <v>2613.38</v>
      </c>
      <c r="M506" s="286">
        <v>2583.1</v>
      </c>
      <c r="N506" s="284" t="s">
        <v>1304</v>
      </c>
      <c r="P506" s="168">
        <v>44743</v>
      </c>
      <c r="Q506" s="286">
        <v>5.3310000000000004</v>
      </c>
      <c r="R506" s="286">
        <v>5.2568999999999999</v>
      </c>
      <c r="S506" s="286">
        <v>5.3402000000000003</v>
      </c>
      <c r="T506" s="286">
        <v>5.2526999999999999</v>
      </c>
      <c r="U506" s="284">
        <v>1.4200000000000001E-2</v>
      </c>
      <c r="W506" s="168">
        <v>44718</v>
      </c>
      <c r="X506" s="288">
        <v>110186</v>
      </c>
      <c r="Y506" s="288">
        <v>111102</v>
      </c>
      <c r="Z506" s="288">
        <v>111935</v>
      </c>
      <c r="AA506" s="288">
        <v>110015</v>
      </c>
      <c r="AB506" s="284" t="s">
        <v>1303</v>
      </c>
      <c r="AC506" s="290">
        <v>-8.2000000000000007E-3</v>
      </c>
      <c r="AE506" s="168"/>
      <c r="AF506" s="286"/>
      <c r="AG506" s="286"/>
      <c r="AH506" s="286"/>
      <c r="AI506" s="286"/>
      <c r="AJ506" s="284"/>
    </row>
    <row r="507" spans="1:36" x14ac:dyDescent="0.3">
      <c r="A507" s="167">
        <v>44721</v>
      </c>
      <c r="B507" s="171">
        <v>27.18</v>
      </c>
      <c r="C507" s="171">
        <v>27.71</v>
      </c>
      <c r="D507" s="171">
        <v>28.05</v>
      </c>
      <c r="E507" s="171">
        <v>26.98</v>
      </c>
      <c r="F507" s="171" t="s">
        <v>2038</v>
      </c>
      <c r="G507" s="283">
        <v>-2.0899999999999998E-2</v>
      </c>
      <c r="I507" s="167">
        <v>44749</v>
      </c>
      <c r="J507" s="285">
        <v>2602.0300000000002</v>
      </c>
      <c r="K507" s="285">
        <v>2561.9499999999998</v>
      </c>
      <c r="L507" s="285">
        <v>2605.3200000000002</v>
      </c>
      <c r="M507" s="285">
        <v>2561.38</v>
      </c>
      <c r="N507" s="283" t="s">
        <v>2037</v>
      </c>
      <c r="P507" s="167">
        <v>44742</v>
      </c>
      <c r="Q507" s="285">
        <v>5.2561999999999998</v>
      </c>
      <c r="R507" s="285">
        <v>5.1828000000000003</v>
      </c>
      <c r="S507" s="285">
        <v>5.2714999999999996</v>
      </c>
      <c r="T507" s="285">
        <v>5.1779000000000002</v>
      </c>
      <c r="U507" s="283">
        <v>1.44E-2</v>
      </c>
      <c r="W507" s="167">
        <v>44715</v>
      </c>
      <c r="X507" s="287">
        <v>111102</v>
      </c>
      <c r="Y507" s="287">
        <v>112392</v>
      </c>
      <c r="Z507" s="287">
        <v>112392</v>
      </c>
      <c r="AA507" s="287">
        <v>110935</v>
      </c>
      <c r="AB507" s="283" t="s">
        <v>2036</v>
      </c>
      <c r="AC507" s="289">
        <v>-1.15E-2</v>
      </c>
      <c r="AE507" s="167"/>
      <c r="AF507" s="285"/>
      <c r="AG507" s="285"/>
      <c r="AH507" s="285"/>
      <c r="AI507" s="285"/>
      <c r="AJ507" s="283"/>
    </row>
    <row r="508" spans="1:36" x14ac:dyDescent="0.3">
      <c r="A508" s="168">
        <v>44720</v>
      </c>
      <c r="B508" s="83">
        <v>27.76</v>
      </c>
      <c r="C508" s="83">
        <v>27.29</v>
      </c>
      <c r="D508" s="83">
        <v>28.01</v>
      </c>
      <c r="E508" s="83">
        <v>27.18</v>
      </c>
      <c r="F508" s="83" t="s">
        <v>2035</v>
      </c>
      <c r="G508" s="284">
        <v>1.7899999999999999E-2</v>
      </c>
      <c r="I508" s="168">
        <v>44748</v>
      </c>
      <c r="J508" s="286">
        <v>2561.1999999999998</v>
      </c>
      <c r="K508" s="286">
        <v>2554.81</v>
      </c>
      <c r="L508" s="286">
        <v>2573.2600000000002</v>
      </c>
      <c r="M508" s="286">
        <v>2543.39</v>
      </c>
      <c r="N508" s="284" t="s">
        <v>1286</v>
      </c>
      <c r="P508" s="168">
        <v>44741</v>
      </c>
      <c r="Q508" s="286">
        <v>5.1818</v>
      </c>
      <c r="R508" s="286">
        <v>5.2679999999999998</v>
      </c>
      <c r="S508" s="286">
        <v>5.2733999999999996</v>
      </c>
      <c r="T508" s="286">
        <v>5.1753999999999998</v>
      </c>
      <c r="U508" s="284">
        <v>-1.6299999999999999E-2</v>
      </c>
      <c r="W508" s="168">
        <v>44714</v>
      </c>
      <c r="X508" s="288">
        <v>112393</v>
      </c>
      <c r="Y508" s="288">
        <v>111363</v>
      </c>
      <c r="Z508" s="288">
        <v>112709</v>
      </c>
      <c r="AA508" s="288">
        <v>111218</v>
      </c>
      <c r="AB508" s="284" t="s">
        <v>2034</v>
      </c>
      <c r="AC508" s="290">
        <v>9.2999999999999992E-3</v>
      </c>
      <c r="AE508" s="168"/>
      <c r="AF508" s="286"/>
      <c r="AG508" s="286"/>
      <c r="AH508" s="286"/>
      <c r="AI508" s="286"/>
      <c r="AJ508" s="284"/>
    </row>
    <row r="509" spans="1:36" x14ac:dyDescent="0.3">
      <c r="A509" s="167">
        <v>44719</v>
      </c>
      <c r="B509" s="171">
        <v>27.27</v>
      </c>
      <c r="C509" s="171">
        <v>26.84</v>
      </c>
      <c r="D509" s="171">
        <v>27.53</v>
      </c>
      <c r="E509" s="171">
        <v>26.77</v>
      </c>
      <c r="F509" s="171" t="s">
        <v>2033</v>
      </c>
      <c r="G509" s="283">
        <v>9.1999999999999998E-3</v>
      </c>
      <c r="I509" s="167">
        <v>44747</v>
      </c>
      <c r="J509" s="285">
        <v>2553.9499999999998</v>
      </c>
      <c r="K509" s="285">
        <v>2569.2800000000002</v>
      </c>
      <c r="L509" s="285">
        <v>2571.5</v>
      </c>
      <c r="M509" s="285">
        <v>2512.0700000000002</v>
      </c>
      <c r="N509" s="283" t="s">
        <v>2032</v>
      </c>
      <c r="P509" s="167">
        <v>44740</v>
      </c>
      <c r="Q509" s="285">
        <v>5.2675000000000001</v>
      </c>
      <c r="R509" s="285">
        <v>5.2386999999999997</v>
      </c>
      <c r="S509" s="285">
        <v>5.2792000000000003</v>
      </c>
      <c r="T509" s="285">
        <v>5.1875999999999998</v>
      </c>
      <c r="U509" s="283">
        <v>5.8999999999999999E-3</v>
      </c>
      <c r="W509" s="167">
        <v>44713</v>
      </c>
      <c r="X509" s="287">
        <v>111360</v>
      </c>
      <c r="Y509" s="287">
        <v>111351</v>
      </c>
      <c r="Z509" s="287">
        <v>111931</v>
      </c>
      <c r="AA509" s="287">
        <v>110822</v>
      </c>
      <c r="AB509" s="283" t="s">
        <v>2031</v>
      </c>
      <c r="AC509" s="289">
        <v>1E-4</v>
      </c>
      <c r="AE509" s="167"/>
      <c r="AF509" s="285"/>
      <c r="AG509" s="285"/>
      <c r="AH509" s="285"/>
      <c r="AI509" s="285"/>
      <c r="AJ509" s="283"/>
    </row>
    <row r="510" spans="1:36" x14ac:dyDescent="0.3">
      <c r="A510" s="168">
        <v>44718</v>
      </c>
      <c r="B510" s="83">
        <v>27.02</v>
      </c>
      <c r="C510" s="83">
        <v>28.05</v>
      </c>
      <c r="D510" s="83">
        <v>28.19</v>
      </c>
      <c r="E510" s="83">
        <v>26.92</v>
      </c>
      <c r="F510" s="83" t="s">
        <v>1556</v>
      </c>
      <c r="G510" s="284">
        <v>-2.7E-2</v>
      </c>
      <c r="I510" s="168">
        <v>44746</v>
      </c>
      <c r="J510" s="286">
        <v>2567.87</v>
      </c>
      <c r="K510" s="286">
        <v>2564.4499999999998</v>
      </c>
      <c r="L510" s="286">
        <v>2571.94</v>
      </c>
      <c r="M510" s="286">
        <v>2563.86</v>
      </c>
      <c r="N510" s="284" t="s">
        <v>1569</v>
      </c>
      <c r="P510" s="168">
        <v>44739</v>
      </c>
      <c r="Q510" s="286">
        <v>5.2366000000000001</v>
      </c>
      <c r="R510" s="286">
        <v>5.2423000000000002</v>
      </c>
      <c r="S510" s="286">
        <v>5.2755000000000001</v>
      </c>
      <c r="T510" s="286">
        <v>5.2018000000000004</v>
      </c>
      <c r="U510" s="284">
        <v>-1E-3</v>
      </c>
      <c r="W510" s="168">
        <v>44712</v>
      </c>
      <c r="X510" s="288">
        <v>111351</v>
      </c>
      <c r="Y510" s="288">
        <v>111036</v>
      </c>
      <c r="Z510" s="288">
        <v>111903</v>
      </c>
      <c r="AA510" s="288">
        <v>110685</v>
      </c>
      <c r="AB510" s="284" t="s">
        <v>2030</v>
      </c>
      <c r="AC510" s="290">
        <v>2.8999999999999998E-3</v>
      </c>
      <c r="AE510" s="168"/>
      <c r="AF510" s="286"/>
      <c r="AG510" s="286"/>
      <c r="AH510" s="286"/>
      <c r="AI510" s="286"/>
      <c r="AJ510" s="284"/>
    </row>
    <row r="511" spans="1:36" x14ac:dyDescent="0.3">
      <c r="A511" s="167">
        <v>44715</v>
      </c>
      <c r="B511" s="171">
        <v>27.77</v>
      </c>
      <c r="C511" s="171">
        <v>28.6</v>
      </c>
      <c r="D511" s="171">
        <v>28.71</v>
      </c>
      <c r="E511" s="171">
        <v>27.75</v>
      </c>
      <c r="F511" s="171" t="s">
        <v>1628</v>
      </c>
      <c r="G511" s="283">
        <v>-3.1E-2</v>
      </c>
      <c r="I511" s="167">
        <v>44743</v>
      </c>
      <c r="J511" s="285">
        <v>2559.9499999999998</v>
      </c>
      <c r="K511" s="285">
        <v>2547.89</v>
      </c>
      <c r="L511" s="285">
        <v>2564.29</v>
      </c>
      <c r="M511" s="285">
        <v>2523.77</v>
      </c>
      <c r="N511" s="283" t="s">
        <v>1612</v>
      </c>
      <c r="P511" s="167">
        <v>44736</v>
      </c>
      <c r="Q511" s="285">
        <v>5.2416999999999998</v>
      </c>
      <c r="R511" s="285">
        <v>5.2393000000000001</v>
      </c>
      <c r="S511" s="285">
        <v>5.2763</v>
      </c>
      <c r="T511" s="285">
        <v>5.2027000000000001</v>
      </c>
      <c r="U511" s="283">
        <v>2.0000000000000001E-4</v>
      </c>
      <c r="W511" s="167">
        <v>44711</v>
      </c>
      <c r="X511" s="287">
        <v>111032</v>
      </c>
      <c r="Y511" s="287">
        <v>111944</v>
      </c>
      <c r="Z511" s="287">
        <v>112690</v>
      </c>
      <c r="AA511" s="287">
        <v>110655</v>
      </c>
      <c r="AB511" s="283" t="s">
        <v>1479</v>
      </c>
      <c r="AC511" s="289">
        <v>-8.0999999999999996E-3</v>
      </c>
      <c r="AE511" s="167"/>
      <c r="AF511" s="285"/>
      <c r="AG511" s="285"/>
      <c r="AH511" s="285"/>
      <c r="AI511" s="285"/>
      <c r="AJ511" s="283"/>
    </row>
    <row r="512" spans="1:36" x14ac:dyDescent="0.3">
      <c r="A512" s="168">
        <v>44714</v>
      </c>
      <c r="B512" s="83">
        <v>28.65</v>
      </c>
      <c r="C512" s="83">
        <v>27.85</v>
      </c>
      <c r="D512" s="83">
        <v>28.89</v>
      </c>
      <c r="E512" s="83">
        <v>27.79</v>
      </c>
      <c r="F512" s="83" t="s">
        <v>2029</v>
      </c>
      <c r="G512" s="284">
        <v>1.95E-2</v>
      </c>
      <c r="I512" s="168">
        <v>44742</v>
      </c>
      <c r="J512" s="286">
        <v>2546.19</v>
      </c>
      <c r="K512" s="286">
        <v>2573.0700000000002</v>
      </c>
      <c r="L512" s="286">
        <v>2573.0700000000002</v>
      </c>
      <c r="M512" s="286">
        <v>2519.0500000000002</v>
      </c>
      <c r="N512" s="284" t="s">
        <v>1864</v>
      </c>
      <c r="P512" s="168">
        <v>44735</v>
      </c>
      <c r="Q512" s="286">
        <v>5.2405999999999997</v>
      </c>
      <c r="R512" s="286">
        <v>5.1943999999999999</v>
      </c>
      <c r="S512" s="286">
        <v>5.2477</v>
      </c>
      <c r="T512" s="286">
        <v>5.1658999999999997</v>
      </c>
      <c r="U512" s="284">
        <v>8.9999999999999993E-3</v>
      </c>
      <c r="W512" s="168">
        <v>44708</v>
      </c>
      <c r="X512" s="288">
        <v>111942</v>
      </c>
      <c r="Y512" s="288">
        <v>111890</v>
      </c>
      <c r="Z512" s="288">
        <v>112441</v>
      </c>
      <c r="AA512" s="288">
        <v>111558</v>
      </c>
      <c r="AB512" s="284" t="s">
        <v>1468</v>
      </c>
      <c r="AC512" s="290">
        <v>5.0000000000000001E-4</v>
      </c>
      <c r="AE512" s="168"/>
      <c r="AF512" s="286"/>
      <c r="AG512" s="286"/>
      <c r="AH512" s="286"/>
      <c r="AI512" s="286"/>
      <c r="AJ512" s="284"/>
    </row>
    <row r="513" spans="1:36" x14ac:dyDescent="0.3">
      <c r="A513" s="167">
        <v>44713</v>
      </c>
      <c r="B513" s="171">
        <v>28.1</v>
      </c>
      <c r="C513" s="171">
        <v>27.87</v>
      </c>
      <c r="D513" s="171">
        <v>28.59</v>
      </c>
      <c r="E513" s="171">
        <v>27.6</v>
      </c>
      <c r="F513" s="171" t="s">
        <v>2028</v>
      </c>
      <c r="G513" s="283">
        <v>5.7000000000000002E-3</v>
      </c>
      <c r="I513" s="167">
        <v>44741</v>
      </c>
      <c r="J513" s="285">
        <v>2574.4499999999998</v>
      </c>
      <c r="K513" s="285">
        <v>2583.3000000000002</v>
      </c>
      <c r="L513" s="285">
        <v>2584.8200000000002</v>
      </c>
      <c r="M513" s="285">
        <v>2563.8000000000002</v>
      </c>
      <c r="N513" s="283" t="s">
        <v>1576</v>
      </c>
      <c r="P513" s="167">
        <v>44734</v>
      </c>
      <c r="Q513" s="285">
        <v>5.194</v>
      </c>
      <c r="R513" s="285">
        <v>5.1254999999999997</v>
      </c>
      <c r="S513" s="285">
        <v>5.1962000000000002</v>
      </c>
      <c r="T513" s="285">
        <v>5.1254999999999997</v>
      </c>
      <c r="U513" s="283">
        <v>1.3299999999999999E-2</v>
      </c>
      <c r="W513" s="167">
        <v>44707</v>
      </c>
      <c r="X513" s="287">
        <v>111890</v>
      </c>
      <c r="Y513" s="287">
        <v>110577</v>
      </c>
      <c r="Z513" s="287">
        <v>112102</v>
      </c>
      <c r="AA513" s="287">
        <v>110388</v>
      </c>
      <c r="AB513" s="283" t="s">
        <v>2027</v>
      </c>
      <c r="AC513" s="289">
        <v>1.18E-2</v>
      </c>
      <c r="AE513" s="167"/>
      <c r="AF513" s="285"/>
      <c r="AG513" s="285"/>
      <c r="AH513" s="285"/>
      <c r="AI513" s="285"/>
      <c r="AJ513" s="283"/>
    </row>
    <row r="514" spans="1:36" x14ac:dyDescent="0.3">
      <c r="A514" s="168">
        <v>44712</v>
      </c>
      <c r="B514" s="83">
        <v>27.95</v>
      </c>
      <c r="C514" s="83">
        <v>28.83</v>
      </c>
      <c r="D514" s="83">
        <v>29.06</v>
      </c>
      <c r="E514" s="83">
        <v>27.66</v>
      </c>
      <c r="F514" s="83" t="s">
        <v>2026</v>
      </c>
      <c r="G514" s="284">
        <v>-9.5999999999999992E-3</v>
      </c>
      <c r="I514" s="168">
        <v>44740</v>
      </c>
      <c r="J514" s="286">
        <v>2584.2600000000002</v>
      </c>
      <c r="K514" s="286">
        <v>2621.85</v>
      </c>
      <c r="L514" s="286">
        <v>2647.41</v>
      </c>
      <c r="M514" s="286">
        <v>2583.9699999999998</v>
      </c>
      <c r="N514" s="284" t="s">
        <v>2025</v>
      </c>
      <c r="P514" s="168">
        <v>44733</v>
      </c>
      <c r="Q514" s="286">
        <v>5.1257000000000001</v>
      </c>
      <c r="R514" s="286">
        <v>5.1905000000000001</v>
      </c>
      <c r="S514" s="286">
        <v>5.1909999999999998</v>
      </c>
      <c r="T514" s="286">
        <v>5.1166999999999998</v>
      </c>
      <c r="U514" s="284">
        <v>-1.2E-2</v>
      </c>
      <c r="W514" s="168">
        <v>44706</v>
      </c>
      <c r="X514" s="288">
        <v>110580</v>
      </c>
      <c r="Y514" s="288">
        <v>110580</v>
      </c>
      <c r="Z514" s="288">
        <v>111006</v>
      </c>
      <c r="AA514" s="288">
        <v>109699</v>
      </c>
      <c r="AB514" s="284" t="s">
        <v>1677</v>
      </c>
      <c r="AC514" s="290">
        <v>0</v>
      </c>
      <c r="AE514" s="168"/>
      <c r="AF514" s="286"/>
      <c r="AG514" s="286"/>
      <c r="AH514" s="286"/>
      <c r="AI514" s="286"/>
      <c r="AJ514" s="284"/>
    </row>
    <row r="515" spans="1:36" x14ac:dyDescent="0.3">
      <c r="A515" s="167">
        <v>44711</v>
      </c>
      <c r="B515" s="171">
        <v>28.21</v>
      </c>
      <c r="C515" s="171">
        <v>28.98</v>
      </c>
      <c r="D515" s="171">
        <v>29.43</v>
      </c>
      <c r="E515" s="171">
        <v>28.05</v>
      </c>
      <c r="F515" s="171" t="s">
        <v>2024</v>
      </c>
      <c r="G515" s="283">
        <v>-1.6E-2</v>
      </c>
      <c r="I515" s="167">
        <v>44739</v>
      </c>
      <c r="J515" s="285">
        <v>2623.2</v>
      </c>
      <c r="K515" s="285">
        <v>2621.68</v>
      </c>
      <c r="L515" s="285">
        <v>2635.83</v>
      </c>
      <c r="M515" s="285">
        <v>2614.4899999999998</v>
      </c>
      <c r="N515" s="283" t="s">
        <v>1701</v>
      </c>
      <c r="P515" s="167">
        <v>44732</v>
      </c>
      <c r="Q515" s="285">
        <v>5.1879999999999997</v>
      </c>
      <c r="R515" s="285">
        <v>5.1534000000000004</v>
      </c>
      <c r="S515" s="285">
        <v>5.1943999999999999</v>
      </c>
      <c r="T515" s="285">
        <v>5.1360999999999999</v>
      </c>
      <c r="U515" s="283">
        <v>7.0000000000000001E-3</v>
      </c>
      <c r="W515" s="167">
        <v>44705</v>
      </c>
      <c r="X515" s="287">
        <v>110581</v>
      </c>
      <c r="Y515" s="287">
        <v>110340</v>
      </c>
      <c r="Z515" s="287">
        <v>110635</v>
      </c>
      <c r="AA515" s="287">
        <v>108399</v>
      </c>
      <c r="AB515" s="283" t="s">
        <v>2023</v>
      </c>
      <c r="AC515" s="289">
        <v>2.0999999999999999E-3</v>
      </c>
      <c r="AE515" s="167"/>
      <c r="AF515" s="285"/>
      <c r="AG515" s="285"/>
      <c r="AH515" s="285"/>
      <c r="AI515" s="285"/>
      <c r="AJ515" s="283"/>
    </row>
    <row r="516" spans="1:36" x14ac:dyDescent="0.3">
      <c r="A516" s="168">
        <v>44708</v>
      </c>
      <c r="B516" s="83">
        <v>28.67</v>
      </c>
      <c r="C516" s="83">
        <v>27.81</v>
      </c>
      <c r="D516" s="83">
        <v>28.84</v>
      </c>
      <c r="E516" s="83">
        <v>27.81</v>
      </c>
      <c r="F516" s="83" t="s">
        <v>1941</v>
      </c>
      <c r="G516" s="284">
        <v>2.64E-2</v>
      </c>
      <c r="I516" s="168">
        <v>44736</v>
      </c>
      <c r="J516" s="286">
        <v>2619.48</v>
      </c>
      <c r="K516" s="286">
        <v>2547.5300000000002</v>
      </c>
      <c r="L516" s="286">
        <v>2620.3200000000002</v>
      </c>
      <c r="M516" s="286">
        <v>2546.08</v>
      </c>
      <c r="N516" s="284" t="s">
        <v>2022</v>
      </c>
      <c r="P516" s="168">
        <v>44729</v>
      </c>
      <c r="Q516" s="286">
        <v>5.1517999999999997</v>
      </c>
      <c r="R516" s="286">
        <v>5.0540000000000003</v>
      </c>
      <c r="S516" s="286">
        <v>5.1561000000000003</v>
      </c>
      <c r="T516" s="286">
        <v>5.0540000000000003</v>
      </c>
      <c r="U516" s="284">
        <v>1.95E-2</v>
      </c>
      <c r="W516" s="168">
        <v>44704</v>
      </c>
      <c r="X516" s="288">
        <v>110346</v>
      </c>
      <c r="Y516" s="288">
        <v>108500</v>
      </c>
      <c r="Z516" s="288">
        <v>110680</v>
      </c>
      <c r="AA516" s="288">
        <v>108500</v>
      </c>
      <c r="AB516" s="284" t="s">
        <v>1663</v>
      </c>
      <c r="AC516" s="290">
        <v>1.7100000000000001E-2</v>
      </c>
      <c r="AE516" s="168"/>
      <c r="AF516" s="286"/>
      <c r="AG516" s="286"/>
      <c r="AH516" s="286"/>
      <c r="AI516" s="286"/>
      <c r="AJ516" s="284"/>
    </row>
    <row r="517" spans="1:36" x14ac:dyDescent="0.3">
      <c r="A517" s="167">
        <v>44707</v>
      </c>
      <c r="B517" s="171">
        <v>27.94</v>
      </c>
      <c r="C517" s="171">
        <v>27.57</v>
      </c>
      <c r="D517" s="171">
        <v>28.44</v>
      </c>
      <c r="E517" s="171">
        <v>27.51</v>
      </c>
      <c r="F517" s="171" t="s">
        <v>2021</v>
      </c>
      <c r="G517" s="283">
        <v>1.8599999999999998E-2</v>
      </c>
      <c r="I517" s="167">
        <v>44735</v>
      </c>
      <c r="J517" s="285">
        <v>2549.0500000000002</v>
      </c>
      <c r="K517" s="285">
        <v>2534.7600000000002</v>
      </c>
      <c r="L517" s="285">
        <v>2551.4</v>
      </c>
      <c r="M517" s="285">
        <v>2522.0700000000002</v>
      </c>
      <c r="N517" s="283" t="s">
        <v>2020</v>
      </c>
      <c r="P517" s="167">
        <v>44728</v>
      </c>
      <c r="Q517" s="285">
        <v>5.0534999999999997</v>
      </c>
      <c r="R517" s="285">
        <v>5.0537999999999998</v>
      </c>
      <c r="S517" s="285">
        <v>5.0551000000000004</v>
      </c>
      <c r="T517" s="285">
        <v>5.0537999999999998</v>
      </c>
      <c r="U517" s="283">
        <v>0</v>
      </c>
      <c r="W517" s="167">
        <v>44701</v>
      </c>
      <c r="X517" s="287">
        <v>108488</v>
      </c>
      <c r="Y517" s="287">
        <v>107056</v>
      </c>
      <c r="Z517" s="287">
        <v>108795</v>
      </c>
      <c r="AA517" s="287">
        <v>107056</v>
      </c>
      <c r="AB517" s="283" t="s">
        <v>1698</v>
      </c>
      <c r="AC517" s="289">
        <v>1.3899999999999999E-2</v>
      </c>
      <c r="AE517" s="167"/>
      <c r="AF517" s="285"/>
      <c r="AG517" s="285"/>
      <c r="AH517" s="285"/>
      <c r="AI517" s="285"/>
      <c r="AJ517" s="283"/>
    </row>
    <row r="518" spans="1:36" x14ac:dyDescent="0.3">
      <c r="A518" s="168">
        <v>44706</v>
      </c>
      <c r="B518" s="83">
        <v>27.43</v>
      </c>
      <c r="C518" s="83">
        <v>27.06</v>
      </c>
      <c r="D518" s="83">
        <v>27.62</v>
      </c>
      <c r="E518" s="83">
        <v>26.88</v>
      </c>
      <c r="F518" s="83" t="s">
        <v>2019</v>
      </c>
      <c r="G518" s="284">
        <v>1.03E-2</v>
      </c>
      <c r="I518" s="168">
        <v>44734</v>
      </c>
      <c r="J518" s="286">
        <v>2537.2600000000002</v>
      </c>
      <c r="K518" s="286">
        <v>2542.7800000000002</v>
      </c>
      <c r="L518" s="286">
        <v>2556.34</v>
      </c>
      <c r="M518" s="286">
        <v>2512.7399999999998</v>
      </c>
      <c r="N518" s="284" t="s">
        <v>1467</v>
      </c>
      <c r="P518" s="168">
        <v>44727</v>
      </c>
      <c r="Q518" s="286">
        <v>5.0536000000000003</v>
      </c>
      <c r="R518" s="286">
        <v>5.1177999999999999</v>
      </c>
      <c r="S518" s="286">
        <v>5.1349999999999998</v>
      </c>
      <c r="T518" s="286">
        <v>5.0175999999999998</v>
      </c>
      <c r="U518" s="284">
        <v>-1.24E-2</v>
      </c>
      <c r="W518" s="168">
        <v>44700</v>
      </c>
      <c r="X518" s="288">
        <v>107005</v>
      </c>
      <c r="Y518" s="288">
        <v>106249</v>
      </c>
      <c r="Z518" s="288">
        <v>107420</v>
      </c>
      <c r="AA518" s="288">
        <v>105760</v>
      </c>
      <c r="AB518" s="284" t="s">
        <v>2018</v>
      </c>
      <c r="AC518" s="290">
        <v>7.1000000000000004E-3</v>
      </c>
      <c r="AE518" s="168"/>
      <c r="AF518" s="286"/>
      <c r="AG518" s="286"/>
      <c r="AH518" s="286"/>
      <c r="AI518" s="286"/>
      <c r="AJ518" s="284"/>
    </row>
    <row r="519" spans="1:36" x14ac:dyDescent="0.3">
      <c r="A519" s="167">
        <v>44705</v>
      </c>
      <c r="B519" s="171">
        <v>27.15</v>
      </c>
      <c r="C519" s="171">
        <v>25.8</v>
      </c>
      <c r="D519" s="171">
        <v>27.2</v>
      </c>
      <c r="E519" s="171">
        <v>25.67</v>
      </c>
      <c r="F519" s="171" t="s">
        <v>2017</v>
      </c>
      <c r="G519" s="283">
        <v>3.9E-2</v>
      </c>
      <c r="I519" s="167">
        <v>44733</v>
      </c>
      <c r="J519" s="285">
        <v>2543.36</v>
      </c>
      <c r="K519" s="285">
        <v>2495.73</v>
      </c>
      <c r="L519" s="285">
        <v>2551.17</v>
      </c>
      <c r="M519" s="285">
        <v>2495.65</v>
      </c>
      <c r="N519" s="283" t="s">
        <v>1943</v>
      </c>
      <c r="P519" s="167">
        <v>44726</v>
      </c>
      <c r="Q519" s="285">
        <v>5.1167999999999996</v>
      </c>
      <c r="R519" s="285">
        <v>5.1151</v>
      </c>
      <c r="S519" s="285">
        <v>5.1519000000000004</v>
      </c>
      <c r="T519" s="285">
        <v>5.0858999999999996</v>
      </c>
      <c r="U519" s="283">
        <v>2.9999999999999997E-4</v>
      </c>
      <c r="W519" s="167">
        <v>44699</v>
      </c>
      <c r="X519" s="287">
        <v>106247</v>
      </c>
      <c r="Y519" s="287">
        <v>108788</v>
      </c>
      <c r="Z519" s="287">
        <v>108923</v>
      </c>
      <c r="AA519" s="287">
        <v>106038</v>
      </c>
      <c r="AB519" s="283" t="s">
        <v>2016</v>
      </c>
      <c r="AC519" s="289">
        <v>-2.3400000000000001E-2</v>
      </c>
      <c r="AE519" s="167"/>
      <c r="AF519" s="285"/>
      <c r="AG519" s="285"/>
      <c r="AH519" s="285"/>
      <c r="AI519" s="285"/>
      <c r="AJ519" s="283"/>
    </row>
    <row r="520" spans="1:36" x14ac:dyDescent="0.3">
      <c r="A520" s="168">
        <v>44704</v>
      </c>
      <c r="B520" s="83">
        <v>26.13</v>
      </c>
      <c r="C520" s="83">
        <v>25.71</v>
      </c>
      <c r="D520" s="83">
        <v>26.34</v>
      </c>
      <c r="E520" s="83">
        <v>25.7</v>
      </c>
      <c r="F520" s="83" t="s">
        <v>2015</v>
      </c>
      <c r="G520" s="284">
        <v>2.7099999999999999E-2</v>
      </c>
      <c r="I520" s="168">
        <v>44732</v>
      </c>
      <c r="J520" s="286">
        <v>2494.9899999999998</v>
      </c>
      <c r="K520" s="286">
        <v>2488.6799999999998</v>
      </c>
      <c r="L520" s="286">
        <v>2494.9899999999998</v>
      </c>
      <c r="M520" s="286">
        <v>2485.84</v>
      </c>
      <c r="N520" s="284" t="s">
        <v>1588</v>
      </c>
      <c r="P520" s="168">
        <v>44725</v>
      </c>
      <c r="Q520" s="286">
        <v>5.1154000000000002</v>
      </c>
      <c r="R520" s="286">
        <v>4.9889999999999999</v>
      </c>
      <c r="S520" s="286">
        <v>5.1383000000000001</v>
      </c>
      <c r="T520" s="286">
        <v>4.9889999999999999</v>
      </c>
      <c r="U520" s="284">
        <v>2.58E-2</v>
      </c>
      <c r="W520" s="168">
        <v>44698</v>
      </c>
      <c r="X520" s="288">
        <v>108789</v>
      </c>
      <c r="Y520" s="288">
        <v>108246</v>
      </c>
      <c r="Z520" s="288">
        <v>109774</v>
      </c>
      <c r="AA520" s="288">
        <v>108245</v>
      </c>
      <c r="AB520" s="284" t="s">
        <v>2014</v>
      </c>
      <c r="AC520" s="290">
        <v>5.1000000000000004E-3</v>
      </c>
      <c r="AE520" s="168"/>
      <c r="AF520" s="286"/>
      <c r="AG520" s="286"/>
      <c r="AH520" s="286"/>
      <c r="AI520" s="286"/>
      <c r="AJ520" s="284"/>
    </row>
    <row r="521" spans="1:36" x14ac:dyDescent="0.3">
      <c r="A521" s="167">
        <v>44701</v>
      </c>
      <c r="B521" s="171">
        <v>25.44</v>
      </c>
      <c r="C521" s="171">
        <v>25.27</v>
      </c>
      <c r="D521" s="171">
        <v>25.71</v>
      </c>
      <c r="E521" s="171">
        <v>24.91</v>
      </c>
      <c r="F521" s="171" t="s">
        <v>2013</v>
      </c>
      <c r="G521" s="283">
        <v>2.4500000000000001E-2</v>
      </c>
      <c r="I521" s="167">
        <v>44729</v>
      </c>
      <c r="J521" s="285">
        <v>2485.77</v>
      </c>
      <c r="K521" s="285">
        <v>2492.6</v>
      </c>
      <c r="L521" s="285">
        <v>2507.66</v>
      </c>
      <c r="M521" s="285">
        <v>2467.27</v>
      </c>
      <c r="N521" s="283" t="s">
        <v>1390</v>
      </c>
      <c r="P521" s="167">
        <v>44722</v>
      </c>
      <c r="Q521" s="285">
        <v>4.9865000000000004</v>
      </c>
      <c r="R521" s="285">
        <v>4.9047999999999998</v>
      </c>
      <c r="S521" s="285">
        <v>5.0124000000000004</v>
      </c>
      <c r="T521" s="285">
        <v>4.8815</v>
      </c>
      <c r="U521" s="283">
        <v>1.6299999999999999E-2</v>
      </c>
      <c r="W521" s="167">
        <v>44697</v>
      </c>
      <c r="X521" s="287">
        <v>108233</v>
      </c>
      <c r="Y521" s="287">
        <v>106925</v>
      </c>
      <c r="Z521" s="287">
        <v>108795</v>
      </c>
      <c r="AA521" s="287">
        <v>106852</v>
      </c>
      <c r="AB521" s="283" t="s">
        <v>2012</v>
      </c>
      <c r="AC521" s="289">
        <v>1.2200000000000001E-2</v>
      </c>
      <c r="AE521" s="167"/>
      <c r="AF521" s="285"/>
      <c r="AG521" s="285"/>
      <c r="AH521" s="285"/>
      <c r="AI521" s="285"/>
      <c r="AJ521" s="283"/>
    </row>
    <row r="522" spans="1:36" x14ac:dyDescent="0.3">
      <c r="A522" s="168">
        <v>44700</v>
      </c>
      <c r="B522" s="83">
        <v>24.83</v>
      </c>
      <c r="C522" s="83">
        <v>24.91</v>
      </c>
      <c r="D522" s="83">
        <v>25.49</v>
      </c>
      <c r="E522" s="83">
        <v>24.3</v>
      </c>
      <c r="F522" s="83" t="s">
        <v>2011</v>
      </c>
      <c r="G522" s="284">
        <v>-1.23E-2</v>
      </c>
      <c r="I522" s="168">
        <v>44728</v>
      </c>
      <c r="J522" s="286">
        <v>2490.54</v>
      </c>
      <c r="K522" s="286">
        <v>2562.87</v>
      </c>
      <c r="L522" s="286">
        <v>2565.5</v>
      </c>
      <c r="M522" s="286">
        <v>2482.59</v>
      </c>
      <c r="N522" s="284" t="s">
        <v>2010</v>
      </c>
      <c r="P522" s="168">
        <v>44721</v>
      </c>
      <c r="Q522" s="286">
        <v>4.9062999999999999</v>
      </c>
      <c r="R522" s="286">
        <v>4.8997999999999999</v>
      </c>
      <c r="S522" s="286">
        <v>4.9207000000000001</v>
      </c>
      <c r="T522" s="286">
        <v>4.8647999999999998</v>
      </c>
      <c r="U522" s="284">
        <v>1.5E-3</v>
      </c>
      <c r="W522" s="168">
        <v>44694</v>
      </c>
      <c r="X522" s="288">
        <v>106924</v>
      </c>
      <c r="Y522" s="288">
        <v>105691</v>
      </c>
      <c r="Z522" s="288">
        <v>107773</v>
      </c>
      <c r="AA522" s="288">
        <v>105691</v>
      </c>
      <c r="AB522" s="284" t="s">
        <v>2009</v>
      </c>
      <c r="AC522" s="290">
        <v>1.17E-2</v>
      </c>
      <c r="AE522" s="168"/>
      <c r="AF522" s="286"/>
      <c r="AG522" s="286"/>
      <c r="AH522" s="286"/>
      <c r="AI522" s="286"/>
      <c r="AJ522" s="284"/>
    </row>
    <row r="523" spans="1:36" x14ac:dyDescent="0.3">
      <c r="A523" s="167">
        <v>44699</v>
      </c>
      <c r="B523" s="171">
        <v>25.14</v>
      </c>
      <c r="C523" s="171">
        <v>26.51</v>
      </c>
      <c r="D523" s="171">
        <v>26.82</v>
      </c>
      <c r="E523" s="171">
        <v>24.6</v>
      </c>
      <c r="F523" s="171" t="s">
        <v>2008</v>
      </c>
      <c r="G523" s="283">
        <v>-5.0500000000000003E-2</v>
      </c>
      <c r="I523" s="167">
        <v>44727</v>
      </c>
      <c r="J523" s="285">
        <v>2556.67</v>
      </c>
      <c r="K523" s="285">
        <v>2525.16</v>
      </c>
      <c r="L523" s="285">
        <v>2583.8000000000002</v>
      </c>
      <c r="M523" s="285">
        <v>2522.79</v>
      </c>
      <c r="N523" s="283" t="s">
        <v>2007</v>
      </c>
      <c r="P523" s="167">
        <v>44720</v>
      </c>
      <c r="Q523" s="285">
        <v>4.8987999999999996</v>
      </c>
      <c r="R523" s="285">
        <v>4.8712</v>
      </c>
      <c r="S523" s="285">
        <v>4.9081999999999999</v>
      </c>
      <c r="T523" s="285">
        <v>4.8449999999999998</v>
      </c>
      <c r="U523" s="283">
        <v>6.0000000000000001E-3</v>
      </c>
      <c r="W523" s="167">
        <v>44693</v>
      </c>
      <c r="X523" s="287">
        <v>105688</v>
      </c>
      <c r="Y523" s="287">
        <v>104395</v>
      </c>
      <c r="Z523" s="287">
        <v>105708</v>
      </c>
      <c r="AA523" s="287">
        <v>103579</v>
      </c>
      <c r="AB523" s="283" t="s">
        <v>2006</v>
      </c>
      <c r="AC523" s="289">
        <v>1.24E-2</v>
      </c>
      <c r="AE523" s="167"/>
      <c r="AF523" s="285"/>
      <c r="AG523" s="285"/>
      <c r="AH523" s="285"/>
      <c r="AI523" s="285"/>
      <c r="AJ523" s="283"/>
    </row>
    <row r="524" spans="1:36" x14ac:dyDescent="0.3">
      <c r="A524" s="168">
        <v>44698</v>
      </c>
      <c r="B524" s="83">
        <v>26.48</v>
      </c>
      <c r="C524" s="83">
        <v>27.42</v>
      </c>
      <c r="D524" s="83">
        <v>27.57</v>
      </c>
      <c r="E524" s="83">
        <v>26.24</v>
      </c>
      <c r="F524" s="83" t="s">
        <v>1741</v>
      </c>
      <c r="G524" s="284">
        <v>-0.02</v>
      </c>
      <c r="I524" s="168">
        <v>44726</v>
      </c>
      <c r="J524" s="286">
        <v>2525.88</v>
      </c>
      <c r="K524" s="286">
        <v>2542.35</v>
      </c>
      <c r="L524" s="286">
        <v>2553.5</v>
      </c>
      <c r="M524" s="286">
        <v>2508.9699999999998</v>
      </c>
      <c r="N524" s="284" t="s">
        <v>1726</v>
      </c>
      <c r="P524" s="168">
        <v>44719</v>
      </c>
      <c r="Q524" s="286">
        <v>4.8696000000000002</v>
      </c>
      <c r="R524" s="286">
        <v>4.7957999999999998</v>
      </c>
      <c r="S524" s="286">
        <v>4.9352</v>
      </c>
      <c r="T524" s="286">
        <v>4.7912999999999997</v>
      </c>
      <c r="U524" s="284">
        <v>1.5699999999999999E-2</v>
      </c>
      <c r="W524" s="168">
        <v>44692</v>
      </c>
      <c r="X524" s="288">
        <v>104397</v>
      </c>
      <c r="Y524" s="288">
        <v>103110</v>
      </c>
      <c r="Z524" s="288">
        <v>105374</v>
      </c>
      <c r="AA524" s="288">
        <v>103008</v>
      </c>
      <c r="AB524" s="284" t="s">
        <v>2005</v>
      </c>
      <c r="AC524" s="290">
        <v>1.2500000000000001E-2</v>
      </c>
      <c r="AE524" s="168"/>
      <c r="AF524" s="286"/>
      <c r="AG524" s="286"/>
      <c r="AH524" s="286"/>
      <c r="AI524" s="286"/>
      <c r="AJ524" s="284"/>
    </row>
    <row r="525" spans="1:36" x14ac:dyDescent="0.3">
      <c r="A525" s="167">
        <v>44697</v>
      </c>
      <c r="B525" s="171">
        <v>27.02</v>
      </c>
      <c r="C525" s="171">
        <v>27.07</v>
      </c>
      <c r="D525" s="171">
        <v>27.26</v>
      </c>
      <c r="E525" s="171">
        <v>26.79</v>
      </c>
      <c r="F525" s="171" t="s">
        <v>2004</v>
      </c>
      <c r="G525" s="283">
        <v>-1.1000000000000001E-3</v>
      </c>
      <c r="I525" s="167">
        <v>44725</v>
      </c>
      <c r="J525" s="285">
        <v>2545.04</v>
      </c>
      <c r="K525" s="285">
        <v>2637.82</v>
      </c>
      <c r="L525" s="285">
        <v>2637.89</v>
      </c>
      <c r="M525" s="285">
        <v>2536.34</v>
      </c>
      <c r="N525" s="283" t="s">
        <v>2003</v>
      </c>
      <c r="P525" s="167">
        <v>44718</v>
      </c>
      <c r="Q525" s="285">
        <v>4.7945000000000002</v>
      </c>
      <c r="R525" s="285">
        <v>4.7765000000000004</v>
      </c>
      <c r="S525" s="285">
        <v>4.8072999999999997</v>
      </c>
      <c r="T525" s="285">
        <v>4.7466999999999997</v>
      </c>
      <c r="U525" s="283">
        <v>4.4000000000000003E-3</v>
      </c>
      <c r="W525" s="167">
        <v>44691</v>
      </c>
      <c r="X525" s="287">
        <v>103110</v>
      </c>
      <c r="Y525" s="287">
        <v>103251</v>
      </c>
      <c r="Z525" s="287">
        <v>104286</v>
      </c>
      <c r="AA525" s="287">
        <v>102386</v>
      </c>
      <c r="AB525" s="283" t="s">
        <v>2002</v>
      </c>
      <c r="AC525" s="289">
        <v>-1.4E-3</v>
      </c>
      <c r="AE525" s="167"/>
      <c r="AF525" s="285"/>
      <c r="AG525" s="285"/>
      <c r="AH525" s="285"/>
      <c r="AI525" s="285"/>
      <c r="AJ525" s="283"/>
    </row>
    <row r="526" spans="1:36" x14ac:dyDescent="0.3">
      <c r="A526" s="168">
        <v>44694</v>
      </c>
      <c r="B526" s="83">
        <v>27.05</v>
      </c>
      <c r="C526" s="83">
        <v>26.66</v>
      </c>
      <c r="D526" s="83">
        <v>27.64</v>
      </c>
      <c r="E526" s="83">
        <v>26.31</v>
      </c>
      <c r="F526" s="83" t="s">
        <v>2001</v>
      </c>
      <c r="G526" s="284">
        <v>3.6299999999999999E-2</v>
      </c>
      <c r="I526" s="168">
        <v>44722</v>
      </c>
      <c r="J526" s="286">
        <v>2641.69</v>
      </c>
      <c r="K526" s="286">
        <v>2717.92</v>
      </c>
      <c r="L526" s="286">
        <v>2718.84</v>
      </c>
      <c r="M526" s="286">
        <v>2639.9</v>
      </c>
      <c r="N526" s="284" t="s">
        <v>2000</v>
      </c>
      <c r="P526" s="168">
        <v>44715</v>
      </c>
      <c r="Q526" s="286">
        <v>4.7733999999999996</v>
      </c>
      <c r="R526" s="286">
        <v>4.7969999999999997</v>
      </c>
      <c r="S526" s="286">
        <v>4.8320999999999996</v>
      </c>
      <c r="T526" s="286">
        <v>4.7714999999999996</v>
      </c>
      <c r="U526" s="284">
        <v>-4.7999999999999996E-3</v>
      </c>
      <c r="W526" s="168">
        <v>44690</v>
      </c>
      <c r="X526" s="288">
        <v>103250</v>
      </c>
      <c r="Y526" s="288">
        <v>105109</v>
      </c>
      <c r="Z526" s="288">
        <v>105109</v>
      </c>
      <c r="AA526" s="288">
        <v>102768</v>
      </c>
      <c r="AB526" s="284" t="s">
        <v>1999</v>
      </c>
      <c r="AC526" s="290">
        <v>-1.7899999999999999E-2</v>
      </c>
      <c r="AE526" s="168"/>
      <c r="AF526" s="286"/>
      <c r="AG526" s="286"/>
      <c r="AH526" s="286"/>
      <c r="AI526" s="286"/>
      <c r="AJ526" s="284"/>
    </row>
    <row r="527" spans="1:36" x14ac:dyDescent="0.3">
      <c r="A527" s="167">
        <v>44693</v>
      </c>
      <c r="B527" s="171">
        <v>26.1</v>
      </c>
      <c r="C527" s="171">
        <v>25.07</v>
      </c>
      <c r="D527" s="171">
        <v>26.16</v>
      </c>
      <c r="E527" s="171">
        <v>24.78</v>
      </c>
      <c r="F527" s="171" t="s">
        <v>1998</v>
      </c>
      <c r="G527" s="283">
        <v>2.5499999999999998E-2</v>
      </c>
      <c r="I527" s="167">
        <v>44721</v>
      </c>
      <c r="J527" s="285">
        <v>2721.85</v>
      </c>
      <c r="K527" s="285">
        <v>2780.98</v>
      </c>
      <c r="L527" s="285">
        <v>2782.5</v>
      </c>
      <c r="M527" s="285">
        <v>2719.02</v>
      </c>
      <c r="N527" s="283" t="s">
        <v>1997</v>
      </c>
      <c r="P527" s="167">
        <v>44714</v>
      </c>
      <c r="Q527" s="285">
        <v>4.7961999999999998</v>
      </c>
      <c r="R527" s="285">
        <v>4.8169000000000004</v>
      </c>
      <c r="S527" s="285">
        <v>4.8169000000000004</v>
      </c>
      <c r="T527" s="285">
        <v>4.7709999999999999</v>
      </c>
      <c r="U527" s="283">
        <v>-3.8999999999999998E-3</v>
      </c>
      <c r="W527" s="167">
        <v>44687</v>
      </c>
      <c r="X527" s="287">
        <v>105135</v>
      </c>
      <c r="Y527" s="287">
        <v>105303</v>
      </c>
      <c r="Z527" s="287">
        <v>106268</v>
      </c>
      <c r="AA527" s="287">
        <v>103984</v>
      </c>
      <c r="AB527" s="283" t="s">
        <v>1996</v>
      </c>
      <c r="AC527" s="289">
        <v>-1.6000000000000001E-3</v>
      </c>
      <c r="AE527" s="167"/>
      <c r="AF527" s="285"/>
      <c r="AG527" s="285"/>
      <c r="AH527" s="285"/>
      <c r="AI527" s="285"/>
      <c r="AJ527" s="283"/>
    </row>
    <row r="528" spans="1:36" x14ac:dyDescent="0.3">
      <c r="A528" s="168">
        <v>44692</v>
      </c>
      <c r="B528" s="83">
        <v>25.45</v>
      </c>
      <c r="C528" s="83">
        <v>24.89</v>
      </c>
      <c r="D528" s="83">
        <v>26.01</v>
      </c>
      <c r="E528" s="83">
        <v>24.86</v>
      </c>
      <c r="F528" s="83" t="s">
        <v>1995</v>
      </c>
      <c r="G528" s="284">
        <v>5.0299999999999997E-2</v>
      </c>
      <c r="I528" s="168">
        <v>44720</v>
      </c>
      <c r="J528" s="286">
        <v>2783.29</v>
      </c>
      <c r="K528" s="286">
        <v>2805.83</v>
      </c>
      <c r="L528" s="286">
        <v>2807.15</v>
      </c>
      <c r="M528" s="286">
        <v>2777.46</v>
      </c>
      <c r="N528" s="284" t="s">
        <v>1715</v>
      </c>
      <c r="P528" s="168">
        <v>44713</v>
      </c>
      <c r="Q528" s="286">
        <v>4.8151000000000002</v>
      </c>
      <c r="R528" s="286">
        <v>4.7319000000000004</v>
      </c>
      <c r="S528" s="286">
        <v>4.8179999999999996</v>
      </c>
      <c r="T528" s="286">
        <v>4.7218</v>
      </c>
      <c r="U528" s="284">
        <v>1.77E-2</v>
      </c>
      <c r="W528" s="168">
        <v>44686</v>
      </c>
      <c r="X528" s="288">
        <v>105304</v>
      </c>
      <c r="Y528" s="288">
        <v>108337</v>
      </c>
      <c r="Z528" s="288">
        <v>108337</v>
      </c>
      <c r="AA528" s="288">
        <v>103923</v>
      </c>
      <c r="AB528" s="284" t="s">
        <v>1994</v>
      </c>
      <c r="AC528" s="290">
        <v>-2.81E-2</v>
      </c>
      <c r="AE528" s="168"/>
      <c r="AF528" s="286"/>
      <c r="AG528" s="286"/>
      <c r="AH528" s="286"/>
      <c r="AI528" s="286"/>
      <c r="AJ528" s="284"/>
    </row>
    <row r="529" spans="1:36" x14ac:dyDescent="0.3">
      <c r="A529" s="167">
        <v>44691</v>
      </c>
      <c r="B529" s="171">
        <v>24.23</v>
      </c>
      <c r="C529" s="171">
        <v>24.41</v>
      </c>
      <c r="D529" s="171">
        <v>24.88</v>
      </c>
      <c r="E529" s="171">
        <v>24.12</v>
      </c>
      <c r="F529" s="171" t="s">
        <v>1993</v>
      </c>
      <c r="G529" s="283">
        <v>2.0999999999999999E-3</v>
      </c>
      <c r="I529" s="167">
        <v>44719</v>
      </c>
      <c r="J529" s="285">
        <v>2805.32</v>
      </c>
      <c r="K529" s="285">
        <v>2787.13</v>
      </c>
      <c r="L529" s="285">
        <v>2807.39</v>
      </c>
      <c r="M529" s="285">
        <v>2761.04</v>
      </c>
      <c r="N529" s="283" t="s">
        <v>1992</v>
      </c>
      <c r="P529" s="167">
        <v>44712</v>
      </c>
      <c r="Q529" s="285">
        <v>4.7314999999999996</v>
      </c>
      <c r="R529" s="285">
        <v>4.7538</v>
      </c>
      <c r="S529" s="285">
        <v>4.7793000000000001</v>
      </c>
      <c r="T529" s="285">
        <v>4.6974999999999998</v>
      </c>
      <c r="U529" s="283">
        <v>-4.4000000000000003E-3</v>
      </c>
      <c r="W529" s="167">
        <v>44685</v>
      </c>
      <c r="X529" s="287">
        <v>108344</v>
      </c>
      <c r="Y529" s="287">
        <v>106529</v>
      </c>
      <c r="Z529" s="287">
        <v>108382</v>
      </c>
      <c r="AA529" s="287">
        <v>104933</v>
      </c>
      <c r="AB529" s="283" t="s">
        <v>1991</v>
      </c>
      <c r="AC529" s="289">
        <v>1.7000000000000001E-2</v>
      </c>
      <c r="AE529" s="167"/>
      <c r="AF529" s="285"/>
      <c r="AG529" s="285"/>
      <c r="AH529" s="285"/>
      <c r="AI529" s="285"/>
      <c r="AJ529" s="283"/>
    </row>
    <row r="530" spans="1:36" x14ac:dyDescent="0.3">
      <c r="A530" s="168">
        <v>44690</v>
      </c>
      <c r="B530" s="83">
        <v>24.18</v>
      </c>
      <c r="C530" s="83">
        <v>25.84</v>
      </c>
      <c r="D530" s="83">
        <v>26.35</v>
      </c>
      <c r="E530" s="83">
        <v>24.07</v>
      </c>
      <c r="F530" s="83" t="s">
        <v>1990</v>
      </c>
      <c r="G530" s="284">
        <v>-8.5999999999999993E-2</v>
      </c>
      <c r="I530" s="168">
        <v>44718</v>
      </c>
      <c r="J530" s="286">
        <v>2789.83</v>
      </c>
      <c r="K530" s="286">
        <v>2777.43</v>
      </c>
      <c r="L530" s="286">
        <v>2814.04</v>
      </c>
      <c r="M530" s="286">
        <v>2777.06</v>
      </c>
      <c r="N530" s="284" t="s">
        <v>1330</v>
      </c>
      <c r="P530" s="168">
        <v>44711</v>
      </c>
      <c r="Q530" s="286">
        <v>4.7526000000000002</v>
      </c>
      <c r="R530" s="286">
        <v>4.7310999999999996</v>
      </c>
      <c r="S530" s="286">
        <v>4.7568000000000001</v>
      </c>
      <c r="T530" s="286">
        <v>4.6904000000000003</v>
      </c>
      <c r="U530" s="284">
        <v>4.8999999999999998E-3</v>
      </c>
      <c r="W530" s="168">
        <v>44684</v>
      </c>
      <c r="X530" s="288">
        <v>106528</v>
      </c>
      <c r="Y530" s="288">
        <v>106640</v>
      </c>
      <c r="Z530" s="288">
        <v>107127</v>
      </c>
      <c r="AA530" s="288">
        <v>106033</v>
      </c>
      <c r="AB530" s="284" t="s">
        <v>1989</v>
      </c>
      <c r="AC530" s="290">
        <v>-1E-3</v>
      </c>
      <c r="AE530" s="168"/>
      <c r="AF530" s="286"/>
      <c r="AG530" s="286"/>
      <c r="AH530" s="286"/>
      <c r="AI530" s="286"/>
      <c r="AJ530" s="284"/>
    </row>
    <row r="531" spans="1:36" x14ac:dyDescent="0.3">
      <c r="A531" s="167">
        <v>44687</v>
      </c>
      <c r="B531" s="171">
        <v>26.46</v>
      </c>
      <c r="C531" s="171">
        <v>26.36</v>
      </c>
      <c r="D531" s="171">
        <v>26.91</v>
      </c>
      <c r="E531" s="171">
        <v>26.15</v>
      </c>
      <c r="F531" s="171" t="s">
        <v>1988</v>
      </c>
      <c r="G531" s="283">
        <v>-1.9E-3</v>
      </c>
      <c r="I531" s="167">
        <v>44715</v>
      </c>
      <c r="J531" s="285">
        <v>2779.06</v>
      </c>
      <c r="K531" s="285">
        <v>2817.28</v>
      </c>
      <c r="L531" s="285">
        <v>2819.58</v>
      </c>
      <c r="M531" s="285">
        <v>2774.26</v>
      </c>
      <c r="N531" s="283" t="s">
        <v>1987</v>
      </c>
      <c r="P531" s="167">
        <v>44708</v>
      </c>
      <c r="Q531" s="285">
        <v>4.7294999999999998</v>
      </c>
      <c r="R531" s="285">
        <v>4.7699999999999996</v>
      </c>
      <c r="S531" s="285">
        <v>4.7817999999999996</v>
      </c>
      <c r="T531" s="285">
        <v>4.7146999999999997</v>
      </c>
      <c r="U531" s="283">
        <v>-8.0000000000000002E-3</v>
      </c>
      <c r="W531" s="167">
        <v>44683</v>
      </c>
      <c r="X531" s="287">
        <v>106639</v>
      </c>
      <c r="Y531" s="287">
        <v>107876</v>
      </c>
      <c r="Z531" s="287">
        <v>107884</v>
      </c>
      <c r="AA531" s="287">
        <v>105218</v>
      </c>
      <c r="AB531" s="283" t="s">
        <v>1986</v>
      </c>
      <c r="AC531" s="289">
        <v>-1.15E-2</v>
      </c>
      <c r="AE531" s="167"/>
      <c r="AF531" s="285"/>
      <c r="AG531" s="285"/>
      <c r="AH531" s="285"/>
      <c r="AI531" s="285"/>
      <c r="AJ531" s="283"/>
    </row>
    <row r="532" spans="1:36" x14ac:dyDescent="0.3">
      <c r="A532" s="168">
        <v>44686</v>
      </c>
      <c r="B532" s="83">
        <v>26.51</v>
      </c>
      <c r="C532" s="83">
        <v>27.55</v>
      </c>
      <c r="D532" s="83">
        <v>27.73</v>
      </c>
      <c r="E532" s="83">
        <v>26.21</v>
      </c>
      <c r="F532" s="83" t="s">
        <v>1985</v>
      </c>
      <c r="G532" s="284">
        <v>-2.8500000000000001E-2</v>
      </c>
      <c r="I532" s="168">
        <v>44714</v>
      </c>
      <c r="J532" s="286">
        <v>2814.03</v>
      </c>
      <c r="K532" s="286">
        <v>2768.53</v>
      </c>
      <c r="L532" s="286">
        <v>2816.19</v>
      </c>
      <c r="M532" s="286">
        <v>2762.04</v>
      </c>
      <c r="N532" s="284" t="s">
        <v>1984</v>
      </c>
      <c r="P532" s="168">
        <v>44707</v>
      </c>
      <c r="Q532" s="286">
        <v>4.7676999999999996</v>
      </c>
      <c r="R532" s="286">
        <v>4.8259999999999996</v>
      </c>
      <c r="S532" s="286">
        <v>4.8441999999999998</v>
      </c>
      <c r="T532" s="286">
        <v>4.7500999999999998</v>
      </c>
      <c r="U532" s="284">
        <v>-1.24E-2</v>
      </c>
      <c r="W532" s="168">
        <v>44680</v>
      </c>
      <c r="X532" s="288">
        <v>107876</v>
      </c>
      <c r="Y532" s="288">
        <v>109922</v>
      </c>
      <c r="Z532" s="288">
        <v>111819</v>
      </c>
      <c r="AA532" s="288">
        <v>107876</v>
      </c>
      <c r="AB532" s="284" t="s">
        <v>1983</v>
      </c>
      <c r="AC532" s="290">
        <v>-1.8599999999999998E-2</v>
      </c>
      <c r="AE532" s="168"/>
      <c r="AF532" s="286"/>
      <c r="AG532" s="286"/>
      <c r="AH532" s="286"/>
      <c r="AI532" s="286"/>
      <c r="AJ532" s="284"/>
    </row>
    <row r="533" spans="1:36" x14ac:dyDescent="0.3">
      <c r="A533" s="167">
        <v>44685</v>
      </c>
      <c r="B533" s="171">
        <v>27.29</v>
      </c>
      <c r="C533" s="171">
        <v>26.07</v>
      </c>
      <c r="D533" s="171">
        <v>27.45</v>
      </c>
      <c r="E533" s="171">
        <v>25.87</v>
      </c>
      <c r="F533" s="171" t="s">
        <v>1982</v>
      </c>
      <c r="G533" s="283">
        <v>5.8099999999999999E-2</v>
      </c>
      <c r="I533" s="167">
        <v>44713</v>
      </c>
      <c r="J533" s="285">
        <v>2770.43</v>
      </c>
      <c r="K533" s="285">
        <v>2792.01</v>
      </c>
      <c r="L533" s="285">
        <v>2811.96</v>
      </c>
      <c r="M533" s="285">
        <v>2755.43</v>
      </c>
      <c r="N533" s="283" t="s">
        <v>1196</v>
      </c>
      <c r="P533" s="167">
        <v>44706</v>
      </c>
      <c r="Q533" s="285">
        <v>4.8274999999999997</v>
      </c>
      <c r="R533" s="285">
        <v>4.819</v>
      </c>
      <c r="S533" s="285">
        <v>4.8643999999999998</v>
      </c>
      <c r="T533" s="285">
        <v>4.8047000000000004</v>
      </c>
      <c r="U533" s="283">
        <v>1.6999999999999999E-3</v>
      </c>
      <c r="W533" s="167">
        <v>44679</v>
      </c>
      <c r="X533" s="287">
        <v>109919</v>
      </c>
      <c r="Y533" s="287">
        <v>109349</v>
      </c>
      <c r="Z533" s="287">
        <v>110702</v>
      </c>
      <c r="AA533" s="287">
        <v>108905</v>
      </c>
      <c r="AB533" s="283" t="s">
        <v>1782</v>
      </c>
      <c r="AC533" s="289">
        <v>5.1999999999999998E-3</v>
      </c>
      <c r="AE533" s="167"/>
      <c r="AF533" s="285"/>
      <c r="AG533" s="285"/>
      <c r="AH533" s="285"/>
      <c r="AI533" s="285"/>
      <c r="AJ533" s="283"/>
    </row>
    <row r="534" spans="1:36" x14ac:dyDescent="0.3">
      <c r="A534" s="168">
        <v>44684</v>
      </c>
      <c r="B534" s="83">
        <v>25.79</v>
      </c>
      <c r="C534" s="83">
        <v>25.09</v>
      </c>
      <c r="D534" s="83">
        <v>25.85</v>
      </c>
      <c r="E534" s="83">
        <v>24.61</v>
      </c>
      <c r="F534" s="83" t="s">
        <v>1765</v>
      </c>
      <c r="G534" s="284">
        <v>2.7E-2</v>
      </c>
      <c r="I534" s="168">
        <v>44712</v>
      </c>
      <c r="J534" s="286">
        <v>2791.01</v>
      </c>
      <c r="K534" s="286">
        <v>2813.75</v>
      </c>
      <c r="L534" s="286">
        <v>2814.42</v>
      </c>
      <c r="M534" s="286">
        <v>2777.52</v>
      </c>
      <c r="N534" s="284" t="s">
        <v>1201</v>
      </c>
      <c r="P534" s="168">
        <v>44705</v>
      </c>
      <c r="Q534" s="286">
        <v>4.8190999999999997</v>
      </c>
      <c r="R534" s="286">
        <v>4.8125</v>
      </c>
      <c r="S534" s="286">
        <v>4.8548</v>
      </c>
      <c r="T534" s="286">
        <v>4.7750000000000004</v>
      </c>
      <c r="U534" s="284">
        <v>1.2999999999999999E-3</v>
      </c>
      <c r="W534" s="168">
        <v>44678</v>
      </c>
      <c r="X534" s="288">
        <v>109349</v>
      </c>
      <c r="Y534" s="288">
        <v>108214</v>
      </c>
      <c r="Z534" s="288">
        <v>110107</v>
      </c>
      <c r="AA534" s="288">
        <v>108214</v>
      </c>
      <c r="AB534" s="284" t="s">
        <v>1956</v>
      </c>
      <c r="AC534" s="290">
        <v>1.0500000000000001E-2</v>
      </c>
      <c r="AE534" s="168"/>
      <c r="AF534" s="286"/>
      <c r="AG534" s="286"/>
      <c r="AH534" s="286"/>
      <c r="AI534" s="286"/>
      <c r="AJ534" s="284"/>
    </row>
    <row r="535" spans="1:36" x14ac:dyDescent="0.3">
      <c r="A535" s="167">
        <v>44683</v>
      </c>
      <c r="B535" s="171">
        <v>25.11</v>
      </c>
      <c r="C535" s="171">
        <v>26.36</v>
      </c>
      <c r="D535" s="171">
        <v>26.62</v>
      </c>
      <c r="E535" s="171">
        <v>24.88</v>
      </c>
      <c r="F535" s="171" t="s">
        <v>1981</v>
      </c>
      <c r="G535" s="283">
        <v>-5.8099999999999999E-2</v>
      </c>
      <c r="I535" s="167">
        <v>44711</v>
      </c>
      <c r="J535" s="285">
        <v>2814.74</v>
      </c>
      <c r="K535" s="285">
        <v>2805.03</v>
      </c>
      <c r="L535" s="285">
        <v>2815.37</v>
      </c>
      <c r="M535" s="285">
        <v>2804.98</v>
      </c>
      <c r="N535" s="283" t="s">
        <v>1980</v>
      </c>
      <c r="P535" s="167">
        <v>44704</v>
      </c>
      <c r="Q535" s="285">
        <v>4.8129999999999997</v>
      </c>
      <c r="R535" s="285">
        <v>4.8796999999999997</v>
      </c>
      <c r="S535" s="285">
        <v>4.8796999999999997</v>
      </c>
      <c r="T535" s="285">
        <v>4.7847</v>
      </c>
      <c r="U535" s="283">
        <v>-1.35E-2</v>
      </c>
      <c r="W535" s="167">
        <v>44677</v>
      </c>
      <c r="X535" s="287">
        <v>108213</v>
      </c>
      <c r="Y535" s="287">
        <v>110684</v>
      </c>
      <c r="Z535" s="287">
        <v>110685</v>
      </c>
      <c r="AA535" s="287">
        <v>107978</v>
      </c>
      <c r="AB535" s="283" t="s">
        <v>1617</v>
      </c>
      <c r="AC535" s="289">
        <v>-2.23E-2</v>
      </c>
      <c r="AE535" s="167"/>
      <c r="AF535" s="285"/>
      <c r="AG535" s="285"/>
      <c r="AH535" s="285"/>
      <c r="AI535" s="285"/>
      <c r="AJ535" s="283"/>
    </row>
    <row r="536" spans="1:36" x14ac:dyDescent="0.3">
      <c r="A536" s="168">
        <v>44680</v>
      </c>
      <c r="B536" s="83">
        <v>26.66</v>
      </c>
      <c r="C536" s="83">
        <v>26.51</v>
      </c>
      <c r="D536" s="83">
        <v>28.05</v>
      </c>
      <c r="E536" s="83">
        <v>26.49</v>
      </c>
      <c r="F536" s="83" t="s">
        <v>1979</v>
      </c>
      <c r="G536" s="284">
        <v>1.6E-2</v>
      </c>
      <c r="I536" s="168">
        <v>44708</v>
      </c>
      <c r="J536" s="286">
        <v>2802.59</v>
      </c>
      <c r="K536" s="286">
        <v>2746.84</v>
      </c>
      <c r="L536" s="286">
        <v>2803.81</v>
      </c>
      <c r="M536" s="286">
        <v>2746.84</v>
      </c>
      <c r="N536" s="284" t="s">
        <v>1721</v>
      </c>
      <c r="P536" s="168">
        <v>44701</v>
      </c>
      <c r="Q536" s="286">
        <v>4.8788</v>
      </c>
      <c r="R536" s="286">
        <v>4.9314</v>
      </c>
      <c r="S536" s="286">
        <v>4.9314</v>
      </c>
      <c r="T536" s="286">
        <v>4.8518999999999997</v>
      </c>
      <c r="U536" s="284">
        <v>-1.06E-2</v>
      </c>
      <c r="W536" s="168">
        <v>44676</v>
      </c>
      <c r="X536" s="288">
        <v>110685</v>
      </c>
      <c r="Y536" s="288">
        <v>111077</v>
      </c>
      <c r="Z536" s="288">
        <v>111155</v>
      </c>
      <c r="AA536" s="288">
        <v>109222</v>
      </c>
      <c r="AB536" s="284" t="s">
        <v>1762</v>
      </c>
      <c r="AC536" s="290">
        <v>-3.5000000000000001E-3</v>
      </c>
      <c r="AE536" s="168"/>
      <c r="AF536" s="286"/>
      <c r="AG536" s="286"/>
      <c r="AH536" s="286"/>
      <c r="AI536" s="286"/>
      <c r="AJ536" s="284"/>
    </row>
    <row r="537" spans="1:36" x14ac:dyDescent="0.3">
      <c r="A537" s="167">
        <v>44679</v>
      </c>
      <c r="B537" s="171">
        <v>26.24</v>
      </c>
      <c r="C537" s="171">
        <v>26.45</v>
      </c>
      <c r="D537" s="171">
        <v>26.55</v>
      </c>
      <c r="E537" s="171">
        <v>24.51</v>
      </c>
      <c r="F537" s="171" t="s">
        <v>1978</v>
      </c>
      <c r="G537" s="283">
        <v>2.7E-2</v>
      </c>
      <c r="I537" s="167">
        <v>44707</v>
      </c>
      <c r="J537" s="285">
        <v>2743.96</v>
      </c>
      <c r="K537" s="285">
        <v>2701.55</v>
      </c>
      <c r="L537" s="285">
        <v>2752.15</v>
      </c>
      <c r="M537" s="285">
        <v>2698.99</v>
      </c>
      <c r="N537" s="283" t="s">
        <v>1977</v>
      </c>
      <c r="P537" s="167">
        <v>44700</v>
      </c>
      <c r="Q537" s="285">
        <v>4.9309000000000003</v>
      </c>
      <c r="R537" s="285">
        <v>4.9687999999999999</v>
      </c>
      <c r="S537" s="285">
        <v>4.9694000000000003</v>
      </c>
      <c r="T537" s="285">
        <v>4.8789999999999996</v>
      </c>
      <c r="U537" s="283">
        <v>-7.4999999999999997E-3</v>
      </c>
      <c r="W537" s="167">
        <v>44673</v>
      </c>
      <c r="X537" s="287">
        <v>111078</v>
      </c>
      <c r="Y537" s="287">
        <v>114343</v>
      </c>
      <c r="Z537" s="287">
        <v>114343</v>
      </c>
      <c r="AA537" s="287">
        <v>110591</v>
      </c>
      <c r="AB537" s="283" t="s">
        <v>1976</v>
      </c>
      <c r="AC537" s="289">
        <v>-2.86E-2</v>
      </c>
      <c r="AE537" s="167"/>
      <c r="AF537" s="285"/>
      <c r="AG537" s="285"/>
      <c r="AH537" s="285"/>
      <c r="AI537" s="285"/>
      <c r="AJ537" s="283"/>
    </row>
    <row r="538" spans="1:36" x14ac:dyDescent="0.3">
      <c r="A538" s="168">
        <v>44678</v>
      </c>
      <c r="B538" s="83">
        <v>25.55</v>
      </c>
      <c r="C538" s="83">
        <v>25.34</v>
      </c>
      <c r="D538" s="83">
        <v>25.62</v>
      </c>
      <c r="E538" s="83">
        <v>25.03</v>
      </c>
      <c r="F538" s="83" t="s">
        <v>1915</v>
      </c>
      <c r="G538" s="284">
        <v>1.11E-2</v>
      </c>
      <c r="I538" s="168">
        <v>44706</v>
      </c>
      <c r="J538" s="286">
        <v>2700.09</v>
      </c>
      <c r="K538" s="286">
        <v>2681.04</v>
      </c>
      <c r="L538" s="286">
        <v>2711.26</v>
      </c>
      <c r="M538" s="286">
        <v>2672.33</v>
      </c>
      <c r="N538" s="284" t="s">
        <v>1975</v>
      </c>
      <c r="P538" s="168">
        <v>44699</v>
      </c>
      <c r="Q538" s="286">
        <v>4.9682000000000004</v>
      </c>
      <c r="R538" s="286">
        <v>4.9371999999999998</v>
      </c>
      <c r="S538" s="286">
        <v>5.0004999999999997</v>
      </c>
      <c r="T538" s="286">
        <v>4.9196999999999997</v>
      </c>
      <c r="U538" s="284">
        <v>6.0000000000000001E-3</v>
      </c>
      <c r="W538" s="168">
        <v>44671</v>
      </c>
      <c r="X538" s="288">
        <v>114344</v>
      </c>
      <c r="Y538" s="288">
        <v>115057</v>
      </c>
      <c r="Z538" s="288">
        <v>115057</v>
      </c>
      <c r="AA538" s="288">
        <v>113945</v>
      </c>
      <c r="AB538" s="284" t="s">
        <v>1974</v>
      </c>
      <c r="AC538" s="290">
        <v>-6.1999999999999998E-3</v>
      </c>
      <c r="AE538" s="168"/>
      <c r="AF538" s="286"/>
      <c r="AG538" s="286"/>
      <c r="AH538" s="286"/>
      <c r="AI538" s="286"/>
      <c r="AJ538" s="284"/>
    </row>
    <row r="539" spans="1:36" x14ac:dyDescent="0.3">
      <c r="A539" s="167">
        <v>44677</v>
      </c>
      <c r="B539" s="171">
        <v>25.27</v>
      </c>
      <c r="C539" s="171">
        <v>24.66</v>
      </c>
      <c r="D539" s="171">
        <v>25.46</v>
      </c>
      <c r="E539" s="171">
        <v>24.5</v>
      </c>
      <c r="F539" s="171" t="s">
        <v>1973</v>
      </c>
      <c r="G539" s="283">
        <v>2.47E-2</v>
      </c>
      <c r="I539" s="167">
        <v>44705</v>
      </c>
      <c r="J539" s="285">
        <v>2680.46</v>
      </c>
      <c r="K539" s="285">
        <v>2702.49</v>
      </c>
      <c r="L539" s="285">
        <v>2702.55</v>
      </c>
      <c r="M539" s="285">
        <v>2649.86</v>
      </c>
      <c r="N539" s="283" t="s">
        <v>1675</v>
      </c>
      <c r="P539" s="167">
        <v>44698</v>
      </c>
      <c r="Q539" s="285">
        <v>4.9386999999999999</v>
      </c>
      <c r="R539" s="285">
        <v>5.0617000000000001</v>
      </c>
      <c r="S539" s="285">
        <v>5.0617000000000001</v>
      </c>
      <c r="T539" s="285">
        <v>4.9260999999999999</v>
      </c>
      <c r="U539" s="283">
        <v>-2.4E-2</v>
      </c>
      <c r="W539" s="167">
        <v>44670</v>
      </c>
      <c r="X539" s="287">
        <v>115057</v>
      </c>
      <c r="Y539" s="287">
        <v>115687</v>
      </c>
      <c r="Z539" s="287">
        <v>115687</v>
      </c>
      <c r="AA539" s="287">
        <v>114277</v>
      </c>
      <c r="AB539" s="283" t="s">
        <v>1972</v>
      </c>
      <c r="AC539" s="289">
        <v>-5.4999999999999997E-3</v>
      </c>
      <c r="AE539" s="167"/>
      <c r="AF539" s="285"/>
      <c r="AG539" s="285"/>
      <c r="AH539" s="285"/>
      <c r="AI539" s="285"/>
      <c r="AJ539" s="283"/>
    </row>
    <row r="540" spans="1:36" x14ac:dyDescent="0.3">
      <c r="A540" s="168">
        <v>44676</v>
      </c>
      <c r="B540" s="83">
        <v>24.66</v>
      </c>
      <c r="C540" s="83">
        <v>23.56</v>
      </c>
      <c r="D540" s="83">
        <v>24.86</v>
      </c>
      <c r="E540" s="83">
        <v>23.34</v>
      </c>
      <c r="F540" s="83" t="s">
        <v>1971</v>
      </c>
      <c r="G540" s="284">
        <v>8.9999999999999993E-3</v>
      </c>
      <c r="I540" s="168">
        <v>44704</v>
      </c>
      <c r="J540" s="286">
        <v>2702.25</v>
      </c>
      <c r="K540" s="286">
        <v>2658.53</v>
      </c>
      <c r="L540" s="286">
        <v>2706.43</v>
      </c>
      <c r="M540" s="286">
        <v>2658.45</v>
      </c>
      <c r="N540" s="284" t="s">
        <v>1970</v>
      </c>
      <c r="P540" s="168">
        <v>44697</v>
      </c>
      <c r="Q540" s="286">
        <v>5.0598999999999998</v>
      </c>
      <c r="R540" s="286">
        <v>5.0647000000000002</v>
      </c>
      <c r="S540" s="286">
        <v>5.1044999999999998</v>
      </c>
      <c r="T540" s="286">
        <v>5.0307000000000004</v>
      </c>
      <c r="U540" s="284">
        <v>-1E-4</v>
      </c>
      <c r="W540" s="168">
        <v>44669</v>
      </c>
      <c r="X540" s="288">
        <v>115687</v>
      </c>
      <c r="Y540" s="288">
        <v>116182</v>
      </c>
      <c r="Z540" s="288">
        <v>116191</v>
      </c>
      <c r="AA540" s="288">
        <v>115177</v>
      </c>
      <c r="AB540" s="284" t="s">
        <v>1969</v>
      </c>
      <c r="AC540" s="290">
        <v>-4.3E-3</v>
      </c>
      <c r="AE540" s="168"/>
      <c r="AF540" s="286"/>
      <c r="AG540" s="286"/>
      <c r="AH540" s="286"/>
      <c r="AI540" s="286"/>
      <c r="AJ540" s="284"/>
    </row>
    <row r="541" spans="1:36" x14ac:dyDescent="0.3">
      <c r="A541" s="167">
        <v>44673</v>
      </c>
      <c r="B541" s="171">
        <v>24.44</v>
      </c>
      <c r="C541" s="171">
        <v>25.09</v>
      </c>
      <c r="D541" s="171">
        <v>25.45</v>
      </c>
      <c r="E541" s="171">
        <v>24.16</v>
      </c>
      <c r="F541" s="171" t="s">
        <v>1750</v>
      </c>
      <c r="G541" s="283">
        <v>-4.7500000000000001E-2</v>
      </c>
      <c r="I541" s="167">
        <v>44701</v>
      </c>
      <c r="J541" s="285">
        <v>2655.91</v>
      </c>
      <c r="K541" s="285">
        <v>2650.73</v>
      </c>
      <c r="L541" s="285">
        <v>2680.93</v>
      </c>
      <c r="M541" s="285">
        <v>2611.56</v>
      </c>
      <c r="N541" s="283" t="s">
        <v>1202</v>
      </c>
      <c r="P541" s="167">
        <v>44694</v>
      </c>
      <c r="Q541" s="285">
        <v>5.0602</v>
      </c>
      <c r="R541" s="285">
        <v>5.1346999999999996</v>
      </c>
      <c r="S541" s="285">
        <v>5.1501999999999999</v>
      </c>
      <c r="T541" s="285">
        <v>5.0454999999999997</v>
      </c>
      <c r="U541" s="283">
        <v>-1.44E-2</v>
      </c>
      <c r="W541" s="167">
        <v>44665</v>
      </c>
      <c r="X541" s="287">
        <v>116182</v>
      </c>
      <c r="Y541" s="287">
        <v>116781</v>
      </c>
      <c r="Z541" s="287">
        <v>116781</v>
      </c>
      <c r="AA541" s="287">
        <v>115624</v>
      </c>
      <c r="AB541" s="283" t="s">
        <v>1968</v>
      </c>
      <c r="AC541" s="289">
        <v>-5.1000000000000004E-3</v>
      </c>
      <c r="AE541" s="167"/>
      <c r="AF541" s="285"/>
      <c r="AG541" s="285"/>
      <c r="AH541" s="285"/>
      <c r="AI541" s="285"/>
      <c r="AJ541" s="283"/>
    </row>
    <row r="542" spans="1:36" x14ac:dyDescent="0.3">
      <c r="A542" s="168">
        <v>44671</v>
      </c>
      <c r="B542" s="83">
        <v>25.66</v>
      </c>
      <c r="C542" s="83">
        <v>24.69</v>
      </c>
      <c r="D542" s="83">
        <v>25.8</v>
      </c>
      <c r="E542" s="83">
        <v>24</v>
      </c>
      <c r="F542" s="83" t="s">
        <v>1967</v>
      </c>
      <c r="G542" s="284">
        <v>4.2200000000000001E-2</v>
      </c>
      <c r="I542" s="168">
        <v>44700</v>
      </c>
      <c r="J542" s="286">
        <v>2651.55</v>
      </c>
      <c r="K542" s="286">
        <v>2662.06</v>
      </c>
      <c r="L542" s="286">
        <v>2673.16</v>
      </c>
      <c r="M542" s="286">
        <v>2633.03</v>
      </c>
      <c r="N542" s="284" t="s">
        <v>1966</v>
      </c>
      <c r="P542" s="168">
        <v>44693</v>
      </c>
      <c r="Q542" s="286">
        <v>5.1338999999999997</v>
      </c>
      <c r="R542" s="286">
        <v>5.1379999999999999</v>
      </c>
      <c r="S542" s="286">
        <v>5.2102000000000004</v>
      </c>
      <c r="T542" s="286">
        <v>5.1050000000000004</v>
      </c>
      <c r="U542" s="284">
        <v>-6.9999999999999999E-4</v>
      </c>
      <c r="W542" s="168">
        <v>44664</v>
      </c>
      <c r="X542" s="288">
        <v>116782</v>
      </c>
      <c r="Y542" s="288">
        <v>116150</v>
      </c>
      <c r="Z542" s="288">
        <v>117329</v>
      </c>
      <c r="AA542" s="288">
        <v>116150</v>
      </c>
      <c r="AB542" s="284" t="s">
        <v>1285</v>
      </c>
      <c r="AC542" s="290">
        <v>5.4999999999999997E-3</v>
      </c>
      <c r="AE542" s="168"/>
      <c r="AF542" s="286"/>
      <c r="AG542" s="286"/>
      <c r="AH542" s="286"/>
      <c r="AI542" s="286"/>
      <c r="AJ542" s="284"/>
    </row>
    <row r="543" spans="1:36" x14ac:dyDescent="0.3">
      <c r="A543" s="167">
        <v>44670</v>
      </c>
      <c r="B543" s="171">
        <v>24.62</v>
      </c>
      <c r="C543" s="171">
        <v>24.5</v>
      </c>
      <c r="D543" s="171">
        <v>25.23</v>
      </c>
      <c r="E543" s="171">
        <v>24.4</v>
      </c>
      <c r="F543" s="171" t="s">
        <v>1965</v>
      </c>
      <c r="G543" s="283">
        <v>-7.1999999999999998E-3</v>
      </c>
      <c r="I543" s="167">
        <v>44699</v>
      </c>
      <c r="J543" s="285">
        <v>2665.06</v>
      </c>
      <c r="K543" s="285">
        <v>2748.55</v>
      </c>
      <c r="L543" s="285">
        <v>2751.45</v>
      </c>
      <c r="M543" s="285">
        <v>2657.29</v>
      </c>
      <c r="N543" s="283" t="s">
        <v>1964</v>
      </c>
      <c r="P543" s="167">
        <v>44692</v>
      </c>
      <c r="Q543" s="285">
        <v>5.1372999999999998</v>
      </c>
      <c r="R543" s="285">
        <v>5.1327999999999996</v>
      </c>
      <c r="S543" s="285">
        <v>5.1717000000000004</v>
      </c>
      <c r="T543" s="285">
        <v>5.0910000000000002</v>
      </c>
      <c r="U543" s="283">
        <v>1.1999999999999999E-3</v>
      </c>
      <c r="W543" s="167">
        <v>44663</v>
      </c>
      <c r="X543" s="287">
        <v>116147</v>
      </c>
      <c r="Y543" s="287">
        <v>116963</v>
      </c>
      <c r="Z543" s="287">
        <v>118615</v>
      </c>
      <c r="AA543" s="287">
        <v>116054</v>
      </c>
      <c r="AB543" s="283" t="s">
        <v>1963</v>
      </c>
      <c r="AC543" s="289">
        <v>-6.8999999999999999E-3</v>
      </c>
      <c r="AE543" s="167"/>
      <c r="AF543" s="285"/>
      <c r="AG543" s="285"/>
      <c r="AH543" s="285"/>
      <c r="AI543" s="285"/>
      <c r="AJ543" s="283"/>
    </row>
    <row r="544" spans="1:36" x14ac:dyDescent="0.3">
      <c r="A544" s="168">
        <v>44669</v>
      </c>
      <c r="B544" s="83">
        <v>24.8</v>
      </c>
      <c r="C544" s="83">
        <v>24.95</v>
      </c>
      <c r="D544" s="83">
        <v>25.16</v>
      </c>
      <c r="E544" s="83">
        <v>24.49</v>
      </c>
      <c r="F544" s="83" t="s">
        <v>1667</v>
      </c>
      <c r="G544" s="284">
        <v>-2.3999999999999998E-3</v>
      </c>
      <c r="I544" s="168">
        <v>44698</v>
      </c>
      <c r="J544" s="286">
        <v>2746.82</v>
      </c>
      <c r="K544" s="286">
        <v>2697.11</v>
      </c>
      <c r="L544" s="286">
        <v>2747.76</v>
      </c>
      <c r="M544" s="286">
        <v>2696.72</v>
      </c>
      <c r="N544" s="284" t="s">
        <v>1962</v>
      </c>
      <c r="P544" s="168">
        <v>44691</v>
      </c>
      <c r="Q544" s="286">
        <v>5.1313000000000004</v>
      </c>
      <c r="R544" s="286">
        <v>5.1622000000000003</v>
      </c>
      <c r="S544" s="286">
        <v>5.1665999999999999</v>
      </c>
      <c r="T544" s="286">
        <v>5.109</v>
      </c>
      <c r="U544" s="284">
        <v>-5.8999999999999999E-3</v>
      </c>
      <c r="W544" s="168">
        <v>44662</v>
      </c>
      <c r="X544" s="288">
        <v>116953</v>
      </c>
      <c r="Y544" s="288">
        <v>118320</v>
      </c>
      <c r="Z544" s="288">
        <v>118320</v>
      </c>
      <c r="AA544" s="288">
        <v>116953</v>
      </c>
      <c r="AB544" s="284" t="s">
        <v>1961</v>
      </c>
      <c r="AC544" s="290">
        <v>-1.1599999999999999E-2</v>
      </c>
      <c r="AE544" s="168"/>
      <c r="AF544" s="286"/>
      <c r="AG544" s="286"/>
      <c r="AH544" s="286"/>
      <c r="AI544" s="286"/>
      <c r="AJ544" s="284"/>
    </row>
    <row r="545" spans="1:36" x14ac:dyDescent="0.3">
      <c r="A545" s="167">
        <v>44665</v>
      </c>
      <c r="B545" s="171">
        <v>24.86</v>
      </c>
      <c r="C545" s="171">
        <v>24.05</v>
      </c>
      <c r="D545" s="171">
        <v>24.9</v>
      </c>
      <c r="E545" s="171">
        <v>23.79</v>
      </c>
      <c r="F545" s="171" t="s">
        <v>1960</v>
      </c>
      <c r="G545" s="283">
        <v>2.3E-2</v>
      </c>
      <c r="I545" s="167">
        <v>44697</v>
      </c>
      <c r="J545" s="285">
        <v>2693.95</v>
      </c>
      <c r="K545" s="285">
        <v>2703.83</v>
      </c>
      <c r="L545" s="285">
        <v>2714.45</v>
      </c>
      <c r="M545" s="285">
        <v>2682.06</v>
      </c>
      <c r="N545" s="283" t="s">
        <v>1959</v>
      </c>
      <c r="P545" s="167">
        <v>44690</v>
      </c>
      <c r="Q545" s="285">
        <v>5.1616999999999997</v>
      </c>
      <c r="R545" s="285">
        <v>5.0784000000000002</v>
      </c>
      <c r="S545" s="285">
        <v>5.1624999999999996</v>
      </c>
      <c r="T545" s="285">
        <v>5.0784000000000002</v>
      </c>
      <c r="U545" s="283">
        <v>1.66E-2</v>
      </c>
      <c r="W545" s="167">
        <v>44659</v>
      </c>
      <c r="X545" s="287">
        <v>118322</v>
      </c>
      <c r="Y545" s="287">
        <v>118861</v>
      </c>
      <c r="Z545" s="287">
        <v>118868</v>
      </c>
      <c r="AA545" s="287">
        <v>117487</v>
      </c>
      <c r="AB545" s="283" t="s">
        <v>1624</v>
      </c>
      <c r="AC545" s="289">
        <v>-4.4999999999999997E-3</v>
      </c>
      <c r="AE545" s="167"/>
      <c r="AF545" s="285"/>
      <c r="AG545" s="285"/>
      <c r="AH545" s="285"/>
      <c r="AI545" s="285"/>
      <c r="AJ545" s="283"/>
    </row>
    <row r="546" spans="1:36" x14ac:dyDescent="0.3">
      <c r="A546" s="168">
        <v>44664</v>
      </c>
      <c r="B546" s="83">
        <v>24.3</v>
      </c>
      <c r="C546" s="83">
        <v>24.04</v>
      </c>
      <c r="D546" s="83">
        <v>24.42</v>
      </c>
      <c r="E546" s="83">
        <v>23.56</v>
      </c>
      <c r="F546" s="83" t="s">
        <v>1958</v>
      </c>
      <c r="G546" s="284">
        <v>2.4799999999999999E-2</v>
      </c>
      <c r="I546" s="168">
        <v>44694</v>
      </c>
      <c r="J546" s="286">
        <v>2701.33</v>
      </c>
      <c r="K546" s="286">
        <v>2637.99</v>
      </c>
      <c r="L546" s="286">
        <v>2709.56</v>
      </c>
      <c r="M546" s="286">
        <v>2637.82</v>
      </c>
      <c r="N546" s="284" t="s">
        <v>1957</v>
      </c>
      <c r="P546" s="168">
        <v>44687</v>
      </c>
      <c r="Q546" s="286">
        <v>5.0773999999999999</v>
      </c>
      <c r="R546" s="286">
        <v>5.0293000000000001</v>
      </c>
      <c r="S546" s="286">
        <v>5.1150000000000002</v>
      </c>
      <c r="T546" s="286">
        <v>5.0069999999999997</v>
      </c>
      <c r="U546" s="284">
        <v>9.7999999999999997E-3</v>
      </c>
      <c r="W546" s="168">
        <v>44658</v>
      </c>
      <c r="X546" s="288">
        <v>118862</v>
      </c>
      <c r="Y546" s="288">
        <v>118226</v>
      </c>
      <c r="Z546" s="288">
        <v>119247</v>
      </c>
      <c r="AA546" s="288">
        <v>117509</v>
      </c>
      <c r="AB546" s="284" t="s">
        <v>1956</v>
      </c>
      <c r="AC546" s="290">
        <v>5.4000000000000003E-3</v>
      </c>
      <c r="AE546" s="168"/>
      <c r="AF546" s="286"/>
      <c r="AG546" s="286"/>
      <c r="AH546" s="286"/>
      <c r="AI546" s="286"/>
      <c r="AJ546" s="284"/>
    </row>
    <row r="547" spans="1:36" x14ac:dyDescent="0.3">
      <c r="A547" s="167">
        <v>44663</v>
      </c>
      <c r="B547" s="171">
        <v>23.71</v>
      </c>
      <c r="C547" s="171">
        <v>23.83</v>
      </c>
      <c r="D547" s="171">
        <v>24.25</v>
      </c>
      <c r="E547" s="171">
        <v>23.66</v>
      </c>
      <c r="F547" s="171" t="s">
        <v>1955</v>
      </c>
      <c r="G547" s="283">
        <v>1.7100000000000001E-2</v>
      </c>
      <c r="I547" s="167">
        <v>44693</v>
      </c>
      <c r="J547" s="285">
        <v>2639.75</v>
      </c>
      <c r="K547" s="285">
        <v>2648.95</v>
      </c>
      <c r="L547" s="285">
        <v>2658.77</v>
      </c>
      <c r="M547" s="285">
        <v>2602.56</v>
      </c>
      <c r="N547" s="283" t="s">
        <v>1547</v>
      </c>
      <c r="P547" s="167">
        <v>44686</v>
      </c>
      <c r="Q547" s="285">
        <v>5.0279999999999996</v>
      </c>
      <c r="R547" s="285">
        <v>4.92</v>
      </c>
      <c r="S547" s="285">
        <v>5.0589000000000004</v>
      </c>
      <c r="T547" s="285">
        <v>4.9173</v>
      </c>
      <c r="U547" s="283">
        <v>2.1999999999999999E-2</v>
      </c>
      <c r="W547" s="167">
        <v>44657</v>
      </c>
      <c r="X547" s="287">
        <v>118228</v>
      </c>
      <c r="Y547" s="287">
        <v>118885</v>
      </c>
      <c r="Z547" s="287">
        <v>118885</v>
      </c>
      <c r="AA547" s="287">
        <v>116791</v>
      </c>
      <c r="AB547" s="283" t="s">
        <v>1849</v>
      </c>
      <c r="AC547" s="289">
        <v>-5.4999999999999997E-3</v>
      </c>
      <c r="AE547" s="167"/>
      <c r="AF547" s="285"/>
      <c r="AG547" s="285"/>
      <c r="AH547" s="285"/>
      <c r="AI547" s="285"/>
      <c r="AJ547" s="283"/>
    </row>
    <row r="548" spans="1:36" x14ac:dyDescent="0.3">
      <c r="A548" s="168">
        <v>44662</v>
      </c>
      <c r="B548" s="83">
        <v>23.31</v>
      </c>
      <c r="C548" s="83">
        <v>22.9</v>
      </c>
      <c r="D548" s="83">
        <v>23.85</v>
      </c>
      <c r="E548" s="83">
        <v>22.86</v>
      </c>
      <c r="F548" s="83" t="s">
        <v>1836</v>
      </c>
      <c r="G548" s="284">
        <v>-9.7999999999999997E-3</v>
      </c>
      <c r="I548" s="168">
        <v>44692</v>
      </c>
      <c r="J548" s="286">
        <v>2652.59</v>
      </c>
      <c r="K548" s="286">
        <v>2675.41</v>
      </c>
      <c r="L548" s="286">
        <v>2709.75</v>
      </c>
      <c r="M548" s="286">
        <v>2647.04</v>
      </c>
      <c r="N548" s="284" t="s">
        <v>1954</v>
      </c>
      <c r="P548" s="168">
        <v>44685</v>
      </c>
      <c r="Q548" s="286">
        <v>4.9198000000000004</v>
      </c>
      <c r="R548" s="286">
        <v>4.9562999999999997</v>
      </c>
      <c r="S548" s="286">
        <v>5.0368000000000004</v>
      </c>
      <c r="T548" s="286">
        <v>4.8921000000000001</v>
      </c>
      <c r="U548" s="284">
        <v>-7.7999999999999996E-3</v>
      </c>
      <c r="W548" s="168">
        <v>44656</v>
      </c>
      <c r="X548" s="288">
        <v>118885</v>
      </c>
      <c r="Y548" s="288">
        <v>121279</v>
      </c>
      <c r="Z548" s="288">
        <v>121628</v>
      </c>
      <c r="AA548" s="288">
        <v>118794</v>
      </c>
      <c r="AB548" s="284" t="s">
        <v>1953</v>
      </c>
      <c r="AC548" s="290">
        <v>-1.9699999999999999E-2</v>
      </c>
      <c r="AE548" s="168"/>
      <c r="AF548" s="286"/>
      <c r="AG548" s="286"/>
      <c r="AH548" s="286"/>
      <c r="AI548" s="286"/>
      <c r="AJ548" s="284"/>
    </row>
    <row r="549" spans="1:36" x14ac:dyDescent="0.3">
      <c r="A549" s="167">
        <v>44659</v>
      </c>
      <c r="B549" s="171">
        <v>23.54</v>
      </c>
      <c r="C549" s="171">
        <v>23.48</v>
      </c>
      <c r="D549" s="171">
        <v>23.76</v>
      </c>
      <c r="E549" s="171">
        <v>22.72</v>
      </c>
      <c r="F549" s="171" t="s">
        <v>1952</v>
      </c>
      <c r="G549" s="283">
        <v>8.0000000000000004E-4</v>
      </c>
      <c r="I549" s="167">
        <v>44691</v>
      </c>
      <c r="J549" s="285">
        <v>2677.25</v>
      </c>
      <c r="K549" s="285">
        <v>2671.67</v>
      </c>
      <c r="L549" s="285">
        <v>2716.36</v>
      </c>
      <c r="M549" s="285">
        <v>2655</v>
      </c>
      <c r="N549" s="283" t="s">
        <v>1203</v>
      </c>
      <c r="P549" s="167">
        <v>44684</v>
      </c>
      <c r="Q549" s="285">
        <v>4.9584000000000001</v>
      </c>
      <c r="R549" s="285">
        <v>5.0841000000000003</v>
      </c>
      <c r="S549" s="285">
        <v>5.0841000000000003</v>
      </c>
      <c r="T549" s="285">
        <v>4.9558999999999997</v>
      </c>
      <c r="U549" s="283">
        <v>-2.4899999999999999E-2</v>
      </c>
      <c r="W549" s="167">
        <v>44655</v>
      </c>
      <c r="X549" s="287">
        <v>121280</v>
      </c>
      <c r="Y549" s="287">
        <v>121569</v>
      </c>
      <c r="Z549" s="287">
        <v>121570</v>
      </c>
      <c r="AA549" s="287">
        <v>120754</v>
      </c>
      <c r="AB549" s="283" t="s">
        <v>1951</v>
      </c>
      <c r="AC549" s="289">
        <v>-2.3999999999999998E-3</v>
      </c>
      <c r="AE549" s="167"/>
      <c r="AF549" s="285"/>
      <c r="AG549" s="285"/>
      <c r="AH549" s="285"/>
      <c r="AI549" s="285"/>
      <c r="AJ549" s="283"/>
    </row>
    <row r="550" spans="1:36" x14ac:dyDescent="0.3">
      <c r="A550" s="168">
        <v>44658</v>
      </c>
      <c r="B550" s="83">
        <v>23.52</v>
      </c>
      <c r="C550" s="83">
        <v>23.61</v>
      </c>
      <c r="D550" s="83">
        <v>23.69</v>
      </c>
      <c r="E550" s="83">
        <v>23.13</v>
      </c>
      <c r="F550" s="83" t="s">
        <v>1950</v>
      </c>
      <c r="G550" s="284">
        <v>4.0000000000000002E-4</v>
      </c>
      <c r="I550" s="168">
        <v>44690</v>
      </c>
      <c r="J550" s="286">
        <v>2671.83</v>
      </c>
      <c r="K550" s="286">
        <v>2757.46</v>
      </c>
      <c r="L550" s="286">
        <v>2757.47</v>
      </c>
      <c r="M550" s="286">
        <v>2665.61</v>
      </c>
      <c r="N550" s="284" t="s">
        <v>1949</v>
      </c>
      <c r="P550" s="168">
        <v>44683</v>
      </c>
      <c r="Q550" s="286">
        <v>5.0848000000000004</v>
      </c>
      <c r="R550" s="286">
        <v>4.9691999999999998</v>
      </c>
      <c r="S550" s="286">
        <v>5.0940000000000003</v>
      </c>
      <c r="T550" s="286">
        <v>4.9657</v>
      </c>
      <c r="U550" s="284">
        <v>2.2700000000000001E-2</v>
      </c>
      <c r="W550" s="168">
        <v>44652</v>
      </c>
      <c r="X550" s="288">
        <v>121570</v>
      </c>
      <c r="Y550" s="288">
        <v>120001</v>
      </c>
      <c r="Z550" s="288">
        <v>121579</v>
      </c>
      <c r="AA550" s="288">
        <v>120001</v>
      </c>
      <c r="AB550" s="284" t="s">
        <v>1489</v>
      </c>
      <c r="AC550" s="290">
        <v>1.3100000000000001E-2</v>
      </c>
      <c r="AE550" s="168"/>
      <c r="AF550" s="286"/>
      <c r="AG550" s="286"/>
      <c r="AH550" s="286"/>
      <c r="AI550" s="286"/>
      <c r="AJ550" s="284"/>
    </row>
    <row r="551" spans="1:36" x14ac:dyDescent="0.3">
      <c r="A551" s="167">
        <v>44657</v>
      </c>
      <c r="B551" s="171">
        <v>23.51</v>
      </c>
      <c r="C551" s="171">
        <v>24.04</v>
      </c>
      <c r="D551" s="171">
        <v>24.21</v>
      </c>
      <c r="E551" s="171">
        <v>23.01</v>
      </c>
      <c r="F551" s="171" t="s">
        <v>1948</v>
      </c>
      <c r="G551" s="283">
        <v>-2.0799999999999999E-2</v>
      </c>
      <c r="I551" s="167">
        <v>44687</v>
      </c>
      <c r="J551" s="285">
        <v>2762.21</v>
      </c>
      <c r="K551" s="285">
        <v>2783.89</v>
      </c>
      <c r="L551" s="285">
        <v>2784</v>
      </c>
      <c r="M551" s="285">
        <v>2731.87</v>
      </c>
      <c r="N551" s="283" t="s">
        <v>1715</v>
      </c>
      <c r="P551" s="167">
        <v>44680</v>
      </c>
      <c r="Q551" s="285">
        <v>4.9721000000000002</v>
      </c>
      <c r="R551" s="285">
        <v>4.9404000000000003</v>
      </c>
      <c r="S551" s="285">
        <v>4.9819000000000004</v>
      </c>
      <c r="T551" s="285">
        <v>4.8587999999999996</v>
      </c>
      <c r="U551" s="283">
        <v>6.0000000000000001E-3</v>
      </c>
      <c r="W551" s="167">
        <v>44651</v>
      </c>
      <c r="X551" s="287">
        <v>119999</v>
      </c>
      <c r="Y551" s="287">
        <v>120261</v>
      </c>
      <c r="Z551" s="287">
        <v>120880</v>
      </c>
      <c r="AA551" s="287">
        <v>119999</v>
      </c>
      <c r="AB551" s="283" t="s">
        <v>1711</v>
      </c>
      <c r="AC551" s="289">
        <v>-2.2000000000000001E-3</v>
      </c>
      <c r="AE551" s="167"/>
      <c r="AF551" s="285"/>
      <c r="AG551" s="285"/>
      <c r="AH551" s="285"/>
      <c r="AI551" s="285"/>
      <c r="AJ551" s="283"/>
    </row>
    <row r="552" spans="1:36" x14ac:dyDescent="0.3">
      <c r="A552" s="168">
        <v>44656</v>
      </c>
      <c r="B552" s="83">
        <v>24.01</v>
      </c>
      <c r="C552" s="83">
        <v>24.51</v>
      </c>
      <c r="D552" s="83">
        <v>24.93</v>
      </c>
      <c r="E552" s="83">
        <v>23.96</v>
      </c>
      <c r="F552" s="83" t="s">
        <v>1947</v>
      </c>
      <c r="G552" s="284">
        <v>-1.2699999999999999E-2</v>
      </c>
      <c r="I552" s="168">
        <v>44686</v>
      </c>
      <c r="J552" s="286">
        <v>2784.12</v>
      </c>
      <c r="K552" s="286">
        <v>2871.7</v>
      </c>
      <c r="L552" s="286">
        <v>2878.4</v>
      </c>
      <c r="M552" s="286">
        <v>2763.89</v>
      </c>
      <c r="N552" s="284" t="s">
        <v>1946</v>
      </c>
      <c r="P552" s="168">
        <v>44679</v>
      </c>
      <c r="Q552" s="286">
        <v>4.9424999999999999</v>
      </c>
      <c r="R552" s="286">
        <v>4.9653999999999998</v>
      </c>
      <c r="S552" s="286">
        <v>5.0461</v>
      </c>
      <c r="T552" s="286">
        <v>4.9351000000000003</v>
      </c>
      <c r="U552" s="284">
        <v>-4.5999999999999999E-3</v>
      </c>
      <c r="W552" s="168">
        <v>44650</v>
      </c>
      <c r="X552" s="288">
        <v>120260</v>
      </c>
      <c r="Y552" s="288">
        <v>120013</v>
      </c>
      <c r="Z552" s="288">
        <v>120531</v>
      </c>
      <c r="AA552" s="288">
        <v>119775</v>
      </c>
      <c r="AB552" s="284" t="s">
        <v>1945</v>
      </c>
      <c r="AC552" s="290">
        <v>2E-3</v>
      </c>
      <c r="AE552" s="168"/>
      <c r="AF552" s="286"/>
      <c r="AG552" s="286"/>
      <c r="AH552" s="286"/>
      <c r="AI552" s="286"/>
      <c r="AJ552" s="284"/>
    </row>
    <row r="553" spans="1:36" x14ac:dyDescent="0.3">
      <c r="A553" s="167">
        <v>44655</v>
      </c>
      <c r="B553" s="171">
        <v>24.32</v>
      </c>
      <c r="C553" s="171">
        <v>24.81</v>
      </c>
      <c r="D553" s="171">
        <v>24.9</v>
      </c>
      <c r="E553" s="171">
        <v>24.23</v>
      </c>
      <c r="F553" s="171" t="s">
        <v>1944</v>
      </c>
      <c r="G553" s="283">
        <v>-5.3E-3</v>
      </c>
      <c r="I553" s="167">
        <v>44685</v>
      </c>
      <c r="J553" s="285">
        <v>2864.43</v>
      </c>
      <c r="K553" s="285">
        <v>2809.38</v>
      </c>
      <c r="L553" s="285">
        <v>2874.55</v>
      </c>
      <c r="M553" s="285">
        <v>2790.52</v>
      </c>
      <c r="N553" s="283" t="s">
        <v>1943</v>
      </c>
      <c r="P553" s="167">
        <v>44678</v>
      </c>
      <c r="Q553" s="285">
        <v>4.9650999999999996</v>
      </c>
      <c r="R553" s="285">
        <v>4.9992000000000001</v>
      </c>
      <c r="S553" s="285">
        <v>5.0404999999999998</v>
      </c>
      <c r="T553" s="285">
        <v>4.9276999999999997</v>
      </c>
      <c r="U553" s="283">
        <v>-6.7999999999999996E-3</v>
      </c>
      <c r="W553" s="167">
        <v>44649</v>
      </c>
      <c r="X553" s="287">
        <v>120014</v>
      </c>
      <c r="Y553" s="287">
        <v>118740</v>
      </c>
      <c r="Z553" s="287">
        <v>120900</v>
      </c>
      <c r="AA553" s="287">
        <v>118740</v>
      </c>
      <c r="AB553" s="283" t="s">
        <v>1942</v>
      </c>
      <c r="AC553" s="289">
        <v>1.0699999999999999E-2</v>
      </c>
      <c r="AE553" s="167"/>
      <c r="AF553" s="285"/>
      <c r="AG553" s="285"/>
      <c r="AH553" s="285"/>
      <c r="AI553" s="285"/>
      <c r="AJ553" s="283"/>
    </row>
    <row r="554" spans="1:36" x14ac:dyDescent="0.3">
      <c r="A554" s="168">
        <v>44652</v>
      </c>
      <c r="B554" s="83">
        <v>24.45</v>
      </c>
      <c r="C554" s="83">
        <v>24.06</v>
      </c>
      <c r="D554" s="83">
        <v>24.5</v>
      </c>
      <c r="E554" s="83">
        <v>23.71</v>
      </c>
      <c r="F554" s="83" t="s">
        <v>1941</v>
      </c>
      <c r="G554" s="284">
        <v>2.86E-2</v>
      </c>
      <c r="I554" s="168">
        <v>44684</v>
      </c>
      <c r="J554" s="286">
        <v>2809.82</v>
      </c>
      <c r="K554" s="286">
        <v>2796.25</v>
      </c>
      <c r="L554" s="286">
        <v>2821.14</v>
      </c>
      <c r="M554" s="286">
        <v>2794.88</v>
      </c>
      <c r="N554" s="284" t="s">
        <v>1278</v>
      </c>
      <c r="P554" s="168">
        <v>44677</v>
      </c>
      <c r="Q554" s="286">
        <v>4.9988999999999999</v>
      </c>
      <c r="R554" s="286">
        <v>4.8776999999999999</v>
      </c>
      <c r="S554" s="286">
        <v>5.0023</v>
      </c>
      <c r="T554" s="286">
        <v>4.8776999999999999</v>
      </c>
      <c r="U554" s="284">
        <v>2.5100000000000001E-2</v>
      </c>
      <c r="W554" s="168">
        <v>44648</v>
      </c>
      <c r="X554" s="288">
        <v>118738</v>
      </c>
      <c r="Y554" s="288">
        <v>119082</v>
      </c>
      <c r="Z554" s="288">
        <v>119444</v>
      </c>
      <c r="AA554" s="288">
        <v>118061</v>
      </c>
      <c r="AB554" s="284" t="s">
        <v>1940</v>
      </c>
      <c r="AC554" s="290">
        <v>-2.8999999999999998E-3</v>
      </c>
      <c r="AE554" s="168"/>
      <c r="AF554" s="286"/>
      <c r="AG554" s="286"/>
      <c r="AH554" s="286"/>
      <c r="AI554" s="286"/>
      <c r="AJ554" s="284"/>
    </row>
    <row r="555" spans="1:36" x14ac:dyDescent="0.3">
      <c r="A555" s="167">
        <v>44651</v>
      </c>
      <c r="B555" s="171">
        <v>23.77</v>
      </c>
      <c r="C555" s="171">
        <v>24.57</v>
      </c>
      <c r="D555" s="171">
        <v>25.33</v>
      </c>
      <c r="E555" s="171">
        <v>23.77</v>
      </c>
      <c r="F555" s="171" t="s">
        <v>1939</v>
      </c>
      <c r="G555" s="283">
        <v>-5.0599999999999999E-2</v>
      </c>
      <c r="I555" s="167">
        <v>44683</v>
      </c>
      <c r="J555" s="285">
        <v>2796.33</v>
      </c>
      <c r="K555" s="285">
        <v>2793.3</v>
      </c>
      <c r="L555" s="285">
        <v>2804.81</v>
      </c>
      <c r="M555" s="285">
        <v>2750.48</v>
      </c>
      <c r="N555" s="283" t="s">
        <v>1399</v>
      </c>
      <c r="P555" s="167">
        <v>44676</v>
      </c>
      <c r="Q555" s="285">
        <v>4.8765999999999998</v>
      </c>
      <c r="R555" s="285">
        <v>4.7973999999999997</v>
      </c>
      <c r="S555" s="285">
        <v>4.9489999999999998</v>
      </c>
      <c r="T555" s="285">
        <v>4.7973999999999997</v>
      </c>
      <c r="U555" s="283">
        <v>1.7299999999999999E-2</v>
      </c>
      <c r="W555" s="167">
        <v>44645</v>
      </c>
      <c r="X555" s="287">
        <v>119081</v>
      </c>
      <c r="Y555" s="287">
        <v>119062</v>
      </c>
      <c r="Z555" s="287">
        <v>119729</v>
      </c>
      <c r="AA555" s="287">
        <v>118548</v>
      </c>
      <c r="AB555" s="283" t="s">
        <v>1495</v>
      </c>
      <c r="AC555" s="289">
        <v>2.0000000000000001E-4</v>
      </c>
      <c r="AE555" s="167"/>
      <c r="AF555" s="285"/>
      <c r="AG555" s="285"/>
      <c r="AH555" s="285"/>
      <c r="AI555" s="285"/>
      <c r="AJ555" s="283"/>
    </row>
    <row r="556" spans="1:36" x14ac:dyDescent="0.3">
      <c r="A556" s="168">
        <v>44650</v>
      </c>
      <c r="B556" s="83">
        <v>25.04</v>
      </c>
      <c r="C556" s="83">
        <v>25.63</v>
      </c>
      <c r="D556" s="83">
        <v>25.86</v>
      </c>
      <c r="E556" s="83">
        <v>25.02</v>
      </c>
      <c r="F556" s="83" t="s">
        <v>1938</v>
      </c>
      <c r="G556" s="284">
        <v>-6.3E-3</v>
      </c>
      <c r="I556" s="168">
        <v>44680</v>
      </c>
      <c r="J556" s="286">
        <v>2795.62</v>
      </c>
      <c r="K556" s="286">
        <v>2862.36</v>
      </c>
      <c r="L556" s="286">
        <v>2873.68</v>
      </c>
      <c r="M556" s="286">
        <v>2791.18</v>
      </c>
      <c r="N556" s="284" t="s">
        <v>1937</v>
      </c>
      <c r="P556" s="168">
        <v>44673</v>
      </c>
      <c r="Q556" s="286">
        <v>4.7937000000000003</v>
      </c>
      <c r="R556" s="286">
        <v>4.6214000000000004</v>
      </c>
      <c r="S556" s="286">
        <v>4.8392999999999997</v>
      </c>
      <c r="T556" s="286">
        <v>4.6214000000000004</v>
      </c>
      <c r="U556" s="284">
        <v>3.7100000000000001E-2</v>
      </c>
      <c r="W556" s="168">
        <v>44644</v>
      </c>
      <c r="X556" s="288">
        <v>119053</v>
      </c>
      <c r="Y556" s="288">
        <v>117460</v>
      </c>
      <c r="Z556" s="288">
        <v>119256</v>
      </c>
      <c r="AA556" s="288">
        <v>117151</v>
      </c>
      <c r="AB556" s="284" t="s">
        <v>1936</v>
      </c>
      <c r="AC556" s="290">
        <v>1.3599999999999999E-2</v>
      </c>
      <c r="AE556" s="168"/>
      <c r="AF556" s="286"/>
      <c r="AG556" s="286"/>
      <c r="AH556" s="286"/>
      <c r="AI556" s="286"/>
      <c r="AJ556" s="284"/>
    </row>
    <row r="557" spans="1:36" x14ac:dyDescent="0.3">
      <c r="A557" s="167">
        <v>44649</v>
      </c>
      <c r="B557" s="171">
        <v>25.2</v>
      </c>
      <c r="C557" s="171">
        <v>24.46</v>
      </c>
      <c r="D557" s="171">
        <v>25.36</v>
      </c>
      <c r="E557" s="171">
        <v>24.11</v>
      </c>
      <c r="F557" s="171" t="s">
        <v>1326</v>
      </c>
      <c r="G557" s="283">
        <v>8.3999999999999995E-3</v>
      </c>
      <c r="I557" s="167">
        <v>44679</v>
      </c>
      <c r="J557" s="285">
        <v>2861.55</v>
      </c>
      <c r="K557" s="285">
        <v>2809.29</v>
      </c>
      <c r="L557" s="285">
        <v>2872.41</v>
      </c>
      <c r="M557" s="285">
        <v>2807.44</v>
      </c>
      <c r="N557" s="283" t="s">
        <v>1935</v>
      </c>
      <c r="P557" s="167">
        <v>44672</v>
      </c>
      <c r="Q557" s="285">
        <v>4.6219999999999999</v>
      </c>
      <c r="R557" s="285">
        <v>4.6223999999999998</v>
      </c>
      <c r="S557" s="285">
        <v>4.6224999999999996</v>
      </c>
      <c r="T557" s="285">
        <v>4.6223999999999998</v>
      </c>
      <c r="U557" s="283">
        <v>0</v>
      </c>
      <c r="W557" s="167">
        <v>44643</v>
      </c>
      <c r="X557" s="287">
        <v>117457</v>
      </c>
      <c r="Y557" s="287">
        <v>117270</v>
      </c>
      <c r="Z557" s="287">
        <v>118270</v>
      </c>
      <c r="AA557" s="287">
        <v>117036</v>
      </c>
      <c r="AB557" s="283" t="s">
        <v>1787</v>
      </c>
      <c r="AC557" s="289">
        <v>1.6000000000000001E-3</v>
      </c>
      <c r="AE557" s="167"/>
      <c r="AF557" s="285"/>
      <c r="AG557" s="285"/>
      <c r="AH557" s="285"/>
      <c r="AI557" s="285"/>
      <c r="AJ557" s="283"/>
    </row>
    <row r="558" spans="1:36" x14ac:dyDescent="0.3">
      <c r="A558" s="168">
        <v>44648</v>
      </c>
      <c r="B558" s="83">
        <v>24.99</v>
      </c>
      <c r="C558" s="83">
        <v>24.32</v>
      </c>
      <c r="D558" s="83">
        <v>25.2</v>
      </c>
      <c r="E558" s="83">
        <v>23.88</v>
      </c>
      <c r="F558" s="83" t="s">
        <v>1934</v>
      </c>
      <c r="G558" s="284">
        <v>-7.9000000000000008E-3</v>
      </c>
      <c r="I558" s="168">
        <v>44678</v>
      </c>
      <c r="J558" s="286">
        <v>2807.51</v>
      </c>
      <c r="K558" s="286">
        <v>2808.33</v>
      </c>
      <c r="L558" s="286">
        <v>2836.47</v>
      </c>
      <c r="M558" s="286">
        <v>2794.85</v>
      </c>
      <c r="N558" s="284" t="s">
        <v>1292</v>
      </c>
      <c r="P558" s="168">
        <v>44671</v>
      </c>
      <c r="Q558" s="286">
        <v>4.6219000000000001</v>
      </c>
      <c r="R558" s="286">
        <v>4.6662999999999997</v>
      </c>
      <c r="S558" s="286">
        <v>4.6802999999999999</v>
      </c>
      <c r="T558" s="286">
        <v>4.6079999999999997</v>
      </c>
      <c r="U558" s="284">
        <v>-9.7999999999999997E-3</v>
      </c>
      <c r="W558" s="168">
        <v>44642</v>
      </c>
      <c r="X558" s="288">
        <v>117272</v>
      </c>
      <c r="Y558" s="288">
        <v>116157</v>
      </c>
      <c r="Z558" s="288">
        <v>117541</v>
      </c>
      <c r="AA558" s="288">
        <v>116157</v>
      </c>
      <c r="AB558" s="284" t="s">
        <v>1933</v>
      </c>
      <c r="AC558" s="290">
        <v>9.5999999999999992E-3</v>
      </c>
      <c r="AE558" s="168"/>
      <c r="AF558" s="286"/>
      <c r="AG558" s="286"/>
      <c r="AH558" s="286"/>
      <c r="AI558" s="286"/>
      <c r="AJ558" s="284"/>
    </row>
    <row r="559" spans="1:36" x14ac:dyDescent="0.3">
      <c r="A559" s="167">
        <v>44645</v>
      </c>
      <c r="B559" s="171">
        <v>25.19</v>
      </c>
      <c r="C559" s="171">
        <v>25.7</v>
      </c>
      <c r="D559" s="171">
        <v>25.91</v>
      </c>
      <c r="E559" s="171">
        <v>24.76</v>
      </c>
      <c r="F559" s="171" t="s">
        <v>1932</v>
      </c>
      <c r="G559" s="283">
        <v>-3.3700000000000001E-2</v>
      </c>
      <c r="I559" s="167">
        <v>44677</v>
      </c>
      <c r="J559" s="285">
        <v>2811</v>
      </c>
      <c r="K559" s="285">
        <v>2878.43</v>
      </c>
      <c r="L559" s="285">
        <v>2881.95</v>
      </c>
      <c r="M559" s="285">
        <v>2809.5</v>
      </c>
      <c r="N559" s="283" t="s">
        <v>1931</v>
      </c>
      <c r="P559" s="167">
        <v>44670</v>
      </c>
      <c r="Q559" s="285">
        <v>4.6675000000000004</v>
      </c>
      <c r="R559" s="285">
        <v>4.6536</v>
      </c>
      <c r="S559" s="285">
        <v>4.6866000000000003</v>
      </c>
      <c r="T559" s="285">
        <v>4.6379000000000001</v>
      </c>
      <c r="U559" s="283">
        <v>3.2000000000000002E-3</v>
      </c>
      <c r="W559" s="167">
        <v>44641</v>
      </c>
      <c r="X559" s="287">
        <v>116155</v>
      </c>
      <c r="Y559" s="287">
        <v>115307</v>
      </c>
      <c r="Z559" s="287">
        <v>116360</v>
      </c>
      <c r="AA559" s="287">
        <v>115208</v>
      </c>
      <c r="AB559" s="283" t="s">
        <v>1690</v>
      </c>
      <c r="AC559" s="289">
        <v>7.3000000000000001E-3</v>
      </c>
      <c r="AE559" s="167"/>
      <c r="AF559" s="285"/>
      <c r="AG559" s="285"/>
      <c r="AH559" s="285"/>
      <c r="AI559" s="285"/>
      <c r="AJ559" s="283"/>
    </row>
    <row r="560" spans="1:36" x14ac:dyDescent="0.3">
      <c r="A560" s="168">
        <v>44644</v>
      </c>
      <c r="B560" s="83">
        <v>26.07</v>
      </c>
      <c r="C560" s="83">
        <v>27.16</v>
      </c>
      <c r="D560" s="83">
        <v>27.55</v>
      </c>
      <c r="E560" s="83">
        <v>25.78</v>
      </c>
      <c r="F560" s="83" t="s">
        <v>1930</v>
      </c>
      <c r="G560" s="284">
        <v>-4.4999999999999998E-2</v>
      </c>
      <c r="I560" s="168">
        <v>44676</v>
      </c>
      <c r="J560" s="286">
        <v>2877.7</v>
      </c>
      <c r="K560" s="286">
        <v>2881.86</v>
      </c>
      <c r="L560" s="286">
        <v>2881.86</v>
      </c>
      <c r="M560" s="286">
        <v>2833.21</v>
      </c>
      <c r="N560" s="284" t="s">
        <v>1324</v>
      </c>
      <c r="P560" s="168">
        <v>44669</v>
      </c>
      <c r="Q560" s="286">
        <v>4.6527000000000003</v>
      </c>
      <c r="R560" s="286">
        <v>4.6970999999999998</v>
      </c>
      <c r="S560" s="286">
        <v>4.7091000000000003</v>
      </c>
      <c r="T560" s="286">
        <v>4.6437999999999997</v>
      </c>
      <c r="U560" s="284">
        <v>-9.2999999999999992E-3</v>
      </c>
      <c r="W560" s="168">
        <v>44638</v>
      </c>
      <c r="X560" s="288">
        <v>115311</v>
      </c>
      <c r="Y560" s="288">
        <v>113076</v>
      </c>
      <c r="Z560" s="288">
        <v>115311</v>
      </c>
      <c r="AA560" s="288">
        <v>112475</v>
      </c>
      <c r="AB560" s="284" t="s">
        <v>1929</v>
      </c>
      <c r="AC560" s="290">
        <v>1.9800000000000002E-2</v>
      </c>
      <c r="AE560" s="168"/>
      <c r="AF560" s="286"/>
      <c r="AG560" s="286"/>
      <c r="AH560" s="286"/>
      <c r="AI560" s="286"/>
      <c r="AJ560" s="284"/>
    </row>
    <row r="561" spans="1:36" x14ac:dyDescent="0.3">
      <c r="A561" s="167">
        <v>44643</v>
      </c>
      <c r="B561" s="171">
        <v>27.3</v>
      </c>
      <c r="C561" s="171">
        <v>26.83</v>
      </c>
      <c r="D561" s="171">
        <v>27.86</v>
      </c>
      <c r="E561" s="171">
        <v>26.75</v>
      </c>
      <c r="F561" s="171" t="s">
        <v>1928</v>
      </c>
      <c r="G561" s="283">
        <v>2.9399999999999999E-2</v>
      </c>
      <c r="I561" s="167">
        <v>44673</v>
      </c>
      <c r="J561" s="285">
        <v>2882.45</v>
      </c>
      <c r="K561" s="285">
        <v>2956.78</v>
      </c>
      <c r="L561" s="285">
        <v>2956.78</v>
      </c>
      <c r="M561" s="285">
        <v>2880.95</v>
      </c>
      <c r="N561" s="283" t="s">
        <v>1927</v>
      </c>
      <c r="P561" s="167">
        <v>44666</v>
      </c>
      <c r="Q561" s="285">
        <v>4.6965000000000003</v>
      </c>
      <c r="R561" s="285">
        <v>4.6970999999999998</v>
      </c>
      <c r="S561" s="285">
        <v>4.6970999999999998</v>
      </c>
      <c r="T561" s="285">
        <v>4.6970000000000001</v>
      </c>
      <c r="U561" s="283">
        <v>-1E-3</v>
      </c>
      <c r="W561" s="167">
        <v>44637</v>
      </c>
      <c r="X561" s="287">
        <v>113076</v>
      </c>
      <c r="Y561" s="287">
        <v>111113</v>
      </c>
      <c r="Z561" s="287">
        <v>113088</v>
      </c>
      <c r="AA561" s="287">
        <v>111070</v>
      </c>
      <c r="AB561" s="283" t="s">
        <v>1926</v>
      </c>
      <c r="AC561" s="289">
        <v>1.77E-2</v>
      </c>
      <c r="AE561" s="167"/>
      <c r="AF561" s="285"/>
      <c r="AG561" s="285"/>
      <c r="AH561" s="285"/>
      <c r="AI561" s="285"/>
      <c r="AJ561" s="283"/>
    </row>
    <row r="562" spans="1:36" x14ac:dyDescent="0.3">
      <c r="A562" s="168">
        <v>44642</v>
      </c>
      <c r="B562" s="83">
        <v>26.52</v>
      </c>
      <c r="C562" s="83">
        <v>26.19</v>
      </c>
      <c r="D562" s="83">
        <v>26.52</v>
      </c>
      <c r="E562" s="83">
        <v>25.79</v>
      </c>
      <c r="F562" s="83" t="s">
        <v>1925</v>
      </c>
      <c r="G562" s="284">
        <v>1.49E-2</v>
      </c>
      <c r="I562" s="168">
        <v>44672</v>
      </c>
      <c r="J562" s="286">
        <v>2959.92</v>
      </c>
      <c r="K562" s="286">
        <v>2993.55</v>
      </c>
      <c r="L562" s="286">
        <v>3025.62</v>
      </c>
      <c r="M562" s="286">
        <v>2954.36</v>
      </c>
      <c r="N562" s="284" t="s">
        <v>1924</v>
      </c>
      <c r="P562" s="168">
        <v>44665</v>
      </c>
      <c r="Q562" s="286">
        <v>4.7012999999999998</v>
      </c>
      <c r="R562" s="286">
        <v>4.6879999999999997</v>
      </c>
      <c r="S562" s="286">
        <v>4.7416999999999998</v>
      </c>
      <c r="T562" s="286">
        <v>4.6853999999999996</v>
      </c>
      <c r="U562" s="284">
        <v>2.3999999999999998E-3</v>
      </c>
      <c r="W562" s="168">
        <v>44636</v>
      </c>
      <c r="X562" s="288">
        <v>111112</v>
      </c>
      <c r="Y562" s="288">
        <v>108958</v>
      </c>
      <c r="Z562" s="288">
        <v>111183</v>
      </c>
      <c r="AA562" s="288">
        <v>108958</v>
      </c>
      <c r="AB562" s="284" t="s">
        <v>1923</v>
      </c>
      <c r="AC562" s="290">
        <v>1.9800000000000002E-2</v>
      </c>
      <c r="AE562" s="168"/>
      <c r="AF562" s="286"/>
      <c r="AG562" s="286"/>
      <c r="AH562" s="286"/>
      <c r="AI562" s="286"/>
      <c r="AJ562" s="284"/>
    </row>
    <row r="563" spans="1:36" x14ac:dyDescent="0.3">
      <c r="A563" s="167">
        <v>44641</v>
      </c>
      <c r="B563" s="171">
        <v>26.13</v>
      </c>
      <c r="C563" s="171">
        <v>26.46</v>
      </c>
      <c r="D563" s="171">
        <v>26.7</v>
      </c>
      <c r="E563" s="171">
        <v>26.07</v>
      </c>
      <c r="F563" s="171" t="s">
        <v>1679</v>
      </c>
      <c r="G563" s="283">
        <v>0.01</v>
      </c>
      <c r="I563" s="167">
        <v>44671</v>
      </c>
      <c r="J563" s="285">
        <v>2994.64</v>
      </c>
      <c r="K563" s="285">
        <v>2986.11</v>
      </c>
      <c r="L563" s="285">
        <v>3010.23</v>
      </c>
      <c r="M563" s="285">
        <v>2985.76</v>
      </c>
      <c r="N563" s="283" t="s">
        <v>1502</v>
      </c>
      <c r="P563" s="167">
        <v>44664</v>
      </c>
      <c r="Q563" s="285">
        <v>4.6898999999999997</v>
      </c>
      <c r="R563" s="285">
        <v>4.6779999999999999</v>
      </c>
      <c r="S563" s="285">
        <v>4.7055999999999996</v>
      </c>
      <c r="T563" s="285">
        <v>4.6512000000000002</v>
      </c>
      <c r="U563" s="283">
        <v>3.5000000000000001E-3</v>
      </c>
      <c r="W563" s="167">
        <v>44635</v>
      </c>
      <c r="X563" s="287">
        <v>108959</v>
      </c>
      <c r="Y563" s="287">
        <v>109925</v>
      </c>
      <c r="Z563" s="287">
        <v>109925</v>
      </c>
      <c r="AA563" s="287">
        <v>107781</v>
      </c>
      <c r="AB563" s="283" t="s">
        <v>1922</v>
      </c>
      <c r="AC563" s="289">
        <v>-8.8000000000000005E-3</v>
      </c>
      <c r="AE563" s="167"/>
      <c r="AF563" s="285"/>
      <c r="AG563" s="285"/>
      <c r="AH563" s="285"/>
      <c r="AI563" s="285"/>
      <c r="AJ563" s="283"/>
    </row>
    <row r="564" spans="1:36" x14ac:dyDescent="0.3">
      <c r="A564" s="168">
        <v>44638</v>
      </c>
      <c r="B564" s="83">
        <v>25.87</v>
      </c>
      <c r="C564" s="83">
        <v>24.95</v>
      </c>
      <c r="D564" s="83">
        <v>25.87</v>
      </c>
      <c r="E564" s="83">
        <v>24.54</v>
      </c>
      <c r="F564" s="83" t="s">
        <v>1921</v>
      </c>
      <c r="G564" s="284">
        <v>3.4299999999999997E-2</v>
      </c>
      <c r="I564" s="168">
        <v>44670</v>
      </c>
      <c r="J564" s="286">
        <v>2984.7</v>
      </c>
      <c r="K564" s="286">
        <v>2954.52</v>
      </c>
      <c r="L564" s="286">
        <v>2988.55</v>
      </c>
      <c r="M564" s="286">
        <v>2946.41</v>
      </c>
      <c r="N564" s="284" t="s">
        <v>1499</v>
      </c>
      <c r="P564" s="168">
        <v>44663</v>
      </c>
      <c r="Q564" s="286">
        <v>4.6734999999999998</v>
      </c>
      <c r="R564" s="286">
        <v>4.6891999999999996</v>
      </c>
      <c r="S564" s="286">
        <v>4.6958000000000002</v>
      </c>
      <c r="T564" s="286">
        <v>4.6215000000000002</v>
      </c>
      <c r="U564" s="284">
        <v>-4.4999999999999997E-3</v>
      </c>
      <c r="W564" s="168">
        <v>44634</v>
      </c>
      <c r="X564" s="288">
        <v>109928</v>
      </c>
      <c r="Y564" s="288">
        <v>111716</v>
      </c>
      <c r="Z564" s="288">
        <v>112299</v>
      </c>
      <c r="AA564" s="288">
        <v>109717</v>
      </c>
      <c r="AB564" s="284" t="s">
        <v>1920</v>
      </c>
      <c r="AC564" s="290">
        <v>-1.6E-2</v>
      </c>
      <c r="AE564" s="168"/>
      <c r="AF564" s="286"/>
      <c r="AG564" s="286"/>
      <c r="AH564" s="286"/>
      <c r="AI564" s="286"/>
      <c r="AJ564" s="284"/>
    </row>
    <row r="565" spans="1:36" x14ac:dyDescent="0.3">
      <c r="A565" s="167">
        <v>44637</v>
      </c>
      <c r="B565" s="171">
        <v>25.01</v>
      </c>
      <c r="C565" s="171">
        <v>23.79</v>
      </c>
      <c r="D565" s="171">
        <v>25.01</v>
      </c>
      <c r="E565" s="171">
        <v>23.54</v>
      </c>
      <c r="F565" s="171" t="s">
        <v>1919</v>
      </c>
      <c r="G565" s="283">
        <v>8.1600000000000006E-2</v>
      </c>
      <c r="I565" s="167">
        <v>44669</v>
      </c>
      <c r="J565" s="285">
        <v>2954.15</v>
      </c>
      <c r="K565" s="285">
        <v>2958.46</v>
      </c>
      <c r="L565" s="285">
        <v>2962.96</v>
      </c>
      <c r="M565" s="285">
        <v>2942.89</v>
      </c>
      <c r="N565" s="283" t="s">
        <v>1390</v>
      </c>
      <c r="P565" s="167">
        <v>44662</v>
      </c>
      <c r="Q565" s="285">
        <v>4.6943999999999999</v>
      </c>
      <c r="R565" s="285">
        <v>4.7055999999999996</v>
      </c>
      <c r="S565" s="285">
        <v>4.7397</v>
      </c>
      <c r="T565" s="285">
        <v>4.6783000000000001</v>
      </c>
      <c r="U565" s="283">
        <v>-5.9999999999999995E-4</v>
      </c>
      <c r="W565" s="167">
        <v>44631</v>
      </c>
      <c r="X565" s="287">
        <v>111713</v>
      </c>
      <c r="Y565" s="287">
        <v>113664</v>
      </c>
      <c r="Z565" s="287">
        <v>114627</v>
      </c>
      <c r="AA565" s="287">
        <v>111332</v>
      </c>
      <c r="AB565" s="283" t="s">
        <v>1918</v>
      </c>
      <c r="AC565" s="289">
        <v>-1.72E-2</v>
      </c>
      <c r="AE565" s="167"/>
      <c r="AF565" s="285"/>
      <c r="AG565" s="285"/>
      <c r="AH565" s="285"/>
      <c r="AI565" s="285"/>
      <c r="AJ565" s="283"/>
    </row>
    <row r="566" spans="1:36" x14ac:dyDescent="0.3">
      <c r="A566" s="168">
        <v>44636</v>
      </c>
      <c r="B566" s="83">
        <v>23.12</v>
      </c>
      <c r="C566" s="83">
        <v>23.99</v>
      </c>
      <c r="D566" s="83">
        <v>24.39</v>
      </c>
      <c r="E566" s="83">
        <v>22.79</v>
      </c>
      <c r="F566" s="83" t="s">
        <v>1917</v>
      </c>
      <c r="G566" s="284">
        <v>-2.3199999999999998E-2</v>
      </c>
      <c r="I566" s="168">
        <v>44666</v>
      </c>
      <c r="J566" s="286">
        <v>2959.67</v>
      </c>
      <c r="K566" s="286">
        <v>2960.55</v>
      </c>
      <c r="L566" s="286">
        <v>2961.08</v>
      </c>
      <c r="M566" s="286">
        <v>2958.9</v>
      </c>
      <c r="N566" s="284" t="s">
        <v>1405</v>
      </c>
      <c r="P566" s="168">
        <v>44659</v>
      </c>
      <c r="Q566" s="286">
        <v>4.6970000000000001</v>
      </c>
      <c r="R566" s="286">
        <v>4.7534000000000001</v>
      </c>
      <c r="S566" s="286">
        <v>4.7949999999999999</v>
      </c>
      <c r="T566" s="286">
        <v>4.6935000000000002</v>
      </c>
      <c r="U566" s="284">
        <v>-1.17E-2</v>
      </c>
      <c r="W566" s="168">
        <v>44630</v>
      </c>
      <c r="X566" s="288">
        <v>113663</v>
      </c>
      <c r="Y566" s="288">
        <v>113900</v>
      </c>
      <c r="Z566" s="288">
        <v>113939</v>
      </c>
      <c r="AA566" s="288">
        <v>111889</v>
      </c>
      <c r="AB566" s="284" t="s">
        <v>1916</v>
      </c>
      <c r="AC566" s="290">
        <v>-2.0999999999999999E-3</v>
      </c>
      <c r="AE566" s="168"/>
      <c r="AF566" s="286"/>
      <c r="AG566" s="286"/>
      <c r="AH566" s="286"/>
      <c r="AI566" s="286"/>
      <c r="AJ566" s="284"/>
    </row>
    <row r="567" spans="1:36" x14ac:dyDescent="0.3">
      <c r="A567" s="167">
        <v>44635</v>
      </c>
      <c r="B567" s="171">
        <v>23.67</v>
      </c>
      <c r="C567" s="171">
        <v>22.86</v>
      </c>
      <c r="D567" s="171">
        <v>23.76</v>
      </c>
      <c r="E567" s="171">
        <v>22.21</v>
      </c>
      <c r="F567" s="171" t="s">
        <v>1236</v>
      </c>
      <c r="G567" s="283">
        <v>6.4000000000000003E-3</v>
      </c>
      <c r="I567" s="167">
        <v>44665</v>
      </c>
      <c r="J567" s="285">
        <v>2960.64</v>
      </c>
      <c r="K567" s="285">
        <v>2989.23</v>
      </c>
      <c r="L567" s="285">
        <v>2996.39</v>
      </c>
      <c r="M567" s="285">
        <v>2960.64</v>
      </c>
      <c r="N567" s="283" t="s">
        <v>1730</v>
      </c>
      <c r="P567" s="167">
        <v>44658</v>
      </c>
      <c r="Q567" s="285">
        <v>4.7523999999999997</v>
      </c>
      <c r="R567" s="285">
        <v>4.7092999999999998</v>
      </c>
      <c r="S567" s="285">
        <v>4.7732999999999999</v>
      </c>
      <c r="T567" s="285">
        <v>4.6894</v>
      </c>
      <c r="U567" s="283">
        <v>7.7000000000000002E-3</v>
      </c>
      <c r="W567" s="167">
        <v>44629</v>
      </c>
      <c r="X567" s="287">
        <v>113900</v>
      </c>
      <c r="Y567" s="287">
        <v>111210</v>
      </c>
      <c r="Z567" s="287">
        <v>114051</v>
      </c>
      <c r="AA567" s="287">
        <v>111207</v>
      </c>
      <c r="AB567" s="283" t="s">
        <v>1915</v>
      </c>
      <c r="AC567" s="289">
        <v>2.4299999999999999E-2</v>
      </c>
      <c r="AE567" s="167"/>
      <c r="AF567" s="285"/>
      <c r="AG567" s="285"/>
      <c r="AH567" s="285"/>
      <c r="AI567" s="285"/>
      <c r="AJ567" s="283"/>
    </row>
    <row r="568" spans="1:36" x14ac:dyDescent="0.3">
      <c r="A568" s="168">
        <v>44634</v>
      </c>
      <c r="B568" s="83">
        <v>23.52</v>
      </c>
      <c r="C568" s="83">
        <v>24.21</v>
      </c>
      <c r="D568" s="83">
        <v>24.83</v>
      </c>
      <c r="E568" s="83">
        <v>23.19</v>
      </c>
      <c r="F568" s="83" t="s">
        <v>1914</v>
      </c>
      <c r="G568" s="284">
        <v>-5.4199999999999998E-2</v>
      </c>
      <c r="I568" s="168">
        <v>44664</v>
      </c>
      <c r="J568" s="286">
        <v>2985.07</v>
      </c>
      <c r="K568" s="286">
        <v>2957.45</v>
      </c>
      <c r="L568" s="286">
        <v>2991.14</v>
      </c>
      <c r="M568" s="286">
        <v>2952.85</v>
      </c>
      <c r="N568" s="284" t="s">
        <v>1505</v>
      </c>
      <c r="P568" s="168">
        <v>44657</v>
      </c>
      <c r="Q568" s="286">
        <v>4.7161</v>
      </c>
      <c r="R568" s="286">
        <v>4.6523000000000003</v>
      </c>
      <c r="S568" s="286">
        <v>4.7263000000000002</v>
      </c>
      <c r="T568" s="286">
        <v>4.6459999999999999</v>
      </c>
      <c r="U568" s="284">
        <v>1.41E-2</v>
      </c>
      <c r="W568" s="168">
        <v>44628</v>
      </c>
      <c r="X568" s="288">
        <v>111203</v>
      </c>
      <c r="Y568" s="288">
        <v>111594</v>
      </c>
      <c r="Z568" s="288">
        <v>112390</v>
      </c>
      <c r="AA568" s="288">
        <v>110969</v>
      </c>
      <c r="AB568" s="284" t="s">
        <v>1913</v>
      </c>
      <c r="AC568" s="290">
        <v>-3.5000000000000001E-3</v>
      </c>
      <c r="AE568" s="168"/>
      <c r="AF568" s="286"/>
      <c r="AG568" s="286"/>
      <c r="AH568" s="286"/>
      <c r="AI568" s="286"/>
      <c r="AJ568" s="284"/>
    </row>
    <row r="569" spans="1:36" x14ac:dyDescent="0.3">
      <c r="A569" s="167">
        <v>44631</v>
      </c>
      <c r="B569" s="171">
        <v>24.87</v>
      </c>
      <c r="C569" s="171">
        <v>25.74</v>
      </c>
      <c r="D569" s="171">
        <v>26.22</v>
      </c>
      <c r="E569" s="171">
        <v>24.46</v>
      </c>
      <c r="F569" s="171" t="s">
        <v>1912</v>
      </c>
      <c r="G569" s="283">
        <v>-3.5200000000000002E-2</v>
      </c>
      <c r="I569" s="167">
        <v>44663</v>
      </c>
      <c r="J569" s="285">
        <v>2959.78</v>
      </c>
      <c r="K569" s="285">
        <v>2970.62</v>
      </c>
      <c r="L569" s="285">
        <v>2997.38</v>
      </c>
      <c r="M569" s="285">
        <v>2950.35</v>
      </c>
      <c r="N569" s="283" t="s">
        <v>1911</v>
      </c>
      <c r="P569" s="167">
        <v>44656</v>
      </c>
      <c r="Q569" s="285">
        <v>4.6505999999999998</v>
      </c>
      <c r="R569" s="285">
        <v>4.5949999999999998</v>
      </c>
      <c r="S569" s="285">
        <v>4.6741999999999999</v>
      </c>
      <c r="T569" s="285">
        <v>4.5804999999999998</v>
      </c>
      <c r="U569" s="283">
        <v>1.26E-2</v>
      </c>
      <c r="W569" s="167">
        <v>44627</v>
      </c>
      <c r="X569" s="287">
        <v>111593</v>
      </c>
      <c r="Y569" s="287">
        <v>114469</v>
      </c>
      <c r="Z569" s="287">
        <v>114529</v>
      </c>
      <c r="AA569" s="287">
        <v>111140</v>
      </c>
      <c r="AB569" s="283" t="s">
        <v>1910</v>
      </c>
      <c r="AC569" s="289">
        <v>-2.52E-2</v>
      </c>
      <c r="AE569" s="167"/>
      <c r="AF569" s="285"/>
      <c r="AG569" s="285"/>
      <c r="AH569" s="285"/>
      <c r="AI569" s="285"/>
      <c r="AJ569" s="283"/>
    </row>
    <row r="570" spans="1:36" x14ac:dyDescent="0.3">
      <c r="A570" s="168">
        <v>44630</v>
      </c>
      <c r="B570" s="83">
        <v>25.78</v>
      </c>
      <c r="C570" s="83">
        <v>27.03</v>
      </c>
      <c r="D570" s="83">
        <v>27.27</v>
      </c>
      <c r="E570" s="83">
        <v>25.33</v>
      </c>
      <c r="F570" s="83" t="s">
        <v>1909</v>
      </c>
      <c r="G570" s="284">
        <v>-1.2200000000000001E-2</v>
      </c>
      <c r="I570" s="168">
        <v>44662</v>
      </c>
      <c r="J570" s="286">
        <v>2972.4</v>
      </c>
      <c r="K570" s="286">
        <v>3012.59</v>
      </c>
      <c r="L570" s="286">
        <v>3013.05</v>
      </c>
      <c r="M570" s="286">
        <v>2969.6</v>
      </c>
      <c r="N570" s="284" t="s">
        <v>1908</v>
      </c>
      <c r="P570" s="168">
        <v>44655</v>
      </c>
      <c r="Q570" s="286">
        <v>4.5928000000000004</v>
      </c>
      <c r="R570" s="286">
        <v>4.6595000000000004</v>
      </c>
      <c r="S570" s="286">
        <v>4.6750999999999996</v>
      </c>
      <c r="T570" s="286">
        <v>4.5884999999999998</v>
      </c>
      <c r="U570" s="284">
        <v>-1.3899999999999999E-2</v>
      </c>
      <c r="W570" s="168">
        <v>44624</v>
      </c>
      <c r="X570" s="288">
        <v>114474</v>
      </c>
      <c r="Y570" s="288">
        <v>115166</v>
      </c>
      <c r="Z570" s="288">
        <v>115166</v>
      </c>
      <c r="AA570" s="288">
        <v>113389</v>
      </c>
      <c r="AB570" s="284" t="s">
        <v>1321</v>
      </c>
      <c r="AC570" s="290">
        <v>-6.0000000000000001E-3</v>
      </c>
      <c r="AE570" s="168"/>
      <c r="AF570" s="286"/>
      <c r="AG570" s="286"/>
      <c r="AH570" s="286"/>
      <c r="AI570" s="286"/>
      <c r="AJ570" s="284"/>
    </row>
    <row r="571" spans="1:36" x14ac:dyDescent="0.3">
      <c r="A571" s="167">
        <v>44629</v>
      </c>
      <c r="B571" s="171">
        <v>26.1</v>
      </c>
      <c r="C571" s="171">
        <v>27.72</v>
      </c>
      <c r="D571" s="171">
        <v>27.86</v>
      </c>
      <c r="E571" s="171">
        <v>25.43</v>
      </c>
      <c r="F571" s="171" t="s">
        <v>1907</v>
      </c>
      <c r="G571" s="283">
        <v>-6.4399999999999999E-2</v>
      </c>
      <c r="I571" s="167">
        <v>44659</v>
      </c>
      <c r="J571" s="285">
        <v>3012.19</v>
      </c>
      <c r="K571" s="285">
        <v>3013.37</v>
      </c>
      <c r="L571" s="285">
        <v>3029.02</v>
      </c>
      <c r="M571" s="285">
        <v>3001.13</v>
      </c>
      <c r="N571" s="283" t="s">
        <v>1204</v>
      </c>
      <c r="P571" s="167">
        <v>44652</v>
      </c>
      <c r="Q571" s="285">
        <v>4.6574999999999998</v>
      </c>
      <c r="R571" s="285">
        <v>4.7408000000000001</v>
      </c>
      <c r="S571" s="285">
        <v>4.7408000000000001</v>
      </c>
      <c r="T571" s="285">
        <v>4.6524999999999999</v>
      </c>
      <c r="U571" s="283">
        <v>-1.72E-2</v>
      </c>
      <c r="W571" s="167">
        <v>44623</v>
      </c>
      <c r="X571" s="287">
        <v>115166</v>
      </c>
      <c r="Y571" s="287">
        <v>115173</v>
      </c>
      <c r="Z571" s="287">
        <v>115948</v>
      </c>
      <c r="AA571" s="287">
        <v>115010</v>
      </c>
      <c r="AB571" s="283" t="s">
        <v>1896</v>
      </c>
      <c r="AC571" s="289">
        <v>-1E-4</v>
      </c>
      <c r="AE571" s="167"/>
      <c r="AF571" s="285"/>
      <c r="AG571" s="285"/>
      <c r="AH571" s="285"/>
      <c r="AI571" s="285"/>
      <c r="AJ571" s="283"/>
    </row>
    <row r="572" spans="1:36" x14ac:dyDescent="0.3">
      <c r="A572" s="168">
        <v>44628</v>
      </c>
      <c r="B572" s="83">
        <v>27.9</v>
      </c>
      <c r="C572" s="83">
        <v>27.78</v>
      </c>
      <c r="D572" s="83">
        <v>29.64</v>
      </c>
      <c r="E572" s="83">
        <v>26.92</v>
      </c>
      <c r="F572" s="83" t="s">
        <v>1906</v>
      </c>
      <c r="G572" s="284">
        <v>1.2500000000000001E-2</v>
      </c>
      <c r="I572" s="168">
        <v>44658</v>
      </c>
      <c r="J572" s="286">
        <v>3014.08</v>
      </c>
      <c r="K572" s="286">
        <v>3009.17</v>
      </c>
      <c r="L572" s="286">
        <v>3022.76</v>
      </c>
      <c r="M572" s="286">
        <v>2987.66</v>
      </c>
      <c r="N572" s="284" t="s">
        <v>1304</v>
      </c>
      <c r="P572" s="168">
        <v>44651</v>
      </c>
      <c r="Q572" s="286">
        <v>4.7389999999999999</v>
      </c>
      <c r="R572" s="286">
        <v>4.7709000000000001</v>
      </c>
      <c r="S572" s="286">
        <v>4.7965</v>
      </c>
      <c r="T572" s="286">
        <v>4.7214999999999998</v>
      </c>
      <c r="U572" s="284">
        <v>-6.1999999999999998E-3</v>
      </c>
      <c r="W572" s="168">
        <v>44622</v>
      </c>
      <c r="X572" s="288">
        <v>115174</v>
      </c>
      <c r="Y572" s="288">
        <v>113143</v>
      </c>
      <c r="Z572" s="288">
        <v>115429</v>
      </c>
      <c r="AA572" s="288">
        <v>113143</v>
      </c>
      <c r="AB572" s="284" t="s">
        <v>1905</v>
      </c>
      <c r="AC572" s="290">
        <v>1.7999999999999999E-2</v>
      </c>
      <c r="AE572" s="168"/>
      <c r="AF572" s="286"/>
      <c r="AG572" s="286"/>
      <c r="AH572" s="286"/>
      <c r="AI572" s="286"/>
      <c r="AJ572" s="284"/>
    </row>
    <row r="573" spans="1:36" x14ac:dyDescent="0.3">
      <c r="A573" s="167">
        <v>44627</v>
      </c>
      <c r="B573" s="171">
        <v>27.55</v>
      </c>
      <c r="C573" s="171">
        <v>28.79</v>
      </c>
      <c r="D573" s="171">
        <v>28.95</v>
      </c>
      <c r="E573" s="171">
        <v>26.67</v>
      </c>
      <c r="F573" s="171" t="s">
        <v>1904</v>
      </c>
      <c r="G573" s="283">
        <v>-2.3E-2</v>
      </c>
      <c r="I573" s="167">
        <v>44657</v>
      </c>
      <c r="J573" s="285">
        <v>3012.24</v>
      </c>
      <c r="K573" s="285">
        <v>3045.1</v>
      </c>
      <c r="L573" s="285">
        <v>3045.1</v>
      </c>
      <c r="M573" s="285">
        <v>2994.1</v>
      </c>
      <c r="N573" s="283" t="s">
        <v>1903</v>
      </c>
      <c r="P573" s="167">
        <v>44650</v>
      </c>
      <c r="Q573" s="285">
        <v>4.7685000000000004</v>
      </c>
      <c r="R573" s="285">
        <v>4.758</v>
      </c>
      <c r="S573" s="285">
        <v>4.7923999999999998</v>
      </c>
      <c r="T573" s="285">
        <v>4.7252000000000001</v>
      </c>
      <c r="U573" s="283">
        <v>2.5999999999999999E-3</v>
      </c>
      <c r="W573" s="167">
        <v>44617</v>
      </c>
      <c r="X573" s="287">
        <v>113142</v>
      </c>
      <c r="Y573" s="287">
        <v>111591</v>
      </c>
      <c r="Z573" s="287">
        <v>113142</v>
      </c>
      <c r="AA573" s="287">
        <v>110673</v>
      </c>
      <c r="AB573" s="283" t="s">
        <v>1902</v>
      </c>
      <c r="AC573" s="289">
        <v>1.3899999999999999E-2</v>
      </c>
      <c r="AE573" s="167"/>
      <c r="AF573" s="285"/>
      <c r="AG573" s="285"/>
      <c r="AH573" s="285"/>
      <c r="AI573" s="285"/>
      <c r="AJ573" s="283"/>
    </row>
    <row r="574" spans="1:36" x14ac:dyDescent="0.3">
      <c r="A574" s="168">
        <v>44624</v>
      </c>
      <c r="B574" s="83">
        <v>28.2</v>
      </c>
      <c r="C574" s="83">
        <v>28.52</v>
      </c>
      <c r="D574" s="83">
        <v>28.7</v>
      </c>
      <c r="E574" s="83">
        <v>27.68</v>
      </c>
      <c r="F574" s="83" t="s">
        <v>1901</v>
      </c>
      <c r="G574" s="284">
        <v>-9.1000000000000004E-3</v>
      </c>
      <c r="I574" s="168">
        <v>44656</v>
      </c>
      <c r="J574" s="286">
        <v>3049.39</v>
      </c>
      <c r="K574" s="286">
        <v>3081.04</v>
      </c>
      <c r="L574" s="286">
        <v>3086.91</v>
      </c>
      <c r="M574" s="286">
        <v>3041.34</v>
      </c>
      <c r="N574" s="284" t="s">
        <v>1900</v>
      </c>
      <c r="P574" s="168">
        <v>44649</v>
      </c>
      <c r="Q574" s="286">
        <v>4.7561</v>
      </c>
      <c r="R574" s="286">
        <v>4.7679999999999998</v>
      </c>
      <c r="S574" s="286">
        <v>4.7850000000000001</v>
      </c>
      <c r="T574" s="286">
        <v>4.7148000000000003</v>
      </c>
      <c r="U574" s="284">
        <v>-2.3999999999999998E-3</v>
      </c>
      <c r="W574" s="168">
        <v>44616</v>
      </c>
      <c r="X574" s="288">
        <v>111592</v>
      </c>
      <c r="Y574" s="288">
        <v>112001</v>
      </c>
      <c r="Z574" s="288">
        <v>112001</v>
      </c>
      <c r="AA574" s="288">
        <v>109125</v>
      </c>
      <c r="AB574" s="284" t="s">
        <v>1899</v>
      </c>
      <c r="AC574" s="290">
        <v>-3.7000000000000002E-3</v>
      </c>
      <c r="AE574" s="168"/>
      <c r="AF574" s="286"/>
      <c r="AG574" s="286"/>
      <c r="AH574" s="286"/>
      <c r="AI574" s="286"/>
      <c r="AJ574" s="284"/>
    </row>
    <row r="575" spans="1:36" x14ac:dyDescent="0.3">
      <c r="A575" s="167">
        <v>44623</v>
      </c>
      <c r="B575" s="171">
        <v>28.46</v>
      </c>
      <c r="C575" s="171">
        <v>28.44</v>
      </c>
      <c r="D575" s="171">
        <v>28.95</v>
      </c>
      <c r="E575" s="171">
        <v>27.14</v>
      </c>
      <c r="F575" s="171" t="s">
        <v>1898</v>
      </c>
      <c r="G575" s="283">
        <v>1.0999999999999999E-2</v>
      </c>
      <c r="I575" s="167">
        <v>44655</v>
      </c>
      <c r="J575" s="285">
        <v>3081.38</v>
      </c>
      <c r="K575" s="285">
        <v>3057.77</v>
      </c>
      <c r="L575" s="285">
        <v>3081.38</v>
      </c>
      <c r="M575" s="285">
        <v>3057.12</v>
      </c>
      <c r="N575" s="283" t="s">
        <v>1897</v>
      </c>
      <c r="P575" s="167">
        <v>44648</v>
      </c>
      <c r="Q575" s="285">
        <v>4.7675000000000001</v>
      </c>
      <c r="R575" s="285">
        <v>4.7526000000000002</v>
      </c>
      <c r="S575" s="285">
        <v>4.8196000000000003</v>
      </c>
      <c r="T575" s="285">
        <v>4.7325999999999997</v>
      </c>
      <c r="U575" s="283">
        <v>5.4000000000000003E-3</v>
      </c>
      <c r="W575" s="167">
        <v>44615</v>
      </c>
      <c r="X575" s="287">
        <v>112008</v>
      </c>
      <c r="Y575" s="287">
        <v>112892</v>
      </c>
      <c r="Z575" s="287">
        <v>113721</v>
      </c>
      <c r="AA575" s="287">
        <v>111748</v>
      </c>
      <c r="AB575" s="283" t="s">
        <v>1896</v>
      </c>
      <c r="AC575" s="289">
        <v>-7.7999999999999996E-3</v>
      </c>
      <c r="AE575" s="167"/>
      <c r="AF575" s="285"/>
      <c r="AG575" s="285"/>
      <c r="AH575" s="285"/>
      <c r="AI575" s="285"/>
      <c r="AJ575" s="283"/>
    </row>
    <row r="576" spans="1:36" x14ac:dyDescent="0.3">
      <c r="A576" s="168">
        <v>44622</v>
      </c>
      <c r="B576" s="83">
        <v>28.15</v>
      </c>
      <c r="C576" s="83">
        <v>28</v>
      </c>
      <c r="D576" s="83">
        <v>28.75</v>
      </c>
      <c r="E576" s="83">
        <v>27.38</v>
      </c>
      <c r="F576" s="83" t="s">
        <v>1895</v>
      </c>
      <c r="G576" s="284">
        <v>9.0200000000000002E-2</v>
      </c>
      <c r="I576" s="168">
        <v>44652</v>
      </c>
      <c r="J576" s="286">
        <v>3057.07</v>
      </c>
      <c r="K576" s="286">
        <v>3050.2</v>
      </c>
      <c r="L576" s="286">
        <v>3058.81</v>
      </c>
      <c r="M576" s="286">
        <v>3038.83</v>
      </c>
      <c r="N576" s="284" t="s">
        <v>1227</v>
      </c>
      <c r="P576" s="168">
        <v>44645</v>
      </c>
      <c r="Q576" s="286">
        <v>4.742</v>
      </c>
      <c r="R576" s="286">
        <v>4.8273000000000001</v>
      </c>
      <c r="S576" s="286">
        <v>4.8297999999999996</v>
      </c>
      <c r="T576" s="286">
        <v>4.7297000000000002</v>
      </c>
      <c r="U576" s="284">
        <v>-1.7299999999999999E-2</v>
      </c>
      <c r="W576" s="168">
        <v>44614</v>
      </c>
      <c r="X576" s="288">
        <v>112892</v>
      </c>
      <c r="Y576" s="288">
        <v>111727</v>
      </c>
      <c r="Z576" s="288">
        <v>113315</v>
      </c>
      <c r="AA576" s="288">
        <v>111727</v>
      </c>
      <c r="AB576" s="284" t="s">
        <v>1894</v>
      </c>
      <c r="AC576" s="290">
        <v>1.04E-2</v>
      </c>
      <c r="AE576" s="168"/>
      <c r="AF576" s="286"/>
      <c r="AG576" s="286"/>
      <c r="AH576" s="286"/>
      <c r="AI576" s="286"/>
      <c r="AJ576" s="284"/>
    </row>
    <row r="577" spans="1:36" x14ac:dyDescent="0.3">
      <c r="A577" s="167">
        <v>44617</v>
      </c>
      <c r="B577" s="171">
        <v>25.82</v>
      </c>
      <c r="C577" s="171">
        <v>24.85</v>
      </c>
      <c r="D577" s="171">
        <v>26</v>
      </c>
      <c r="E577" s="171">
        <v>24.66</v>
      </c>
      <c r="F577" s="171" t="s">
        <v>1893</v>
      </c>
      <c r="G577" s="283">
        <v>3.8600000000000002E-2</v>
      </c>
      <c r="I577" s="167">
        <v>44651</v>
      </c>
      <c r="J577" s="285">
        <v>3053.07</v>
      </c>
      <c r="K577" s="285">
        <v>3094.69</v>
      </c>
      <c r="L577" s="285">
        <v>3096.59</v>
      </c>
      <c r="M577" s="285">
        <v>3049.7</v>
      </c>
      <c r="N577" s="283" t="s">
        <v>1449</v>
      </c>
      <c r="P577" s="167">
        <v>44644</v>
      </c>
      <c r="Q577" s="285">
        <v>4.8253000000000004</v>
      </c>
      <c r="R577" s="285">
        <v>4.8262999999999998</v>
      </c>
      <c r="S577" s="285">
        <v>4.8590999999999998</v>
      </c>
      <c r="T577" s="285">
        <v>4.7648999999999999</v>
      </c>
      <c r="U577" s="283">
        <v>-1E-4</v>
      </c>
      <c r="W577" s="167">
        <v>44613</v>
      </c>
      <c r="X577" s="287">
        <v>111725</v>
      </c>
      <c r="Y577" s="287">
        <v>112880</v>
      </c>
      <c r="Z577" s="287">
        <v>113405</v>
      </c>
      <c r="AA577" s="287">
        <v>111608</v>
      </c>
      <c r="AB577" s="283" t="s">
        <v>1892</v>
      </c>
      <c r="AC577" s="289">
        <v>-1.0200000000000001E-2</v>
      </c>
      <c r="AE577" s="167"/>
      <c r="AF577" s="285"/>
      <c r="AG577" s="285"/>
      <c r="AH577" s="285"/>
      <c r="AI577" s="285"/>
      <c r="AJ577" s="283"/>
    </row>
    <row r="578" spans="1:36" x14ac:dyDescent="0.3">
      <c r="A578" s="168">
        <v>44616</v>
      </c>
      <c r="B578" s="83">
        <v>24.86</v>
      </c>
      <c r="C578" s="83">
        <v>25.69</v>
      </c>
      <c r="D578" s="83">
        <v>26.19</v>
      </c>
      <c r="E578" s="83">
        <v>24.56</v>
      </c>
      <c r="F578" s="83" t="s">
        <v>1891</v>
      </c>
      <c r="G578" s="284">
        <v>-1.1999999999999999E-3</v>
      </c>
      <c r="I578" s="168">
        <v>44650</v>
      </c>
      <c r="J578" s="286">
        <v>3096.67</v>
      </c>
      <c r="K578" s="286">
        <v>3109.42</v>
      </c>
      <c r="L578" s="286">
        <v>3112.5</v>
      </c>
      <c r="M578" s="286">
        <v>3085.74</v>
      </c>
      <c r="N578" s="284" t="s">
        <v>1581</v>
      </c>
      <c r="P578" s="168">
        <v>44643</v>
      </c>
      <c r="Q578" s="286">
        <v>4.8258000000000001</v>
      </c>
      <c r="R578" s="286">
        <v>4.9108000000000001</v>
      </c>
      <c r="S578" s="286">
        <v>4.9214000000000002</v>
      </c>
      <c r="T578" s="286">
        <v>4.8215000000000003</v>
      </c>
      <c r="U578" s="284">
        <v>-1.7000000000000001E-2</v>
      </c>
      <c r="W578" s="168">
        <v>44610</v>
      </c>
      <c r="X578" s="288">
        <v>112880</v>
      </c>
      <c r="Y578" s="288">
        <v>113534</v>
      </c>
      <c r="Z578" s="288">
        <v>114213</v>
      </c>
      <c r="AA578" s="288">
        <v>112701</v>
      </c>
      <c r="AB578" s="284" t="s">
        <v>1890</v>
      </c>
      <c r="AC578" s="290">
        <v>-5.7000000000000002E-3</v>
      </c>
      <c r="AE578" s="168"/>
      <c r="AF578" s="286"/>
      <c r="AG578" s="286"/>
      <c r="AH578" s="286"/>
      <c r="AI578" s="286"/>
      <c r="AJ578" s="284"/>
    </row>
    <row r="579" spans="1:36" x14ac:dyDescent="0.3">
      <c r="A579" s="167">
        <v>44615</v>
      </c>
      <c r="B579" s="171">
        <v>24.89</v>
      </c>
      <c r="C579" s="171">
        <v>24.64</v>
      </c>
      <c r="D579" s="171">
        <v>25.63</v>
      </c>
      <c r="E579" s="171">
        <v>24.55</v>
      </c>
      <c r="F579" s="171" t="s">
        <v>1702</v>
      </c>
      <c r="G579" s="283">
        <v>1.43E-2</v>
      </c>
      <c r="I579" s="167">
        <v>44649</v>
      </c>
      <c r="J579" s="285">
        <v>3110.81</v>
      </c>
      <c r="K579" s="285">
        <v>3062.27</v>
      </c>
      <c r="L579" s="285">
        <v>3113.02</v>
      </c>
      <c r="M579" s="285">
        <v>3062.27</v>
      </c>
      <c r="N579" s="283" t="s">
        <v>1889</v>
      </c>
      <c r="P579" s="167">
        <v>44642</v>
      </c>
      <c r="Q579" s="285">
        <v>4.9093999999999998</v>
      </c>
      <c r="R579" s="285">
        <v>4.9366000000000003</v>
      </c>
      <c r="S579" s="285">
        <v>4.9513999999999996</v>
      </c>
      <c r="T579" s="285">
        <v>4.9047999999999998</v>
      </c>
      <c r="U579" s="283">
        <v>-5.3E-3</v>
      </c>
      <c r="W579" s="167">
        <v>44609</v>
      </c>
      <c r="X579" s="287">
        <v>113528</v>
      </c>
      <c r="Y579" s="287">
        <v>115181</v>
      </c>
      <c r="Z579" s="287">
        <v>115214</v>
      </c>
      <c r="AA579" s="287">
        <v>113389</v>
      </c>
      <c r="AB579" s="283" t="s">
        <v>1888</v>
      </c>
      <c r="AC579" s="289">
        <v>-1.43E-2</v>
      </c>
      <c r="AE579" s="167"/>
      <c r="AF579" s="285"/>
      <c r="AG579" s="285"/>
      <c r="AH579" s="285"/>
      <c r="AI579" s="285"/>
      <c r="AJ579" s="283"/>
    </row>
    <row r="580" spans="1:36" x14ac:dyDescent="0.3">
      <c r="A580" s="168">
        <v>44614</v>
      </c>
      <c r="B580" s="83">
        <v>24.54</v>
      </c>
      <c r="C580" s="83">
        <v>26.1</v>
      </c>
      <c r="D580" s="83">
        <v>26.22</v>
      </c>
      <c r="E580" s="83">
        <v>24.36</v>
      </c>
      <c r="F580" s="83" t="s">
        <v>1887</v>
      </c>
      <c r="G580" s="284">
        <v>-2.8899999999999999E-2</v>
      </c>
      <c r="I580" s="168">
        <v>44648</v>
      </c>
      <c r="J580" s="286">
        <v>3061.63</v>
      </c>
      <c r="K580" s="286">
        <v>3048.91</v>
      </c>
      <c r="L580" s="286">
        <v>3062.62</v>
      </c>
      <c r="M580" s="286">
        <v>3034.97</v>
      </c>
      <c r="N580" s="284" t="s">
        <v>1564</v>
      </c>
      <c r="P580" s="168">
        <v>44641</v>
      </c>
      <c r="Q580" s="286">
        <v>4.9353999999999996</v>
      </c>
      <c r="R580" s="286">
        <v>5.0244999999999997</v>
      </c>
      <c r="S580" s="286">
        <v>5.0298999999999996</v>
      </c>
      <c r="T580" s="286">
        <v>4.9309000000000003</v>
      </c>
      <c r="U580" s="284">
        <v>-1.7500000000000002E-2</v>
      </c>
      <c r="W580" s="168">
        <v>44608</v>
      </c>
      <c r="X580" s="288">
        <v>115181</v>
      </c>
      <c r="Y580" s="288">
        <v>114830</v>
      </c>
      <c r="Z580" s="288">
        <v>115734</v>
      </c>
      <c r="AA580" s="288">
        <v>114816</v>
      </c>
      <c r="AB580" s="284" t="s">
        <v>1886</v>
      </c>
      <c r="AC580" s="290">
        <v>3.0999999999999999E-3</v>
      </c>
      <c r="AE580" s="168"/>
      <c r="AF580" s="286"/>
      <c r="AG580" s="286"/>
      <c r="AH580" s="286"/>
      <c r="AI580" s="286"/>
      <c r="AJ580" s="284"/>
    </row>
    <row r="581" spans="1:36" x14ac:dyDescent="0.3">
      <c r="A581" s="167">
        <v>44613</v>
      </c>
      <c r="B581" s="171">
        <v>25.27</v>
      </c>
      <c r="C581" s="171">
        <v>24.56</v>
      </c>
      <c r="D581" s="171">
        <v>25.46</v>
      </c>
      <c r="E581" s="171">
        <v>24.44</v>
      </c>
      <c r="F581" s="171" t="s">
        <v>1885</v>
      </c>
      <c r="G581" s="283">
        <v>3.6499999999999998E-2</v>
      </c>
      <c r="I581" s="167">
        <v>44645</v>
      </c>
      <c r="J581" s="285">
        <v>3049.11</v>
      </c>
      <c r="K581" s="285">
        <v>3041.31</v>
      </c>
      <c r="L581" s="285">
        <v>3054.99</v>
      </c>
      <c r="M581" s="285">
        <v>3029.16</v>
      </c>
      <c r="N581" s="283" t="s">
        <v>1884</v>
      </c>
      <c r="P581" s="167">
        <v>44638</v>
      </c>
      <c r="Q581" s="285">
        <v>5.0231000000000003</v>
      </c>
      <c r="R581" s="285">
        <v>5.0406000000000004</v>
      </c>
      <c r="S581" s="285">
        <v>5.0759999999999996</v>
      </c>
      <c r="T581" s="285">
        <v>4.9923999999999999</v>
      </c>
      <c r="U581" s="283">
        <v>-3.2000000000000002E-3</v>
      </c>
      <c r="W581" s="167">
        <v>44607</v>
      </c>
      <c r="X581" s="287">
        <v>114828</v>
      </c>
      <c r="Y581" s="287">
        <v>113905</v>
      </c>
      <c r="Z581" s="287">
        <v>114828</v>
      </c>
      <c r="AA581" s="287">
        <v>113882</v>
      </c>
      <c r="AB581" s="283" t="s">
        <v>1883</v>
      </c>
      <c r="AC581" s="289">
        <v>8.2000000000000007E-3</v>
      </c>
      <c r="AE581" s="167"/>
      <c r="AF581" s="285"/>
      <c r="AG581" s="285"/>
      <c r="AH581" s="285"/>
      <c r="AI581" s="285"/>
      <c r="AJ581" s="283"/>
    </row>
    <row r="582" spans="1:36" x14ac:dyDescent="0.3">
      <c r="A582" s="168">
        <v>44610</v>
      </c>
      <c r="B582" s="83">
        <v>24.38</v>
      </c>
      <c r="C582" s="83">
        <v>24.62</v>
      </c>
      <c r="D582" s="83">
        <v>24.83</v>
      </c>
      <c r="E582" s="83">
        <v>24.29</v>
      </c>
      <c r="F582" s="83" t="s">
        <v>1525</v>
      </c>
      <c r="G582" s="284">
        <v>-2.0500000000000001E-2</v>
      </c>
      <c r="I582" s="168">
        <v>44644</v>
      </c>
      <c r="J582" s="286">
        <v>3041.48</v>
      </c>
      <c r="K582" s="286">
        <v>3012.53</v>
      </c>
      <c r="L582" s="286">
        <v>3041.48</v>
      </c>
      <c r="M582" s="286">
        <v>3009.34</v>
      </c>
      <c r="N582" s="284" t="s">
        <v>1451</v>
      </c>
      <c r="P582" s="168">
        <v>44637</v>
      </c>
      <c r="Q582" s="286">
        <v>5.0389999999999997</v>
      </c>
      <c r="R582" s="286">
        <v>5.0777999999999999</v>
      </c>
      <c r="S582" s="286">
        <v>5.1079999999999997</v>
      </c>
      <c r="T582" s="286">
        <v>5.0278999999999998</v>
      </c>
      <c r="U582" s="284">
        <v>-7.1999999999999998E-3</v>
      </c>
      <c r="W582" s="168">
        <v>44606</v>
      </c>
      <c r="X582" s="288">
        <v>113899</v>
      </c>
      <c r="Y582" s="288">
        <v>113643</v>
      </c>
      <c r="Z582" s="288">
        <v>114167</v>
      </c>
      <c r="AA582" s="288">
        <v>113358</v>
      </c>
      <c r="AB582" s="284" t="s">
        <v>1725</v>
      </c>
      <c r="AC582" s="290">
        <v>2.8999999999999998E-3</v>
      </c>
      <c r="AE582" s="168"/>
      <c r="AF582" s="286"/>
      <c r="AG582" s="286"/>
      <c r="AH582" s="286"/>
      <c r="AI582" s="286"/>
      <c r="AJ582" s="284"/>
    </row>
    <row r="583" spans="1:36" x14ac:dyDescent="0.3">
      <c r="A583" s="167">
        <v>44609</v>
      </c>
      <c r="B583" s="171">
        <v>24.89</v>
      </c>
      <c r="C583" s="171">
        <v>25.11</v>
      </c>
      <c r="D583" s="171">
        <v>25.34</v>
      </c>
      <c r="E583" s="171">
        <v>24.65</v>
      </c>
      <c r="F583" s="171" t="s">
        <v>1882</v>
      </c>
      <c r="G583" s="283">
        <v>-1.3899999999999999E-2</v>
      </c>
      <c r="I583" s="167">
        <v>44643</v>
      </c>
      <c r="J583" s="285">
        <v>3012.79</v>
      </c>
      <c r="K583" s="285">
        <v>3040.22</v>
      </c>
      <c r="L583" s="285">
        <v>3046.48</v>
      </c>
      <c r="M583" s="285">
        <v>3012.68</v>
      </c>
      <c r="N583" s="283" t="s">
        <v>1825</v>
      </c>
      <c r="P583" s="167">
        <v>44636</v>
      </c>
      <c r="Q583" s="285">
        <v>5.0757000000000003</v>
      </c>
      <c r="R583" s="285">
        <v>5.1599000000000004</v>
      </c>
      <c r="S583" s="285">
        <v>5.1599000000000004</v>
      </c>
      <c r="T583" s="285">
        <v>5.0717999999999996</v>
      </c>
      <c r="U583" s="283">
        <v>-1.6899999999999998E-2</v>
      </c>
      <c r="W583" s="167">
        <v>44603</v>
      </c>
      <c r="X583" s="287">
        <v>113572</v>
      </c>
      <c r="Y583" s="287">
        <v>113368</v>
      </c>
      <c r="Z583" s="287">
        <v>114899</v>
      </c>
      <c r="AA583" s="287">
        <v>113128</v>
      </c>
      <c r="AB583" s="283" t="s">
        <v>1881</v>
      </c>
      <c r="AC583" s="289">
        <v>1.8E-3</v>
      </c>
      <c r="AE583" s="167"/>
      <c r="AF583" s="285"/>
      <c r="AG583" s="285"/>
      <c r="AH583" s="285"/>
      <c r="AI583" s="285"/>
      <c r="AJ583" s="283"/>
    </row>
    <row r="584" spans="1:36" x14ac:dyDescent="0.3">
      <c r="A584" s="168">
        <v>44608</v>
      </c>
      <c r="B584" s="83">
        <v>25.24</v>
      </c>
      <c r="C584" s="83">
        <v>26.51</v>
      </c>
      <c r="D584" s="83">
        <v>26.63</v>
      </c>
      <c r="E584" s="83">
        <v>25</v>
      </c>
      <c r="F584" s="83" t="s">
        <v>1880</v>
      </c>
      <c r="G584" s="284">
        <v>-1.9800000000000002E-2</v>
      </c>
      <c r="I584" s="168">
        <v>44642</v>
      </c>
      <c r="J584" s="286">
        <v>3040.37</v>
      </c>
      <c r="K584" s="286">
        <v>3009.04</v>
      </c>
      <c r="L584" s="286">
        <v>3045.45</v>
      </c>
      <c r="M584" s="286">
        <v>3006.87</v>
      </c>
      <c r="N584" s="284" t="s">
        <v>1301</v>
      </c>
      <c r="P584" s="168">
        <v>44635</v>
      </c>
      <c r="Q584" s="286">
        <v>5.1631</v>
      </c>
      <c r="R584" s="286">
        <v>5.1223999999999998</v>
      </c>
      <c r="S584" s="286">
        <v>5.17</v>
      </c>
      <c r="T584" s="286">
        <v>5.0922000000000001</v>
      </c>
      <c r="U584" s="284">
        <v>8.6E-3</v>
      </c>
      <c r="W584" s="168">
        <v>44602</v>
      </c>
      <c r="X584" s="288">
        <v>113368</v>
      </c>
      <c r="Y584" s="288">
        <v>112462</v>
      </c>
      <c r="Z584" s="288">
        <v>113812</v>
      </c>
      <c r="AA584" s="288">
        <v>112163</v>
      </c>
      <c r="AB584" s="284" t="s">
        <v>1879</v>
      </c>
      <c r="AC584" s="290">
        <v>8.0999999999999996E-3</v>
      </c>
      <c r="AE584" s="168"/>
      <c r="AF584" s="286"/>
      <c r="AG584" s="286"/>
      <c r="AH584" s="286"/>
      <c r="AI584" s="286"/>
      <c r="AJ584" s="284"/>
    </row>
    <row r="585" spans="1:36" x14ac:dyDescent="0.3">
      <c r="A585" s="167">
        <v>44607</v>
      </c>
      <c r="B585" s="171">
        <v>25.75</v>
      </c>
      <c r="C585" s="171">
        <v>25.72</v>
      </c>
      <c r="D585" s="171">
        <v>26.08</v>
      </c>
      <c r="E585" s="171">
        <v>25.35</v>
      </c>
      <c r="F585" s="171" t="s">
        <v>1878</v>
      </c>
      <c r="G585" s="283">
        <v>-2.8299999999999999E-2</v>
      </c>
      <c r="I585" s="167">
        <v>44641</v>
      </c>
      <c r="J585" s="285">
        <v>3010.08</v>
      </c>
      <c r="K585" s="285">
        <v>3010.88</v>
      </c>
      <c r="L585" s="285">
        <v>3021.13</v>
      </c>
      <c r="M585" s="285">
        <v>2989.85</v>
      </c>
      <c r="N585" s="283" t="s">
        <v>1486</v>
      </c>
      <c r="P585" s="167">
        <v>44634</v>
      </c>
      <c r="Q585" s="285">
        <v>5.1193</v>
      </c>
      <c r="R585" s="285">
        <v>5.0590999999999999</v>
      </c>
      <c r="S585" s="285">
        <v>5.1402000000000001</v>
      </c>
      <c r="T585" s="285">
        <v>5.0373000000000001</v>
      </c>
      <c r="U585" s="283">
        <v>8.8000000000000005E-3</v>
      </c>
      <c r="W585" s="167">
        <v>44601</v>
      </c>
      <c r="X585" s="287">
        <v>112461</v>
      </c>
      <c r="Y585" s="287">
        <v>112233</v>
      </c>
      <c r="Z585" s="287">
        <v>113163</v>
      </c>
      <c r="AA585" s="287">
        <v>111710</v>
      </c>
      <c r="AB585" s="283" t="s">
        <v>1834</v>
      </c>
      <c r="AC585" s="289">
        <v>2E-3</v>
      </c>
      <c r="AE585" s="167"/>
      <c r="AF585" s="285"/>
      <c r="AG585" s="285"/>
      <c r="AH585" s="285"/>
      <c r="AI585" s="285"/>
      <c r="AJ585" s="283"/>
    </row>
    <row r="586" spans="1:36" x14ac:dyDescent="0.3">
      <c r="A586" s="168">
        <v>44606</v>
      </c>
      <c r="B586" s="83">
        <v>26.5</v>
      </c>
      <c r="C586" s="83">
        <v>25.8</v>
      </c>
      <c r="D586" s="83">
        <v>26.5</v>
      </c>
      <c r="E586" s="83">
        <v>25.52</v>
      </c>
      <c r="F586" s="83" t="s">
        <v>1877</v>
      </c>
      <c r="G586" s="284">
        <v>2.7099999999999999E-2</v>
      </c>
      <c r="I586" s="168">
        <v>44638</v>
      </c>
      <c r="J586" s="286">
        <v>3010.59</v>
      </c>
      <c r="K586" s="286">
        <v>2980.74</v>
      </c>
      <c r="L586" s="286">
        <v>3012.71</v>
      </c>
      <c r="M586" s="286">
        <v>2965.59</v>
      </c>
      <c r="N586" s="284" t="s">
        <v>1876</v>
      </c>
      <c r="P586" s="168">
        <v>44631</v>
      </c>
      <c r="Q586" s="286">
        <v>5.0744999999999996</v>
      </c>
      <c r="R586" s="286">
        <v>5.0132000000000003</v>
      </c>
      <c r="S586" s="286">
        <v>5.0819999999999999</v>
      </c>
      <c r="T586" s="286">
        <v>4.9820000000000002</v>
      </c>
      <c r="U586" s="284">
        <v>1.2699999999999999E-2</v>
      </c>
      <c r="W586" s="168">
        <v>44600</v>
      </c>
      <c r="X586" s="288">
        <v>112234</v>
      </c>
      <c r="Y586" s="288">
        <v>111995</v>
      </c>
      <c r="Z586" s="288">
        <v>112251</v>
      </c>
      <c r="AA586" s="288">
        <v>110943</v>
      </c>
      <c r="AB586" s="284" t="s">
        <v>1875</v>
      </c>
      <c r="AC586" s="290">
        <v>2.0999999999999999E-3</v>
      </c>
      <c r="AE586" s="168"/>
      <c r="AF586" s="286"/>
      <c r="AG586" s="286"/>
      <c r="AH586" s="286"/>
      <c r="AI586" s="286"/>
      <c r="AJ586" s="284"/>
    </row>
    <row r="587" spans="1:36" x14ac:dyDescent="0.3">
      <c r="A587" s="167">
        <v>44603</v>
      </c>
      <c r="B587" s="171">
        <v>25.8</v>
      </c>
      <c r="C587" s="171">
        <v>25.21</v>
      </c>
      <c r="D587" s="171">
        <v>26.1</v>
      </c>
      <c r="E587" s="171">
        <v>24.94</v>
      </c>
      <c r="F587" s="171" t="s">
        <v>1874</v>
      </c>
      <c r="G587" s="283">
        <v>4.24E-2</v>
      </c>
      <c r="I587" s="167">
        <v>44637</v>
      </c>
      <c r="J587" s="285">
        <v>2981.31</v>
      </c>
      <c r="K587" s="285">
        <v>2937.95</v>
      </c>
      <c r="L587" s="285">
        <v>2981.31</v>
      </c>
      <c r="M587" s="285">
        <v>2934.97</v>
      </c>
      <c r="N587" s="283" t="s">
        <v>1873</v>
      </c>
      <c r="P587" s="167">
        <v>44630</v>
      </c>
      <c r="Q587" s="285">
        <v>5.0110000000000001</v>
      </c>
      <c r="R587" s="285">
        <v>5.0149999999999997</v>
      </c>
      <c r="S587" s="285">
        <v>5.0765000000000002</v>
      </c>
      <c r="T587" s="285">
        <v>5.0101000000000004</v>
      </c>
      <c r="U587" s="283">
        <v>-2.9999999999999997E-4</v>
      </c>
      <c r="W587" s="167">
        <v>44599</v>
      </c>
      <c r="X587" s="287">
        <v>111996</v>
      </c>
      <c r="Y587" s="287">
        <v>112247</v>
      </c>
      <c r="Z587" s="287">
        <v>112517</v>
      </c>
      <c r="AA587" s="287">
        <v>111490</v>
      </c>
      <c r="AB587" s="283" t="s">
        <v>1872</v>
      </c>
      <c r="AC587" s="289">
        <v>-2.2000000000000001E-3</v>
      </c>
      <c r="AE587" s="167"/>
      <c r="AF587" s="285"/>
      <c r="AG587" s="285"/>
      <c r="AH587" s="285"/>
      <c r="AI587" s="285"/>
      <c r="AJ587" s="283"/>
    </row>
    <row r="588" spans="1:36" x14ac:dyDescent="0.3">
      <c r="A588" s="168">
        <v>44602</v>
      </c>
      <c r="B588" s="83">
        <v>24.75</v>
      </c>
      <c r="C588" s="83">
        <v>24.79</v>
      </c>
      <c r="D588" s="83">
        <v>25.52</v>
      </c>
      <c r="E588" s="83">
        <v>24.72</v>
      </c>
      <c r="F588" s="83" t="s">
        <v>1871</v>
      </c>
      <c r="G588" s="284">
        <v>1.0200000000000001E-2</v>
      </c>
      <c r="I588" s="168">
        <v>44636</v>
      </c>
      <c r="J588" s="286">
        <v>2936.33</v>
      </c>
      <c r="K588" s="286">
        <v>2865.6</v>
      </c>
      <c r="L588" s="286">
        <v>2939.52</v>
      </c>
      <c r="M588" s="286">
        <v>2865.5</v>
      </c>
      <c r="N588" s="284" t="s">
        <v>1870</v>
      </c>
      <c r="P588" s="168">
        <v>44629</v>
      </c>
      <c r="Q588" s="286">
        <v>5.0122999999999998</v>
      </c>
      <c r="R588" s="286">
        <v>5.0286</v>
      </c>
      <c r="S588" s="286">
        <v>5.0362999999999998</v>
      </c>
      <c r="T588" s="286">
        <v>4.9850000000000003</v>
      </c>
      <c r="U588" s="284">
        <v>-9.4000000000000004E-3</v>
      </c>
      <c r="W588" s="168">
        <v>44596</v>
      </c>
      <c r="X588" s="288">
        <v>112245</v>
      </c>
      <c r="Y588" s="288">
        <v>111696</v>
      </c>
      <c r="Z588" s="288">
        <v>112415</v>
      </c>
      <c r="AA588" s="288">
        <v>110321</v>
      </c>
      <c r="AB588" s="284" t="s">
        <v>1839</v>
      </c>
      <c r="AC588" s="290">
        <v>4.8999999999999998E-3</v>
      </c>
      <c r="AE588" s="168"/>
      <c r="AF588" s="286"/>
      <c r="AG588" s="286"/>
      <c r="AH588" s="286"/>
      <c r="AI588" s="286"/>
      <c r="AJ588" s="284"/>
    </row>
    <row r="589" spans="1:36" x14ac:dyDescent="0.3">
      <c r="A589" s="167">
        <v>44601</v>
      </c>
      <c r="B589" s="171">
        <v>24.5</v>
      </c>
      <c r="C589" s="171">
        <v>23.95</v>
      </c>
      <c r="D589" s="171">
        <v>24.95</v>
      </c>
      <c r="E589" s="171">
        <v>23.95</v>
      </c>
      <c r="F589" s="171" t="s">
        <v>1869</v>
      </c>
      <c r="G589" s="283">
        <v>2.64E-2</v>
      </c>
      <c r="I589" s="167">
        <v>44635</v>
      </c>
      <c r="J589" s="285">
        <v>2865.89</v>
      </c>
      <c r="K589" s="285">
        <v>2823.35</v>
      </c>
      <c r="L589" s="285">
        <v>2868.64</v>
      </c>
      <c r="M589" s="285">
        <v>2815.14</v>
      </c>
      <c r="N589" s="283" t="s">
        <v>1868</v>
      </c>
      <c r="P589" s="167">
        <v>44628</v>
      </c>
      <c r="Q589" s="285">
        <v>5.0598999999999998</v>
      </c>
      <c r="R589" s="285">
        <v>5.0812999999999997</v>
      </c>
      <c r="S589" s="285">
        <v>5.1010999999999997</v>
      </c>
      <c r="T589" s="285">
        <v>5.0446</v>
      </c>
      <c r="U589" s="283">
        <v>-1.01E-2</v>
      </c>
      <c r="W589" s="167">
        <v>44595</v>
      </c>
      <c r="X589" s="287">
        <v>111696</v>
      </c>
      <c r="Y589" s="287">
        <v>111897</v>
      </c>
      <c r="Z589" s="287">
        <v>112502</v>
      </c>
      <c r="AA589" s="287">
        <v>111225</v>
      </c>
      <c r="AB589" s="283" t="s">
        <v>1867</v>
      </c>
      <c r="AC589" s="289">
        <v>-1.8E-3</v>
      </c>
      <c r="AE589" s="167"/>
      <c r="AF589" s="285"/>
      <c r="AG589" s="285"/>
      <c r="AH589" s="285"/>
      <c r="AI589" s="285"/>
      <c r="AJ589" s="283"/>
    </row>
    <row r="590" spans="1:36" x14ac:dyDescent="0.3">
      <c r="A590" s="168">
        <v>44600</v>
      </c>
      <c r="B590" s="83">
        <v>23.87</v>
      </c>
      <c r="C590" s="83">
        <v>23.74</v>
      </c>
      <c r="D590" s="83">
        <v>23.95</v>
      </c>
      <c r="E590" s="83">
        <v>23.3</v>
      </c>
      <c r="F590" s="83" t="s">
        <v>1866</v>
      </c>
      <c r="G590" s="284">
        <v>-1.24E-2</v>
      </c>
      <c r="I590" s="168">
        <v>44634</v>
      </c>
      <c r="J590" s="286">
        <v>2826.49</v>
      </c>
      <c r="K590" s="286">
        <v>2839.23</v>
      </c>
      <c r="L590" s="286">
        <v>2865.59</v>
      </c>
      <c r="M590" s="286">
        <v>2819.04</v>
      </c>
      <c r="N590" s="284" t="s">
        <v>1547</v>
      </c>
      <c r="P590" s="168">
        <v>44627</v>
      </c>
      <c r="Q590" s="286">
        <v>5.1115000000000004</v>
      </c>
      <c r="R590" s="286">
        <v>5.0785</v>
      </c>
      <c r="S590" s="286">
        <v>5.1151999999999997</v>
      </c>
      <c r="T590" s="286">
        <v>5.0279999999999996</v>
      </c>
      <c r="U590" s="284">
        <v>9.7999999999999997E-3</v>
      </c>
      <c r="W590" s="168">
        <v>44594</v>
      </c>
      <c r="X590" s="288">
        <v>111894</v>
      </c>
      <c r="Y590" s="288">
        <v>113228</v>
      </c>
      <c r="Z590" s="288">
        <v>113666</v>
      </c>
      <c r="AA590" s="288">
        <v>111645</v>
      </c>
      <c r="AB590" s="284" t="s">
        <v>1617</v>
      </c>
      <c r="AC590" s="290">
        <v>-1.18E-2</v>
      </c>
      <c r="AE590" s="168"/>
      <c r="AF590" s="286"/>
      <c r="AG590" s="286"/>
      <c r="AH590" s="286"/>
      <c r="AI590" s="286"/>
      <c r="AJ590" s="284"/>
    </row>
    <row r="591" spans="1:36" x14ac:dyDescent="0.3">
      <c r="A591" s="167">
        <v>44599</v>
      </c>
      <c r="B591" s="171">
        <v>24.17</v>
      </c>
      <c r="C591" s="171">
        <v>24.33</v>
      </c>
      <c r="D591" s="171">
        <v>24.8</v>
      </c>
      <c r="E591" s="171">
        <v>23.95</v>
      </c>
      <c r="F591" s="171" t="s">
        <v>1865</v>
      </c>
      <c r="G591" s="283">
        <v>-9.7999999999999997E-3</v>
      </c>
      <c r="I591" s="167">
        <v>44631</v>
      </c>
      <c r="J591" s="285">
        <v>2840.04</v>
      </c>
      <c r="K591" s="285">
        <v>2869.9</v>
      </c>
      <c r="L591" s="285">
        <v>2887.78</v>
      </c>
      <c r="M591" s="285">
        <v>2836.01</v>
      </c>
      <c r="N591" s="283" t="s">
        <v>1864</v>
      </c>
      <c r="P591" s="167">
        <v>44624</v>
      </c>
      <c r="Q591" s="285">
        <v>5.0620000000000003</v>
      </c>
      <c r="R591" s="285">
        <v>5.0517000000000003</v>
      </c>
      <c r="S591" s="285">
        <v>5.1017000000000001</v>
      </c>
      <c r="T591" s="285">
        <v>5.0227000000000004</v>
      </c>
      <c r="U591" s="283">
        <v>6.0000000000000001E-3</v>
      </c>
      <c r="W591" s="167">
        <v>44593</v>
      </c>
      <c r="X591" s="287">
        <v>113228</v>
      </c>
      <c r="Y591" s="287">
        <v>112143</v>
      </c>
      <c r="Z591" s="287">
        <v>113302</v>
      </c>
      <c r="AA591" s="287">
        <v>112135</v>
      </c>
      <c r="AB591" s="283" t="s">
        <v>1782</v>
      </c>
      <c r="AC591" s="289">
        <v>9.7000000000000003E-3</v>
      </c>
      <c r="AE591" s="167"/>
      <c r="AF591" s="285"/>
      <c r="AG591" s="285"/>
      <c r="AH591" s="285"/>
      <c r="AI591" s="285"/>
      <c r="AJ591" s="283"/>
    </row>
    <row r="592" spans="1:36" x14ac:dyDescent="0.3">
      <c r="A592" s="168">
        <v>44596</v>
      </c>
      <c r="B592" s="83">
        <v>24.41</v>
      </c>
      <c r="C592" s="83">
        <v>23.15</v>
      </c>
      <c r="D592" s="83">
        <v>24.41</v>
      </c>
      <c r="E592" s="83">
        <v>23.08</v>
      </c>
      <c r="F592" s="83" t="s">
        <v>1400</v>
      </c>
      <c r="G592" s="284">
        <v>7.3400000000000007E-2</v>
      </c>
      <c r="I592" s="168">
        <v>44630</v>
      </c>
      <c r="J592" s="286">
        <v>2871.52</v>
      </c>
      <c r="K592" s="286">
        <v>2883.53</v>
      </c>
      <c r="L592" s="286">
        <v>2891.6</v>
      </c>
      <c r="M592" s="286">
        <v>2845.05</v>
      </c>
      <c r="N592" s="284" t="s">
        <v>1209</v>
      </c>
      <c r="P592" s="168">
        <v>44623</v>
      </c>
      <c r="Q592" s="286">
        <v>5.032</v>
      </c>
      <c r="R592" s="286">
        <v>5.0978000000000003</v>
      </c>
      <c r="S592" s="286">
        <v>5.1154999999999999</v>
      </c>
      <c r="T592" s="286">
        <v>5.0187999999999997</v>
      </c>
      <c r="U592" s="284">
        <v>-1.32E-2</v>
      </c>
      <c r="W592" s="168">
        <v>44592</v>
      </c>
      <c r="X592" s="288">
        <v>112144</v>
      </c>
      <c r="Y592" s="288">
        <v>111910</v>
      </c>
      <c r="Z592" s="288">
        <v>112678</v>
      </c>
      <c r="AA592" s="288">
        <v>111195</v>
      </c>
      <c r="AB592" s="284" t="s">
        <v>1863</v>
      </c>
      <c r="AC592" s="290">
        <v>2.0999999999999999E-3</v>
      </c>
      <c r="AE592" s="168"/>
      <c r="AF592" s="286"/>
      <c r="AG592" s="286"/>
      <c r="AH592" s="286"/>
      <c r="AI592" s="286"/>
      <c r="AJ592" s="284"/>
    </row>
    <row r="593" spans="1:36" x14ac:dyDescent="0.3">
      <c r="A593" s="167">
        <v>44595</v>
      </c>
      <c r="B593" s="171">
        <v>22.74</v>
      </c>
      <c r="C593" s="171">
        <v>22.9</v>
      </c>
      <c r="D593" s="171">
        <v>23.15</v>
      </c>
      <c r="E593" s="171">
        <v>22.21</v>
      </c>
      <c r="F593" s="171" t="s">
        <v>1862</v>
      </c>
      <c r="G593" s="283">
        <v>-1.26E-2</v>
      </c>
      <c r="I593" s="167">
        <v>44629</v>
      </c>
      <c r="J593" s="285">
        <v>2881.78</v>
      </c>
      <c r="K593" s="285">
        <v>2797.79</v>
      </c>
      <c r="L593" s="285">
        <v>2892.52</v>
      </c>
      <c r="M593" s="285">
        <v>2797.38</v>
      </c>
      <c r="N593" s="283" t="s">
        <v>1861</v>
      </c>
      <c r="P593" s="167">
        <v>44622</v>
      </c>
      <c r="Q593" s="285">
        <v>5.0994999999999999</v>
      </c>
      <c r="R593" s="285">
        <v>5.2144000000000004</v>
      </c>
      <c r="S593" s="285">
        <v>5.2233000000000001</v>
      </c>
      <c r="T593" s="285">
        <v>5.0865999999999998</v>
      </c>
      <c r="U593" s="283">
        <v>-1.1599999999999999E-2</v>
      </c>
      <c r="W593" s="167">
        <v>44589</v>
      </c>
      <c r="X593" s="287">
        <v>111910</v>
      </c>
      <c r="Y593" s="287">
        <v>112611</v>
      </c>
      <c r="Z593" s="287">
        <v>112969</v>
      </c>
      <c r="AA593" s="287">
        <v>111407</v>
      </c>
      <c r="AB593" s="283" t="s">
        <v>1860</v>
      </c>
      <c r="AC593" s="289">
        <v>-6.1999999999999998E-3</v>
      </c>
      <c r="AE593" s="167"/>
      <c r="AF593" s="285"/>
      <c r="AG593" s="285"/>
      <c r="AH593" s="285"/>
      <c r="AI593" s="285"/>
      <c r="AJ593" s="283"/>
    </row>
    <row r="594" spans="1:36" x14ac:dyDescent="0.3">
      <c r="A594" s="168">
        <v>44594</v>
      </c>
      <c r="B594" s="83">
        <v>23.03</v>
      </c>
      <c r="C594" s="83">
        <v>23.94</v>
      </c>
      <c r="D594" s="83">
        <v>24.42</v>
      </c>
      <c r="E594" s="83">
        <v>22.58</v>
      </c>
      <c r="F594" s="83" t="s">
        <v>1859</v>
      </c>
      <c r="G594" s="284">
        <v>-2.9899999999999999E-2</v>
      </c>
      <c r="I594" s="168">
        <v>44628</v>
      </c>
      <c r="J594" s="286">
        <v>2797.7</v>
      </c>
      <c r="K594" s="286">
        <v>2818.12</v>
      </c>
      <c r="L594" s="286">
        <v>2850.8</v>
      </c>
      <c r="M594" s="286">
        <v>2792.22</v>
      </c>
      <c r="N594" s="284" t="s">
        <v>1281</v>
      </c>
      <c r="P594" s="168">
        <v>44621</v>
      </c>
      <c r="Q594" s="286">
        <v>5.1595000000000004</v>
      </c>
      <c r="R594" s="286">
        <v>5.1604999999999999</v>
      </c>
      <c r="S594" s="286">
        <v>5.1604999999999999</v>
      </c>
      <c r="T594" s="286">
        <v>5.1604999999999999</v>
      </c>
      <c r="U594" s="284">
        <v>-1E-4</v>
      </c>
      <c r="W594" s="168">
        <v>44588</v>
      </c>
      <c r="X594" s="288">
        <v>112612</v>
      </c>
      <c r="Y594" s="288">
        <v>111303</v>
      </c>
      <c r="Z594" s="288">
        <v>113057</v>
      </c>
      <c r="AA594" s="288">
        <v>111303</v>
      </c>
      <c r="AB594" s="284" t="s">
        <v>1858</v>
      </c>
      <c r="AC594" s="290">
        <v>1.1900000000000001E-2</v>
      </c>
      <c r="AE594" s="168"/>
      <c r="AF594" s="286"/>
      <c r="AG594" s="286"/>
      <c r="AH594" s="286"/>
      <c r="AI594" s="286"/>
      <c r="AJ594" s="284"/>
    </row>
    <row r="595" spans="1:36" x14ac:dyDescent="0.3">
      <c r="A595" s="167">
        <v>44593</v>
      </c>
      <c r="B595" s="171">
        <v>23.74</v>
      </c>
      <c r="C595" s="171">
        <v>23.89</v>
      </c>
      <c r="D595" s="171">
        <v>23.94</v>
      </c>
      <c r="E595" s="171">
        <v>23.16</v>
      </c>
      <c r="F595" s="171" t="s">
        <v>1649</v>
      </c>
      <c r="G595" s="283">
        <v>-7.4999999999999997E-3</v>
      </c>
      <c r="I595" s="167">
        <v>44627</v>
      </c>
      <c r="J595" s="285">
        <v>2819.54</v>
      </c>
      <c r="K595" s="285">
        <v>2897.16</v>
      </c>
      <c r="L595" s="285">
        <v>2897.24</v>
      </c>
      <c r="M595" s="285">
        <v>2818.6</v>
      </c>
      <c r="N595" s="283" t="s">
        <v>1857</v>
      </c>
      <c r="P595" s="167">
        <v>44620</v>
      </c>
      <c r="Q595" s="285">
        <v>5.1599000000000004</v>
      </c>
      <c r="R595" s="285">
        <v>5.1638000000000002</v>
      </c>
      <c r="S595" s="285">
        <v>5.1654</v>
      </c>
      <c r="T595" s="285">
        <v>5.16</v>
      </c>
      <c r="U595" s="283">
        <v>-5.0000000000000001E-4</v>
      </c>
      <c r="W595" s="167">
        <v>44587</v>
      </c>
      <c r="X595" s="287">
        <v>111289</v>
      </c>
      <c r="Y595" s="287">
        <v>110207</v>
      </c>
      <c r="Z595" s="287">
        <v>112695</v>
      </c>
      <c r="AA595" s="287">
        <v>110204</v>
      </c>
      <c r="AB595" s="283" t="s">
        <v>1856</v>
      </c>
      <c r="AC595" s="289">
        <v>9.7999999999999997E-3</v>
      </c>
      <c r="AE595" s="167"/>
      <c r="AF595" s="285"/>
      <c r="AG595" s="285"/>
      <c r="AH595" s="285"/>
      <c r="AI595" s="285"/>
      <c r="AJ595" s="283"/>
    </row>
    <row r="596" spans="1:36" x14ac:dyDescent="0.3">
      <c r="A596" s="168">
        <v>44592</v>
      </c>
      <c r="B596" s="83">
        <v>23.92</v>
      </c>
      <c r="C596" s="83">
        <v>23.95</v>
      </c>
      <c r="D596" s="83">
        <v>24.02</v>
      </c>
      <c r="E596" s="83">
        <v>23.38</v>
      </c>
      <c r="F596" s="83" t="s">
        <v>1855</v>
      </c>
      <c r="G596" s="284">
        <v>3.3999999999999998E-3</v>
      </c>
      <c r="I596" s="168">
        <v>44624</v>
      </c>
      <c r="J596" s="286">
        <v>2896.52</v>
      </c>
      <c r="K596" s="286">
        <v>2943.07</v>
      </c>
      <c r="L596" s="286">
        <v>2943.14</v>
      </c>
      <c r="M596" s="286">
        <v>2876.43</v>
      </c>
      <c r="N596" s="284" t="s">
        <v>1854</v>
      </c>
      <c r="P596" s="168">
        <v>44617</v>
      </c>
      <c r="Q596" s="286">
        <v>5.1623000000000001</v>
      </c>
      <c r="R596" s="286">
        <v>5.1199000000000003</v>
      </c>
      <c r="S596" s="286">
        <v>5.181</v>
      </c>
      <c r="T596" s="286">
        <v>5.0785</v>
      </c>
      <c r="U596" s="284">
        <v>7.7000000000000002E-3</v>
      </c>
      <c r="W596" s="168">
        <v>44586</v>
      </c>
      <c r="X596" s="288">
        <v>110204</v>
      </c>
      <c r="Y596" s="288">
        <v>107935</v>
      </c>
      <c r="Z596" s="288">
        <v>110711</v>
      </c>
      <c r="AA596" s="288">
        <v>107185</v>
      </c>
      <c r="AB596" s="284" t="s">
        <v>1497</v>
      </c>
      <c r="AC596" s="290">
        <v>2.1000000000000001E-2</v>
      </c>
      <c r="AE596" s="168"/>
      <c r="AF596" s="286"/>
      <c r="AG596" s="286"/>
      <c r="AH596" s="286"/>
      <c r="AI596" s="286"/>
      <c r="AJ596" s="284"/>
    </row>
    <row r="597" spans="1:36" x14ac:dyDescent="0.3">
      <c r="A597" s="167">
        <v>44589</v>
      </c>
      <c r="B597" s="171">
        <v>23.84</v>
      </c>
      <c r="C597" s="171">
        <v>23.85</v>
      </c>
      <c r="D597" s="171">
        <v>24.27</v>
      </c>
      <c r="E597" s="171">
        <v>23.25</v>
      </c>
      <c r="F597" s="171" t="s">
        <v>1853</v>
      </c>
      <c r="G597" s="283">
        <v>1.2999999999999999E-3</v>
      </c>
      <c r="I597" s="167">
        <v>44623</v>
      </c>
      <c r="J597" s="285">
        <v>2942.45</v>
      </c>
      <c r="K597" s="285">
        <v>2969.52</v>
      </c>
      <c r="L597" s="285">
        <v>2979.44</v>
      </c>
      <c r="M597" s="285">
        <v>2932.84</v>
      </c>
      <c r="N597" s="283" t="s">
        <v>1196</v>
      </c>
      <c r="P597" s="167">
        <v>44616</v>
      </c>
      <c r="Q597" s="285">
        <v>5.1231</v>
      </c>
      <c r="R597" s="285">
        <v>5.0049999999999999</v>
      </c>
      <c r="S597" s="285">
        <v>5.1639999999999997</v>
      </c>
      <c r="T597" s="285">
        <v>5.0049999999999999</v>
      </c>
      <c r="U597" s="283">
        <v>2.2599999999999999E-2</v>
      </c>
      <c r="W597" s="167">
        <v>44585</v>
      </c>
      <c r="X597" s="287">
        <v>107937</v>
      </c>
      <c r="Y597" s="287">
        <v>108941</v>
      </c>
      <c r="Z597" s="287">
        <v>108948</v>
      </c>
      <c r="AA597" s="287">
        <v>106624</v>
      </c>
      <c r="AB597" s="283" t="s">
        <v>1852</v>
      </c>
      <c r="AC597" s="289">
        <v>-9.1999999999999998E-3</v>
      </c>
      <c r="AE597" s="167"/>
      <c r="AF597" s="285"/>
      <c r="AG597" s="285"/>
      <c r="AH597" s="285"/>
      <c r="AI597" s="285"/>
      <c r="AJ597" s="283"/>
    </row>
    <row r="598" spans="1:36" x14ac:dyDescent="0.3">
      <c r="A598" s="168">
        <v>44588</v>
      </c>
      <c r="B598" s="83">
        <v>23.81</v>
      </c>
      <c r="C598" s="83">
        <v>24</v>
      </c>
      <c r="D598" s="83">
        <v>24.46</v>
      </c>
      <c r="E598" s="83">
        <v>23.38</v>
      </c>
      <c r="F598" s="83" t="s">
        <v>1851</v>
      </c>
      <c r="G598" s="284">
        <v>9.2999999999999992E-3</v>
      </c>
      <c r="I598" s="168">
        <v>44622</v>
      </c>
      <c r="J598" s="286">
        <v>2964.24</v>
      </c>
      <c r="K598" s="286">
        <v>2929.08</v>
      </c>
      <c r="L598" s="286">
        <v>2974.43</v>
      </c>
      <c r="M598" s="286">
        <v>2918.44</v>
      </c>
      <c r="N598" s="284" t="s">
        <v>1850</v>
      </c>
      <c r="P598" s="168">
        <v>44615</v>
      </c>
      <c r="Q598" s="286">
        <v>5.0096999999999996</v>
      </c>
      <c r="R598" s="286">
        <v>5.0621</v>
      </c>
      <c r="S598" s="286">
        <v>5.0621</v>
      </c>
      <c r="T598" s="286">
        <v>4.9939</v>
      </c>
      <c r="U598" s="284">
        <v>-9.5999999999999992E-3</v>
      </c>
      <c r="W598" s="168">
        <v>44582</v>
      </c>
      <c r="X598" s="288">
        <v>108942</v>
      </c>
      <c r="Y598" s="288">
        <v>109097</v>
      </c>
      <c r="Z598" s="288">
        <v>109786</v>
      </c>
      <c r="AA598" s="288">
        <v>108368</v>
      </c>
      <c r="AB598" s="284" t="s">
        <v>1849</v>
      </c>
      <c r="AC598" s="290">
        <v>-1.5E-3</v>
      </c>
      <c r="AE598" s="168"/>
      <c r="AF598" s="286"/>
      <c r="AG598" s="286"/>
      <c r="AH598" s="286"/>
      <c r="AI598" s="286"/>
      <c r="AJ598" s="284"/>
    </row>
    <row r="599" spans="1:36" x14ac:dyDescent="0.3">
      <c r="A599" s="167">
        <v>44587</v>
      </c>
      <c r="B599" s="171">
        <v>23.59</v>
      </c>
      <c r="C599" s="171">
        <v>24.6</v>
      </c>
      <c r="D599" s="171">
        <v>24.9</v>
      </c>
      <c r="E599" s="171">
        <v>23.45</v>
      </c>
      <c r="F599" s="171" t="s">
        <v>1848</v>
      </c>
      <c r="G599" s="283">
        <v>-1.21E-2</v>
      </c>
      <c r="I599" s="167">
        <v>44621</v>
      </c>
      <c r="J599" s="285">
        <v>2930.76</v>
      </c>
      <c r="K599" s="285">
        <v>2979.74</v>
      </c>
      <c r="L599" s="285">
        <v>2981.01</v>
      </c>
      <c r="M599" s="285">
        <v>2916.37</v>
      </c>
      <c r="N599" s="283" t="s">
        <v>1823</v>
      </c>
      <c r="P599" s="167">
        <v>44614</v>
      </c>
      <c r="Q599" s="285">
        <v>5.0583</v>
      </c>
      <c r="R599" s="285">
        <v>5.1079999999999997</v>
      </c>
      <c r="S599" s="285">
        <v>5.1079999999999997</v>
      </c>
      <c r="T599" s="285">
        <v>5.0437000000000003</v>
      </c>
      <c r="U599" s="283">
        <v>-8.8999999999999999E-3</v>
      </c>
      <c r="W599" s="167">
        <v>44581</v>
      </c>
      <c r="X599" s="287">
        <v>109102</v>
      </c>
      <c r="Y599" s="287">
        <v>108015</v>
      </c>
      <c r="Z599" s="287">
        <v>109873</v>
      </c>
      <c r="AA599" s="287">
        <v>108015</v>
      </c>
      <c r="AB599" s="283" t="s">
        <v>1847</v>
      </c>
      <c r="AC599" s="289">
        <v>1.01E-2</v>
      </c>
      <c r="AE599" s="167"/>
      <c r="AF599" s="285"/>
      <c r="AG599" s="285"/>
      <c r="AH599" s="285"/>
      <c r="AI599" s="285"/>
      <c r="AJ599" s="283"/>
    </row>
    <row r="600" spans="1:36" x14ac:dyDescent="0.3">
      <c r="A600" s="168">
        <v>44586</v>
      </c>
      <c r="B600" s="83">
        <v>23.88</v>
      </c>
      <c r="C600" s="83">
        <v>23.12</v>
      </c>
      <c r="D600" s="83">
        <v>24.09</v>
      </c>
      <c r="E600" s="83">
        <v>22.95</v>
      </c>
      <c r="F600" s="83" t="s">
        <v>1846</v>
      </c>
      <c r="G600" s="284">
        <v>3.0599999999999999E-2</v>
      </c>
      <c r="I600" s="168">
        <v>44620</v>
      </c>
      <c r="J600" s="286">
        <v>2977.95</v>
      </c>
      <c r="K600" s="286">
        <v>2977.6</v>
      </c>
      <c r="L600" s="286">
        <v>2985.42</v>
      </c>
      <c r="M600" s="286">
        <v>2947.52</v>
      </c>
      <c r="N600" s="284" t="s">
        <v>1845</v>
      </c>
      <c r="P600" s="168">
        <v>44613</v>
      </c>
      <c r="Q600" s="286">
        <v>5.1036000000000001</v>
      </c>
      <c r="R600" s="286">
        <v>5.1374000000000004</v>
      </c>
      <c r="S600" s="286">
        <v>5.1551999999999998</v>
      </c>
      <c r="T600" s="286">
        <v>5.0746000000000002</v>
      </c>
      <c r="U600" s="284">
        <v>-6.7999999999999996E-3</v>
      </c>
      <c r="W600" s="168">
        <v>44580</v>
      </c>
      <c r="X600" s="288">
        <v>108013</v>
      </c>
      <c r="Y600" s="288">
        <v>106670</v>
      </c>
      <c r="Z600" s="288">
        <v>108602</v>
      </c>
      <c r="AA600" s="288">
        <v>106669</v>
      </c>
      <c r="AB600" s="284" t="s">
        <v>1732</v>
      </c>
      <c r="AC600" s="290">
        <v>1.26E-2</v>
      </c>
      <c r="AE600" s="168"/>
      <c r="AF600" s="286"/>
      <c r="AG600" s="286"/>
      <c r="AH600" s="286"/>
      <c r="AI600" s="286"/>
      <c r="AJ600" s="284"/>
    </row>
    <row r="601" spans="1:36" x14ac:dyDescent="0.3">
      <c r="A601" s="167">
        <v>44585</v>
      </c>
      <c r="B601" s="171">
        <v>23.17</v>
      </c>
      <c r="C601" s="171">
        <v>23.49</v>
      </c>
      <c r="D601" s="171">
        <v>23.75</v>
      </c>
      <c r="E601" s="171">
        <v>22.9</v>
      </c>
      <c r="F601" s="171" t="s">
        <v>1844</v>
      </c>
      <c r="G601" s="283">
        <v>-1.8200000000000001E-2</v>
      </c>
      <c r="I601" s="167">
        <v>44617</v>
      </c>
      <c r="J601" s="285">
        <v>2980.2</v>
      </c>
      <c r="K601" s="285">
        <v>2911.05</v>
      </c>
      <c r="L601" s="285">
        <v>2981.71</v>
      </c>
      <c r="M601" s="285">
        <v>2910.56</v>
      </c>
      <c r="N601" s="283" t="s">
        <v>1843</v>
      </c>
      <c r="P601" s="167">
        <v>44610</v>
      </c>
      <c r="Q601" s="285">
        <v>5.1384999999999996</v>
      </c>
      <c r="R601" s="285">
        <v>5.1718000000000002</v>
      </c>
      <c r="S601" s="285">
        <v>5.1765999999999996</v>
      </c>
      <c r="T601" s="285">
        <v>5.1087999999999996</v>
      </c>
      <c r="U601" s="283">
        <v>-6.4000000000000003E-3</v>
      </c>
      <c r="W601" s="167">
        <v>44579</v>
      </c>
      <c r="X601" s="287">
        <v>106668</v>
      </c>
      <c r="Y601" s="287">
        <v>106369</v>
      </c>
      <c r="Z601" s="287">
        <v>107013</v>
      </c>
      <c r="AA601" s="287">
        <v>105786</v>
      </c>
      <c r="AB601" s="283" t="s">
        <v>1614</v>
      </c>
      <c r="AC601" s="289">
        <v>2.8E-3</v>
      </c>
      <c r="AE601" s="167"/>
      <c r="AF601" s="285"/>
      <c r="AG601" s="285"/>
      <c r="AH601" s="285"/>
      <c r="AI601" s="285"/>
      <c r="AJ601" s="283"/>
    </row>
    <row r="602" spans="1:36" x14ac:dyDescent="0.3">
      <c r="A602" s="168">
        <v>44582</v>
      </c>
      <c r="B602" s="83">
        <v>23.6</v>
      </c>
      <c r="C602" s="83">
        <v>23.6</v>
      </c>
      <c r="D602" s="83">
        <v>23.92</v>
      </c>
      <c r="E602" s="83">
        <v>23.12</v>
      </c>
      <c r="F602" s="83" t="s">
        <v>1842</v>
      </c>
      <c r="G602" s="284">
        <v>-2.4799999999999999E-2</v>
      </c>
      <c r="I602" s="168">
        <v>44616</v>
      </c>
      <c r="J602" s="286">
        <v>2905.94</v>
      </c>
      <c r="K602" s="286">
        <v>2907.85</v>
      </c>
      <c r="L602" s="286">
        <v>2913.55</v>
      </c>
      <c r="M602" s="286">
        <v>2825.07</v>
      </c>
      <c r="N602" s="284" t="s">
        <v>1292</v>
      </c>
      <c r="P602" s="168">
        <v>44609</v>
      </c>
      <c r="Q602" s="286">
        <v>5.1718000000000002</v>
      </c>
      <c r="R602" s="286">
        <v>5.1360000000000001</v>
      </c>
      <c r="S602" s="286">
        <v>5.1840000000000002</v>
      </c>
      <c r="T602" s="286">
        <v>5.1238000000000001</v>
      </c>
      <c r="U602" s="284">
        <v>6.8999999999999999E-3</v>
      </c>
      <c r="W602" s="168">
        <v>44578</v>
      </c>
      <c r="X602" s="288">
        <v>106374</v>
      </c>
      <c r="Y602" s="288">
        <v>106927</v>
      </c>
      <c r="Z602" s="288">
        <v>106928</v>
      </c>
      <c r="AA602" s="288">
        <v>106097</v>
      </c>
      <c r="AB602" s="284" t="s">
        <v>1841</v>
      </c>
      <c r="AC602" s="290">
        <v>-5.1999999999999998E-3</v>
      </c>
      <c r="AE602" s="168"/>
      <c r="AF602" s="286"/>
      <c r="AG602" s="286"/>
      <c r="AH602" s="286"/>
      <c r="AI602" s="286"/>
      <c r="AJ602" s="284"/>
    </row>
    <row r="603" spans="1:36" x14ac:dyDescent="0.3">
      <c r="A603" s="167">
        <v>44581</v>
      </c>
      <c r="B603" s="171">
        <v>24.2</v>
      </c>
      <c r="C603" s="171">
        <v>23.8</v>
      </c>
      <c r="D603" s="171">
        <v>24.35</v>
      </c>
      <c r="E603" s="171">
        <v>23.41</v>
      </c>
      <c r="F603" s="171" t="s">
        <v>1838</v>
      </c>
      <c r="G603" s="283">
        <v>8.8000000000000005E-3</v>
      </c>
      <c r="I603" s="167">
        <v>44615</v>
      </c>
      <c r="J603" s="285">
        <v>2909.33</v>
      </c>
      <c r="K603" s="285">
        <v>2948.88</v>
      </c>
      <c r="L603" s="285">
        <v>2972.13</v>
      </c>
      <c r="M603" s="285">
        <v>2906.5</v>
      </c>
      <c r="N603" s="283" t="s">
        <v>1840</v>
      </c>
      <c r="P603" s="167">
        <v>44608</v>
      </c>
      <c r="Q603" s="285">
        <v>5.1364999999999998</v>
      </c>
      <c r="R603" s="285">
        <v>5.16</v>
      </c>
      <c r="S603" s="285">
        <v>5.1782000000000004</v>
      </c>
      <c r="T603" s="285">
        <v>5.1224999999999996</v>
      </c>
      <c r="U603" s="283">
        <v>-4.4000000000000003E-3</v>
      </c>
      <c r="W603" s="167">
        <v>44575</v>
      </c>
      <c r="X603" s="287">
        <v>106928</v>
      </c>
      <c r="Y603" s="287">
        <v>105530</v>
      </c>
      <c r="Z603" s="287">
        <v>107062</v>
      </c>
      <c r="AA603" s="287">
        <v>105028</v>
      </c>
      <c r="AB603" s="283" t="s">
        <v>1839</v>
      </c>
      <c r="AC603" s="289">
        <v>1.3299999999999999E-2</v>
      </c>
      <c r="AE603" s="167"/>
      <c r="AF603" s="285"/>
      <c r="AG603" s="285"/>
      <c r="AH603" s="285"/>
      <c r="AI603" s="285"/>
      <c r="AJ603" s="283"/>
    </row>
    <row r="604" spans="1:36" x14ac:dyDescent="0.3">
      <c r="A604" s="168">
        <v>44580</v>
      </c>
      <c r="B604" s="83">
        <v>23.99</v>
      </c>
      <c r="C604" s="83">
        <v>24.34</v>
      </c>
      <c r="D604" s="83">
        <v>24.57</v>
      </c>
      <c r="E604" s="83">
        <v>23.72</v>
      </c>
      <c r="F604" s="83" t="s">
        <v>1838</v>
      </c>
      <c r="G604" s="284">
        <v>2.8999999999999998E-3</v>
      </c>
      <c r="I604" s="168">
        <v>44614</v>
      </c>
      <c r="J604" s="286">
        <v>2949.64</v>
      </c>
      <c r="K604" s="286">
        <v>2972.45</v>
      </c>
      <c r="L604" s="286">
        <v>2979.85</v>
      </c>
      <c r="M604" s="286">
        <v>2930.66</v>
      </c>
      <c r="N604" s="284" t="s">
        <v>1837</v>
      </c>
      <c r="P604" s="168">
        <v>44607</v>
      </c>
      <c r="Q604" s="286">
        <v>5.1589999999999998</v>
      </c>
      <c r="R604" s="286">
        <v>5.2187999999999999</v>
      </c>
      <c r="S604" s="286">
        <v>5.2211999999999996</v>
      </c>
      <c r="T604" s="286">
        <v>5.1585000000000001</v>
      </c>
      <c r="U604" s="284">
        <v>-1.0699999999999999E-2</v>
      </c>
      <c r="W604" s="168">
        <v>44574</v>
      </c>
      <c r="X604" s="288">
        <v>105530</v>
      </c>
      <c r="Y604" s="288">
        <v>105686</v>
      </c>
      <c r="Z604" s="288">
        <v>106251</v>
      </c>
      <c r="AA604" s="288">
        <v>104974</v>
      </c>
      <c r="AB604" s="284" t="s">
        <v>1836</v>
      </c>
      <c r="AC604" s="290">
        <v>-1.5E-3</v>
      </c>
      <c r="AE604" s="168"/>
      <c r="AF604" s="286"/>
      <c r="AG604" s="286"/>
      <c r="AH604" s="286"/>
      <c r="AI604" s="286"/>
      <c r="AJ604" s="284"/>
    </row>
    <row r="605" spans="1:36" x14ac:dyDescent="0.3">
      <c r="A605" s="167">
        <v>44579</v>
      </c>
      <c r="B605" s="171">
        <v>23.92</v>
      </c>
      <c r="C605" s="171">
        <v>23.04</v>
      </c>
      <c r="D605" s="171">
        <v>24.07</v>
      </c>
      <c r="E605" s="171">
        <v>23</v>
      </c>
      <c r="F605" s="171" t="s">
        <v>1835</v>
      </c>
      <c r="G605" s="283">
        <v>4.82E-2</v>
      </c>
      <c r="I605" s="167">
        <v>44613</v>
      </c>
      <c r="J605" s="285">
        <v>2975.91</v>
      </c>
      <c r="K605" s="285">
        <v>2982.91</v>
      </c>
      <c r="L605" s="285">
        <v>2988.42</v>
      </c>
      <c r="M605" s="285">
        <v>2972.05</v>
      </c>
      <c r="N605" s="283" t="s">
        <v>1602</v>
      </c>
      <c r="P605" s="167">
        <v>44606</v>
      </c>
      <c r="Q605" s="285">
        <v>5.2149000000000001</v>
      </c>
      <c r="R605" s="285">
        <v>5.2560000000000002</v>
      </c>
      <c r="S605" s="285">
        <v>5.2670000000000003</v>
      </c>
      <c r="T605" s="285">
        <v>5.1954000000000002</v>
      </c>
      <c r="U605" s="283">
        <v>-7.1999999999999998E-3</v>
      </c>
      <c r="W605" s="167">
        <v>44573</v>
      </c>
      <c r="X605" s="287">
        <v>105686</v>
      </c>
      <c r="Y605" s="287">
        <v>103779</v>
      </c>
      <c r="Z605" s="287">
        <v>105869</v>
      </c>
      <c r="AA605" s="287">
        <v>103771</v>
      </c>
      <c r="AB605" s="283" t="s">
        <v>1765</v>
      </c>
      <c r="AC605" s="289">
        <v>1.84E-2</v>
      </c>
      <c r="AE605" s="167"/>
      <c r="AF605" s="285"/>
      <c r="AG605" s="285"/>
      <c r="AH605" s="285"/>
      <c r="AI605" s="285"/>
      <c r="AJ605" s="283"/>
    </row>
    <row r="606" spans="1:36" x14ac:dyDescent="0.3">
      <c r="A606" s="168">
        <v>44578</v>
      </c>
      <c r="B606" s="83">
        <v>22.82</v>
      </c>
      <c r="C606" s="83">
        <v>22.9</v>
      </c>
      <c r="D606" s="83">
        <v>23.34</v>
      </c>
      <c r="E606" s="83">
        <v>22.44</v>
      </c>
      <c r="F606" s="83" t="s">
        <v>1834</v>
      </c>
      <c r="G606" s="284">
        <v>-3.5000000000000001E-3</v>
      </c>
      <c r="I606" s="168">
        <v>44610</v>
      </c>
      <c r="J606" s="286">
        <v>2983.59</v>
      </c>
      <c r="K606" s="286">
        <v>3008.48</v>
      </c>
      <c r="L606" s="286">
        <v>3011.47</v>
      </c>
      <c r="M606" s="286">
        <v>2973.25</v>
      </c>
      <c r="N606" s="284" t="s">
        <v>1205</v>
      </c>
      <c r="P606" s="168">
        <v>44603</v>
      </c>
      <c r="Q606" s="286">
        <v>5.2526999999999999</v>
      </c>
      <c r="R606" s="286">
        <v>5.2365000000000004</v>
      </c>
      <c r="S606" s="286">
        <v>5.2659000000000002</v>
      </c>
      <c r="T606" s="286">
        <v>5.1805000000000003</v>
      </c>
      <c r="U606" s="284">
        <v>5.9999999999999995E-4</v>
      </c>
      <c r="W606" s="168">
        <v>44572</v>
      </c>
      <c r="X606" s="288">
        <v>103779</v>
      </c>
      <c r="Y606" s="288">
        <v>101946</v>
      </c>
      <c r="Z606" s="288">
        <v>103780</v>
      </c>
      <c r="AA606" s="288">
        <v>101918</v>
      </c>
      <c r="AB606" s="284" t="s">
        <v>1833</v>
      </c>
      <c r="AC606" s="290">
        <v>1.7999999999999999E-2</v>
      </c>
      <c r="AE606" s="168"/>
      <c r="AF606" s="286"/>
      <c r="AG606" s="286"/>
      <c r="AH606" s="286"/>
      <c r="AI606" s="286"/>
      <c r="AJ606" s="284"/>
    </row>
    <row r="607" spans="1:36" x14ac:dyDescent="0.3">
      <c r="A607" s="167">
        <v>44575</v>
      </c>
      <c r="B607" s="171">
        <v>22.9</v>
      </c>
      <c r="C607" s="171">
        <v>22.27</v>
      </c>
      <c r="D607" s="171">
        <v>23.05</v>
      </c>
      <c r="E607" s="171">
        <v>22.06</v>
      </c>
      <c r="F607" s="171" t="s">
        <v>1832</v>
      </c>
      <c r="G607" s="283">
        <v>0.04</v>
      </c>
      <c r="I607" s="167">
        <v>44609</v>
      </c>
      <c r="J607" s="285">
        <v>3009.09</v>
      </c>
      <c r="K607" s="285">
        <v>3061.12</v>
      </c>
      <c r="L607" s="285">
        <v>3062.14</v>
      </c>
      <c r="M607" s="285">
        <v>3006.09</v>
      </c>
      <c r="N607" s="283" t="s">
        <v>1831</v>
      </c>
      <c r="P607" s="167">
        <v>44602</v>
      </c>
      <c r="Q607" s="285">
        <v>5.2496</v>
      </c>
      <c r="R607" s="285">
        <v>5.2389000000000001</v>
      </c>
      <c r="S607" s="285">
        <v>5.2557</v>
      </c>
      <c r="T607" s="285">
        <v>5.1726999999999999</v>
      </c>
      <c r="U607" s="283">
        <v>2.7000000000000001E-3</v>
      </c>
      <c r="W607" s="167">
        <v>44571</v>
      </c>
      <c r="X607" s="287">
        <v>101945</v>
      </c>
      <c r="Y607" s="287">
        <v>102719</v>
      </c>
      <c r="Z607" s="287">
        <v>102719</v>
      </c>
      <c r="AA607" s="287">
        <v>101038</v>
      </c>
      <c r="AB607" s="283" t="s">
        <v>1830</v>
      </c>
      <c r="AC607" s="289">
        <v>-7.4999999999999997E-3</v>
      </c>
      <c r="AE607" s="167"/>
      <c r="AF607" s="285"/>
      <c r="AG607" s="285"/>
      <c r="AH607" s="285"/>
      <c r="AI607" s="285"/>
      <c r="AJ607" s="283"/>
    </row>
    <row r="608" spans="1:36" x14ac:dyDescent="0.3">
      <c r="A608" s="168">
        <v>44574</v>
      </c>
      <c r="B608" s="83">
        <v>22.02</v>
      </c>
      <c r="C608" s="83">
        <v>21.18</v>
      </c>
      <c r="D608" s="83">
        <v>22.61</v>
      </c>
      <c r="E608" s="83">
        <v>21.18</v>
      </c>
      <c r="F608" s="83" t="s">
        <v>1829</v>
      </c>
      <c r="G608" s="284">
        <v>3.09E-2</v>
      </c>
      <c r="I608" s="168">
        <v>44608</v>
      </c>
      <c r="J608" s="286">
        <v>3060.29</v>
      </c>
      <c r="K608" s="286">
        <v>3055.11</v>
      </c>
      <c r="L608" s="286">
        <v>3067.76</v>
      </c>
      <c r="M608" s="286">
        <v>3039.13</v>
      </c>
      <c r="N608" s="284" t="s">
        <v>1203</v>
      </c>
      <c r="P608" s="168">
        <v>44601</v>
      </c>
      <c r="Q608" s="286">
        <v>5.2354000000000003</v>
      </c>
      <c r="R608" s="286">
        <v>5.26</v>
      </c>
      <c r="S608" s="286">
        <v>5.2910000000000004</v>
      </c>
      <c r="T608" s="286">
        <v>5.2126000000000001</v>
      </c>
      <c r="U608" s="284">
        <v>-4.4999999999999997E-3</v>
      </c>
      <c r="W608" s="168">
        <v>44568</v>
      </c>
      <c r="X608" s="288">
        <v>102719</v>
      </c>
      <c r="Y608" s="288">
        <v>101561</v>
      </c>
      <c r="Z608" s="288">
        <v>102719</v>
      </c>
      <c r="AA608" s="288">
        <v>101104</v>
      </c>
      <c r="AB608" s="284" t="s">
        <v>1703</v>
      </c>
      <c r="AC608" s="290">
        <v>1.14E-2</v>
      </c>
      <c r="AE608" s="168"/>
      <c r="AF608" s="286"/>
      <c r="AG608" s="286"/>
      <c r="AH608" s="286"/>
      <c r="AI608" s="286"/>
      <c r="AJ608" s="284"/>
    </row>
    <row r="609" spans="1:36" x14ac:dyDescent="0.3">
      <c r="A609" s="167">
        <v>44573</v>
      </c>
      <c r="B609" s="171">
        <v>21.36</v>
      </c>
      <c r="C609" s="171">
        <v>21.25</v>
      </c>
      <c r="D609" s="171">
        <v>21.64</v>
      </c>
      <c r="E609" s="171">
        <v>20.99</v>
      </c>
      <c r="F609" s="171" t="s">
        <v>1828</v>
      </c>
      <c r="G609" s="283">
        <v>7.4999999999999997E-3</v>
      </c>
      <c r="I609" s="167">
        <v>44607</v>
      </c>
      <c r="J609" s="285">
        <v>3054.26</v>
      </c>
      <c r="K609" s="285">
        <v>3012</v>
      </c>
      <c r="L609" s="285">
        <v>3055.95</v>
      </c>
      <c r="M609" s="285">
        <v>3007.91</v>
      </c>
      <c r="N609" s="283" t="s">
        <v>1827</v>
      </c>
      <c r="P609" s="167">
        <v>44600</v>
      </c>
      <c r="Q609" s="285">
        <v>5.2592999999999996</v>
      </c>
      <c r="R609" s="285">
        <v>5.2633999999999999</v>
      </c>
      <c r="S609" s="285">
        <v>5.29</v>
      </c>
      <c r="T609" s="285">
        <v>5.2507999999999999</v>
      </c>
      <c r="U609" s="283">
        <v>-8.0000000000000004E-4</v>
      </c>
      <c r="W609" s="167">
        <v>44567</v>
      </c>
      <c r="X609" s="287">
        <v>101561</v>
      </c>
      <c r="Y609" s="287">
        <v>101006</v>
      </c>
      <c r="Z609" s="287">
        <v>102235</v>
      </c>
      <c r="AA609" s="287">
        <v>101000</v>
      </c>
      <c r="AB609" s="283" t="s">
        <v>1617</v>
      </c>
      <c r="AC609" s="289">
        <v>5.4999999999999997E-3</v>
      </c>
      <c r="AE609" s="167"/>
      <c r="AF609" s="285"/>
      <c r="AG609" s="285"/>
      <c r="AH609" s="285"/>
      <c r="AI609" s="285"/>
      <c r="AJ609" s="283"/>
    </row>
    <row r="610" spans="1:36" x14ac:dyDescent="0.3">
      <c r="A610" s="168">
        <v>44572</v>
      </c>
      <c r="B610" s="83">
        <v>21.2</v>
      </c>
      <c r="C610" s="83">
        <v>20.21</v>
      </c>
      <c r="D610" s="83">
        <v>21.35</v>
      </c>
      <c r="E610" s="83">
        <v>20.21</v>
      </c>
      <c r="F610" s="83" t="s">
        <v>1826</v>
      </c>
      <c r="G610" s="284">
        <v>5.2600000000000001E-2</v>
      </c>
      <c r="I610" s="168">
        <v>44606</v>
      </c>
      <c r="J610" s="286">
        <v>3011.45</v>
      </c>
      <c r="K610" s="286">
        <v>3036.51</v>
      </c>
      <c r="L610" s="286">
        <v>3037.83</v>
      </c>
      <c r="M610" s="286">
        <v>2994.81</v>
      </c>
      <c r="N610" s="284" t="s">
        <v>1825</v>
      </c>
      <c r="P610" s="168">
        <v>44599</v>
      </c>
      <c r="Q610" s="286">
        <v>5.2636000000000003</v>
      </c>
      <c r="R610" s="286">
        <v>5.3259999999999996</v>
      </c>
      <c r="S610" s="286">
        <v>5.3282999999999996</v>
      </c>
      <c r="T610" s="286">
        <v>5.2491000000000003</v>
      </c>
      <c r="U610" s="284">
        <v>-1.21E-2</v>
      </c>
      <c r="W610" s="168">
        <v>44566</v>
      </c>
      <c r="X610" s="288">
        <v>101006</v>
      </c>
      <c r="Y610" s="288">
        <v>103514</v>
      </c>
      <c r="Z610" s="288">
        <v>103514</v>
      </c>
      <c r="AA610" s="288">
        <v>100850</v>
      </c>
      <c r="AB610" s="284" t="s">
        <v>1525</v>
      </c>
      <c r="AC610" s="290">
        <v>-2.4199999999999999E-2</v>
      </c>
      <c r="AE610" s="168"/>
      <c r="AF610" s="286"/>
      <c r="AG610" s="286"/>
      <c r="AH610" s="286"/>
      <c r="AI610" s="286"/>
      <c r="AJ610" s="284"/>
    </row>
    <row r="611" spans="1:36" x14ac:dyDescent="0.3">
      <c r="A611" s="167">
        <v>44571</v>
      </c>
      <c r="B611" s="171">
        <v>20.14</v>
      </c>
      <c r="C611" s="171">
        <v>19.559999999999999</v>
      </c>
      <c r="D611" s="171">
        <v>20.45</v>
      </c>
      <c r="E611" s="171">
        <v>19.22</v>
      </c>
      <c r="F611" s="171" t="s">
        <v>1824</v>
      </c>
      <c r="G611" s="283">
        <v>1.61E-2</v>
      </c>
      <c r="I611" s="167">
        <v>44603</v>
      </c>
      <c r="J611" s="285">
        <v>3039.18</v>
      </c>
      <c r="K611" s="285">
        <v>3084.7</v>
      </c>
      <c r="L611" s="285">
        <v>3092.76</v>
      </c>
      <c r="M611" s="285">
        <v>3028.46</v>
      </c>
      <c r="N611" s="283" t="s">
        <v>1823</v>
      </c>
      <c r="P611" s="167">
        <v>44596</v>
      </c>
      <c r="Q611" s="285">
        <v>5.3278999999999996</v>
      </c>
      <c r="R611" s="285">
        <v>5.3026999999999997</v>
      </c>
      <c r="S611" s="285">
        <v>5.3509000000000002</v>
      </c>
      <c r="T611" s="285">
        <v>5.2778</v>
      </c>
      <c r="U611" s="283">
        <v>8.3000000000000001E-3</v>
      </c>
      <c r="W611" s="167">
        <v>44565</v>
      </c>
      <c r="X611" s="287">
        <v>103514</v>
      </c>
      <c r="Y611" s="287">
        <v>103922</v>
      </c>
      <c r="Z611" s="287">
        <v>104276</v>
      </c>
      <c r="AA611" s="287">
        <v>103096</v>
      </c>
      <c r="AB611" s="283" t="s">
        <v>1822</v>
      </c>
      <c r="AC611" s="289">
        <v>-3.8999999999999998E-3</v>
      </c>
      <c r="AE611" s="167"/>
      <c r="AF611" s="285"/>
      <c r="AG611" s="285"/>
      <c r="AH611" s="285"/>
      <c r="AI611" s="285"/>
      <c r="AJ611" s="283"/>
    </row>
    <row r="612" spans="1:36" x14ac:dyDescent="0.3">
      <c r="A612" s="168">
        <v>44568</v>
      </c>
      <c r="B612" s="83">
        <v>19.82</v>
      </c>
      <c r="C612" s="83">
        <v>19.079999999999998</v>
      </c>
      <c r="D612" s="83">
        <v>20.28</v>
      </c>
      <c r="E612" s="83">
        <v>18.84</v>
      </c>
      <c r="F612" s="83" t="s">
        <v>1821</v>
      </c>
      <c r="G612" s="284">
        <v>4.5400000000000003E-2</v>
      </c>
      <c r="I612" s="168">
        <v>44602</v>
      </c>
      <c r="J612" s="286">
        <v>3087.98</v>
      </c>
      <c r="K612" s="286">
        <v>3124.31</v>
      </c>
      <c r="L612" s="286">
        <v>3132.49</v>
      </c>
      <c r="M612" s="286">
        <v>3075.49</v>
      </c>
      <c r="N612" s="284" t="s">
        <v>1820</v>
      </c>
      <c r="P612" s="168">
        <v>44595</v>
      </c>
      <c r="Q612" s="286">
        <v>5.2839</v>
      </c>
      <c r="R612" s="286">
        <v>5.2765000000000004</v>
      </c>
      <c r="S612" s="286">
        <v>5.3231999999999999</v>
      </c>
      <c r="T612" s="286">
        <v>5.2717000000000001</v>
      </c>
      <c r="U612" s="284">
        <v>4.1999999999999997E-3</v>
      </c>
      <c r="W612" s="168">
        <v>44564</v>
      </c>
      <c r="X612" s="288">
        <v>103922</v>
      </c>
      <c r="Y612" s="288">
        <v>104823</v>
      </c>
      <c r="Z612" s="288">
        <v>106125</v>
      </c>
      <c r="AA612" s="288">
        <v>103413</v>
      </c>
      <c r="AB612" s="284" t="s">
        <v>1782</v>
      </c>
      <c r="AC612" s="290">
        <v>-8.6E-3</v>
      </c>
      <c r="AE612" s="168"/>
      <c r="AF612" s="286"/>
      <c r="AG612" s="286"/>
      <c r="AH612" s="286"/>
      <c r="AI612" s="286"/>
      <c r="AJ612" s="284"/>
    </row>
    <row r="613" spans="1:36" x14ac:dyDescent="0.3">
      <c r="A613" s="167">
        <v>44567</v>
      </c>
      <c r="B613" s="171">
        <v>18.96</v>
      </c>
      <c r="C613" s="171">
        <v>19.010000000000002</v>
      </c>
      <c r="D613" s="171">
        <v>19.440000000000001</v>
      </c>
      <c r="E613" s="171">
        <v>18.68</v>
      </c>
      <c r="F613" s="171" t="s">
        <v>1819</v>
      </c>
      <c r="G613" s="283">
        <v>2.5399999999999999E-2</v>
      </c>
      <c r="I613" s="167">
        <v>44601</v>
      </c>
      <c r="J613" s="285">
        <v>3124.93</v>
      </c>
      <c r="K613" s="285">
        <v>3077.19</v>
      </c>
      <c r="L613" s="285">
        <v>3125.51</v>
      </c>
      <c r="M613" s="285">
        <v>3077.13</v>
      </c>
      <c r="N613" s="283" t="s">
        <v>1818</v>
      </c>
      <c r="P613" s="167">
        <v>44594</v>
      </c>
      <c r="Q613" s="285">
        <v>5.2619999999999996</v>
      </c>
      <c r="R613" s="285">
        <v>5.2686999999999999</v>
      </c>
      <c r="S613" s="285">
        <v>5.3151000000000002</v>
      </c>
      <c r="T613" s="285">
        <v>5.2539999999999996</v>
      </c>
      <c r="U613" s="283">
        <v>-6.9999999999999999E-4</v>
      </c>
      <c r="W613" s="167">
        <v>44560</v>
      </c>
      <c r="X613" s="287">
        <v>104822</v>
      </c>
      <c r="Y613" s="287">
        <v>104106</v>
      </c>
      <c r="Z613" s="287">
        <v>105269</v>
      </c>
      <c r="AA613" s="287">
        <v>104106</v>
      </c>
      <c r="AB613" s="283" t="s">
        <v>1817</v>
      </c>
      <c r="AC613" s="289">
        <v>6.8999999999999999E-3</v>
      </c>
      <c r="AE613" s="167"/>
      <c r="AF613" s="285"/>
      <c r="AG613" s="285"/>
      <c r="AH613" s="285"/>
      <c r="AI613" s="285"/>
      <c r="AJ613" s="283"/>
    </row>
    <row r="614" spans="1:36" x14ac:dyDescent="0.3">
      <c r="A614" s="168">
        <v>44566</v>
      </c>
      <c r="B614" s="83">
        <v>18.489999999999998</v>
      </c>
      <c r="C614" s="83">
        <v>20.6</v>
      </c>
      <c r="D614" s="83">
        <v>20.64</v>
      </c>
      <c r="E614" s="83">
        <v>18.489999999999998</v>
      </c>
      <c r="F614" s="83" t="s">
        <v>1816</v>
      </c>
      <c r="G614" s="284">
        <v>-0.1076</v>
      </c>
      <c r="I614" s="168">
        <v>44600</v>
      </c>
      <c r="J614" s="286">
        <v>3077.13</v>
      </c>
      <c r="K614" s="286">
        <v>3059.46</v>
      </c>
      <c r="L614" s="286">
        <v>3082.16</v>
      </c>
      <c r="M614" s="286">
        <v>3046.88</v>
      </c>
      <c r="N614" s="284" t="s">
        <v>1815</v>
      </c>
      <c r="P614" s="168">
        <v>44593</v>
      </c>
      <c r="Q614" s="286">
        <v>5.2655000000000003</v>
      </c>
      <c r="R614" s="286">
        <v>5.2983000000000002</v>
      </c>
      <c r="S614" s="286">
        <v>5.3182</v>
      </c>
      <c r="T614" s="286">
        <v>5.2638999999999996</v>
      </c>
      <c r="U614" s="284">
        <v>-7.3000000000000001E-3</v>
      </c>
      <c r="W614" s="168">
        <v>44559</v>
      </c>
      <c r="X614" s="288">
        <v>104107</v>
      </c>
      <c r="Y614" s="288">
        <v>104863</v>
      </c>
      <c r="Z614" s="288">
        <v>105190</v>
      </c>
      <c r="AA614" s="288">
        <v>103851</v>
      </c>
      <c r="AB614" s="284" t="s">
        <v>1814</v>
      </c>
      <c r="AC614" s="290">
        <v>-7.1999999999999998E-3</v>
      </c>
      <c r="AE614" s="168"/>
      <c r="AF614" s="286"/>
      <c r="AG614" s="286"/>
      <c r="AH614" s="286"/>
      <c r="AI614" s="286"/>
      <c r="AJ614" s="284"/>
    </row>
    <row r="615" spans="1:36" x14ac:dyDescent="0.3">
      <c r="A615" s="167">
        <v>44565</v>
      </c>
      <c r="B615" s="171">
        <v>20.72</v>
      </c>
      <c r="C615" s="171">
        <v>20.51</v>
      </c>
      <c r="D615" s="171">
        <v>20.85</v>
      </c>
      <c r="E615" s="171">
        <v>20.03</v>
      </c>
      <c r="F615" s="171" t="s">
        <v>1813</v>
      </c>
      <c r="G615" s="283">
        <v>2.12E-2</v>
      </c>
      <c r="I615" s="167">
        <v>44599</v>
      </c>
      <c r="J615" s="285">
        <v>3059.44</v>
      </c>
      <c r="K615" s="285">
        <v>3062.22</v>
      </c>
      <c r="L615" s="285">
        <v>3077.95</v>
      </c>
      <c r="M615" s="285">
        <v>3053.56</v>
      </c>
      <c r="N615" s="283" t="s">
        <v>1812</v>
      </c>
      <c r="P615" s="167">
        <v>44592</v>
      </c>
      <c r="Q615" s="285">
        <v>5.3041</v>
      </c>
      <c r="R615" s="285">
        <v>5.3697999999999997</v>
      </c>
      <c r="S615" s="285">
        <v>5.3981000000000003</v>
      </c>
      <c r="T615" s="285">
        <v>5.2838000000000003</v>
      </c>
      <c r="U615" s="283">
        <v>-1.18E-2</v>
      </c>
      <c r="W615" s="167">
        <v>44558</v>
      </c>
      <c r="X615" s="287">
        <v>104864</v>
      </c>
      <c r="Y615" s="287">
        <v>105555</v>
      </c>
      <c r="Z615" s="287">
        <v>105652</v>
      </c>
      <c r="AA615" s="287">
        <v>104503</v>
      </c>
      <c r="AB615" s="283" t="s">
        <v>1811</v>
      </c>
      <c r="AC615" s="289">
        <v>-6.4999999999999997E-3</v>
      </c>
      <c r="AE615" s="167"/>
      <c r="AF615" s="285"/>
      <c r="AG615" s="285"/>
      <c r="AH615" s="285"/>
      <c r="AI615" s="285"/>
      <c r="AJ615" s="283"/>
    </row>
    <row r="616" spans="1:36" x14ac:dyDescent="0.3">
      <c r="A616" s="168">
        <v>44564</v>
      </c>
      <c r="B616" s="83">
        <v>20.29</v>
      </c>
      <c r="C616" s="83">
        <v>20.66</v>
      </c>
      <c r="D616" s="83">
        <v>21.17</v>
      </c>
      <c r="E616" s="83">
        <v>20.29</v>
      </c>
      <c r="F616" s="83" t="s">
        <v>1810</v>
      </c>
      <c r="G616" s="284">
        <v>-1.84E-2</v>
      </c>
      <c r="I616" s="168">
        <v>44596</v>
      </c>
      <c r="J616" s="286">
        <v>3061.46</v>
      </c>
      <c r="K616" s="286">
        <v>3052.58</v>
      </c>
      <c r="L616" s="286">
        <v>3080.76</v>
      </c>
      <c r="M616" s="286">
        <v>3036.55</v>
      </c>
      <c r="N616" s="284" t="s">
        <v>1412</v>
      </c>
      <c r="P616" s="168">
        <v>44589</v>
      </c>
      <c r="Q616" s="286">
        <v>5.3673999999999999</v>
      </c>
      <c r="R616" s="286">
        <v>5.4099000000000004</v>
      </c>
      <c r="S616" s="286">
        <v>5.4330999999999996</v>
      </c>
      <c r="T616" s="286">
        <v>5.3663999999999996</v>
      </c>
      <c r="U616" s="284">
        <v>-7.1999999999999998E-3</v>
      </c>
      <c r="W616" s="168">
        <v>44557</v>
      </c>
      <c r="X616" s="288">
        <v>105554</v>
      </c>
      <c r="Y616" s="288">
        <v>104892</v>
      </c>
      <c r="Z616" s="288">
        <v>105694</v>
      </c>
      <c r="AA616" s="288">
        <v>104798</v>
      </c>
      <c r="AB616" s="284" t="s">
        <v>1809</v>
      </c>
      <c r="AC616" s="290">
        <v>6.3E-3</v>
      </c>
      <c r="AE616" s="168"/>
      <c r="AF616" s="286"/>
      <c r="AG616" s="286"/>
      <c r="AH616" s="286"/>
      <c r="AI616" s="286"/>
      <c r="AJ616" s="284"/>
    </row>
    <row r="617" spans="1:36" x14ac:dyDescent="0.3">
      <c r="A617" s="167">
        <v>44560</v>
      </c>
      <c r="B617" s="171">
        <v>20.67</v>
      </c>
      <c r="C617" s="171">
        <v>19.96</v>
      </c>
      <c r="D617" s="171">
        <v>20.85</v>
      </c>
      <c r="E617" s="171">
        <v>19.96</v>
      </c>
      <c r="F617" s="171" t="s">
        <v>1808</v>
      </c>
      <c r="G617" s="283">
        <v>3.09E-2</v>
      </c>
      <c r="I617" s="167">
        <v>44595</v>
      </c>
      <c r="J617" s="285">
        <v>3052.5</v>
      </c>
      <c r="K617" s="285">
        <v>3114.38</v>
      </c>
      <c r="L617" s="285">
        <v>3114.38</v>
      </c>
      <c r="M617" s="285">
        <v>3049.47</v>
      </c>
      <c r="N617" s="283" t="s">
        <v>1807</v>
      </c>
      <c r="P617" s="167">
        <v>44588</v>
      </c>
      <c r="Q617" s="285">
        <v>5.4065000000000003</v>
      </c>
      <c r="R617" s="285">
        <v>5.4336000000000002</v>
      </c>
      <c r="S617" s="285">
        <v>5.4355000000000002</v>
      </c>
      <c r="T617" s="285">
        <v>5.3532000000000002</v>
      </c>
      <c r="U617" s="283">
        <v>-4.7999999999999996E-3</v>
      </c>
      <c r="W617" s="167">
        <v>44553</v>
      </c>
      <c r="X617" s="287">
        <v>104891</v>
      </c>
      <c r="Y617" s="287">
        <v>105251</v>
      </c>
      <c r="Z617" s="287">
        <v>105453</v>
      </c>
      <c r="AA617" s="287">
        <v>104637</v>
      </c>
      <c r="AB617" s="283" t="s">
        <v>1479</v>
      </c>
      <c r="AC617" s="289">
        <v>-3.3E-3</v>
      </c>
      <c r="AE617" s="167"/>
      <c r="AF617" s="285"/>
      <c r="AG617" s="285"/>
      <c r="AH617" s="285"/>
      <c r="AI617" s="285"/>
      <c r="AJ617" s="283"/>
    </row>
    <row r="618" spans="1:36" x14ac:dyDescent="0.3">
      <c r="A618" s="168">
        <v>44559</v>
      </c>
      <c r="B618" s="83">
        <v>20.05</v>
      </c>
      <c r="C618" s="83">
        <v>20.100000000000001</v>
      </c>
      <c r="D618" s="83">
        <v>20.329999999999998</v>
      </c>
      <c r="E618" s="83">
        <v>19.88</v>
      </c>
      <c r="F618" s="83" t="s">
        <v>1501</v>
      </c>
      <c r="G618" s="284">
        <v>0</v>
      </c>
      <c r="I618" s="168">
        <v>44594</v>
      </c>
      <c r="J618" s="286">
        <v>3113.84</v>
      </c>
      <c r="K618" s="286">
        <v>3089.29</v>
      </c>
      <c r="L618" s="286">
        <v>3117.43</v>
      </c>
      <c r="M618" s="286">
        <v>3089.23</v>
      </c>
      <c r="N618" s="284" t="s">
        <v>1806</v>
      </c>
      <c r="P618" s="168">
        <v>44587</v>
      </c>
      <c r="Q618" s="286">
        <v>5.4324000000000003</v>
      </c>
      <c r="R618" s="286">
        <v>5.4455999999999998</v>
      </c>
      <c r="S618" s="286">
        <v>5.4676</v>
      </c>
      <c r="T618" s="286">
        <v>5.3917999999999999</v>
      </c>
      <c r="U618" s="284">
        <v>-2.0999999999999999E-3</v>
      </c>
      <c r="W618" s="168">
        <v>44552</v>
      </c>
      <c r="X618" s="288">
        <v>105244</v>
      </c>
      <c r="Y618" s="288">
        <v>105499</v>
      </c>
      <c r="Z618" s="288">
        <v>105711</v>
      </c>
      <c r="AA618" s="288">
        <v>104386</v>
      </c>
      <c r="AB618" s="284" t="s">
        <v>1805</v>
      </c>
      <c r="AC618" s="290">
        <v>-2.3999999999999998E-3</v>
      </c>
      <c r="AE618" s="168"/>
      <c r="AF618" s="286"/>
      <c r="AG618" s="286"/>
      <c r="AH618" s="286"/>
      <c r="AI618" s="286"/>
      <c r="AJ618" s="284"/>
    </row>
    <row r="619" spans="1:36" x14ac:dyDescent="0.3">
      <c r="A619" s="167">
        <v>44558</v>
      </c>
      <c r="B619" s="171">
        <v>20.05</v>
      </c>
      <c r="C619" s="171">
        <v>20.8</v>
      </c>
      <c r="D619" s="171">
        <v>21.44</v>
      </c>
      <c r="E619" s="171">
        <v>20.02</v>
      </c>
      <c r="F619" s="171" t="s">
        <v>1804</v>
      </c>
      <c r="G619" s="283">
        <v>-2.9499999999999998E-2</v>
      </c>
      <c r="I619" s="167">
        <v>44593</v>
      </c>
      <c r="J619" s="285">
        <v>3086.62</v>
      </c>
      <c r="K619" s="285">
        <v>3060.64</v>
      </c>
      <c r="L619" s="285">
        <v>3089.34</v>
      </c>
      <c r="M619" s="285">
        <v>3052.06</v>
      </c>
      <c r="N619" s="283" t="s">
        <v>1803</v>
      </c>
      <c r="P619" s="167">
        <v>44586</v>
      </c>
      <c r="Q619" s="285">
        <v>5.4436999999999998</v>
      </c>
      <c r="R619" s="285">
        <v>5.4880000000000004</v>
      </c>
      <c r="S619" s="285">
        <v>5.5220000000000002</v>
      </c>
      <c r="T619" s="285">
        <v>5.4278000000000004</v>
      </c>
      <c r="U619" s="283">
        <v>-8.0000000000000002E-3</v>
      </c>
      <c r="W619" s="167">
        <v>44551</v>
      </c>
      <c r="X619" s="287">
        <v>105500</v>
      </c>
      <c r="Y619" s="287">
        <v>105020</v>
      </c>
      <c r="Z619" s="287">
        <v>105906</v>
      </c>
      <c r="AA619" s="287">
        <v>105020</v>
      </c>
      <c r="AB619" s="283" t="s">
        <v>1585</v>
      </c>
      <c r="AC619" s="289">
        <v>4.5999999999999999E-3</v>
      </c>
      <c r="AE619" s="167"/>
      <c r="AF619" s="285"/>
      <c r="AG619" s="285"/>
      <c r="AH619" s="285"/>
      <c r="AI619" s="285"/>
      <c r="AJ619" s="283"/>
    </row>
    <row r="620" spans="1:36" x14ac:dyDescent="0.3">
      <c r="A620" s="168">
        <v>44557</v>
      </c>
      <c r="B620" s="83">
        <v>20.66</v>
      </c>
      <c r="C620" s="83">
        <v>19.53</v>
      </c>
      <c r="D620" s="83">
        <v>20.73</v>
      </c>
      <c r="E620" s="83">
        <v>19.52</v>
      </c>
      <c r="F620" s="83" t="s">
        <v>1802</v>
      </c>
      <c r="G620" s="284">
        <v>4.87E-2</v>
      </c>
      <c r="I620" s="168">
        <v>44592</v>
      </c>
      <c r="J620" s="286">
        <v>3059.05</v>
      </c>
      <c r="K620" s="286">
        <v>3004.47</v>
      </c>
      <c r="L620" s="286">
        <v>3061.44</v>
      </c>
      <c r="M620" s="286">
        <v>3003.11</v>
      </c>
      <c r="N620" s="284" t="s">
        <v>1801</v>
      </c>
      <c r="P620" s="168">
        <v>44585</v>
      </c>
      <c r="Q620" s="286">
        <v>5.4877000000000002</v>
      </c>
      <c r="R620" s="286">
        <v>5.4527999999999999</v>
      </c>
      <c r="S620" s="286">
        <v>5.5251000000000001</v>
      </c>
      <c r="T620" s="286">
        <v>5.4527999999999999</v>
      </c>
      <c r="U620" s="284">
        <v>5.4000000000000003E-3</v>
      </c>
      <c r="W620" s="168">
        <v>44550</v>
      </c>
      <c r="X620" s="288">
        <v>105020</v>
      </c>
      <c r="Y620" s="288">
        <v>107171</v>
      </c>
      <c r="Z620" s="288">
        <v>107171</v>
      </c>
      <c r="AA620" s="288">
        <v>104358</v>
      </c>
      <c r="AB620" s="284" t="s">
        <v>1800</v>
      </c>
      <c r="AC620" s="290">
        <v>-2.0299999999999999E-2</v>
      </c>
      <c r="AE620" s="168"/>
      <c r="AF620" s="286"/>
      <c r="AG620" s="286"/>
      <c r="AH620" s="286"/>
      <c r="AI620" s="286"/>
      <c r="AJ620" s="284"/>
    </row>
    <row r="621" spans="1:36" x14ac:dyDescent="0.3">
      <c r="A621" s="167">
        <v>44553</v>
      </c>
      <c r="B621" s="171">
        <v>19.7</v>
      </c>
      <c r="C621" s="171">
        <v>19.87</v>
      </c>
      <c r="D621" s="171">
        <v>20.329999999999998</v>
      </c>
      <c r="E621" s="171">
        <v>19.52</v>
      </c>
      <c r="F621" s="171" t="s">
        <v>1799</v>
      </c>
      <c r="G621" s="283">
        <v>-8.6E-3</v>
      </c>
      <c r="I621" s="167">
        <v>44589</v>
      </c>
      <c r="J621" s="285">
        <v>3005.63</v>
      </c>
      <c r="K621" s="285">
        <v>2955.18</v>
      </c>
      <c r="L621" s="285">
        <v>3005.63</v>
      </c>
      <c r="M621" s="285">
        <v>2932.52</v>
      </c>
      <c r="N621" s="283" t="s">
        <v>1798</v>
      </c>
      <c r="P621" s="167">
        <v>44582</v>
      </c>
      <c r="Q621" s="285">
        <v>5.4581999999999997</v>
      </c>
      <c r="R621" s="285">
        <v>5.4219999999999997</v>
      </c>
      <c r="S621" s="285">
        <v>5.4752000000000001</v>
      </c>
      <c r="T621" s="285">
        <v>5.4035000000000002</v>
      </c>
      <c r="U621" s="283">
        <v>7.1999999999999998E-3</v>
      </c>
      <c r="W621" s="167">
        <v>44547</v>
      </c>
      <c r="X621" s="287">
        <v>107201</v>
      </c>
      <c r="Y621" s="287">
        <v>108324</v>
      </c>
      <c r="Z621" s="287">
        <v>108324</v>
      </c>
      <c r="AA621" s="287">
        <v>106518</v>
      </c>
      <c r="AB621" s="283" t="s">
        <v>1797</v>
      </c>
      <c r="AC621" s="289">
        <v>-1.04E-2</v>
      </c>
      <c r="AE621" s="167"/>
      <c r="AF621" s="285"/>
      <c r="AG621" s="285"/>
      <c r="AH621" s="285"/>
      <c r="AI621" s="285"/>
      <c r="AJ621" s="283"/>
    </row>
    <row r="622" spans="1:36" x14ac:dyDescent="0.3">
      <c r="A622" s="168">
        <v>44552</v>
      </c>
      <c r="B622" s="83">
        <v>19.87</v>
      </c>
      <c r="C622" s="83">
        <v>19.68</v>
      </c>
      <c r="D622" s="83">
        <v>20.27</v>
      </c>
      <c r="E622" s="83">
        <v>19.559999999999999</v>
      </c>
      <c r="F622" s="83" t="s">
        <v>1796</v>
      </c>
      <c r="G622" s="284">
        <v>1.2200000000000001E-2</v>
      </c>
      <c r="I622" s="168">
        <v>44588</v>
      </c>
      <c r="J622" s="286">
        <v>2955.34</v>
      </c>
      <c r="K622" s="286">
        <v>2976.51</v>
      </c>
      <c r="L622" s="286">
        <v>3008.21</v>
      </c>
      <c r="M622" s="286">
        <v>2947.8</v>
      </c>
      <c r="N622" s="284" t="s">
        <v>1730</v>
      </c>
      <c r="P622" s="168">
        <v>44581</v>
      </c>
      <c r="Q622" s="286">
        <v>5.4191000000000003</v>
      </c>
      <c r="R622" s="286">
        <v>5.4428000000000001</v>
      </c>
      <c r="S622" s="286">
        <v>5.4619999999999997</v>
      </c>
      <c r="T622" s="286">
        <v>5.3789999999999996</v>
      </c>
      <c r="U622" s="284">
        <v>-3.5000000000000001E-3</v>
      </c>
      <c r="W622" s="168">
        <v>44546</v>
      </c>
      <c r="X622" s="288">
        <v>108326</v>
      </c>
      <c r="Y622" s="288">
        <v>107433</v>
      </c>
      <c r="Z622" s="288">
        <v>109034</v>
      </c>
      <c r="AA622" s="288">
        <v>107433</v>
      </c>
      <c r="AB622" s="284" t="s">
        <v>1795</v>
      </c>
      <c r="AC622" s="290">
        <v>8.3000000000000001E-3</v>
      </c>
      <c r="AE622" s="168"/>
      <c r="AF622" s="286"/>
      <c r="AG622" s="286"/>
      <c r="AH622" s="286"/>
      <c r="AI622" s="286"/>
      <c r="AJ622" s="284"/>
    </row>
    <row r="623" spans="1:36" x14ac:dyDescent="0.3">
      <c r="A623" s="167">
        <v>44551</v>
      </c>
      <c r="B623" s="171">
        <v>19.63</v>
      </c>
      <c r="C623" s="171">
        <v>19.350000000000001</v>
      </c>
      <c r="D623" s="171">
        <v>19.79</v>
      </c>
      <c r="E623" s="171">
        <v>19.079999999999998</v>
      </c>
      <c r="F623" s="171" t="s">
        <v>1794</v>
      </c>
      <c r="G623" s="283">
        <v>2.7199999999999998E-2</v>
      </c>
      <c r="I623" s="167">
        <v>44587</v>
      </c>
      <c r="J623" s="285">
        <v>2979.7</v>
      </c>
      <c r="K623" s="285">
        <v>2977.04</v>
      </c>
      <c r="L623" s="285">
        <v>3032.36</v>
      </c>
      <c r="M623" s="285">
        <v>2955.96</v>
      </c>
      <c r="N623" s="283" t="s">
        <v>1701</v>
      </c>
      <c r="P623" s="167">
        <v>44580</v>
      </c>
      <c r="Q623" s="285">
        <v>5.4382999999999999</v>
      </c>
      <c r="R623" s="285">
        <v>5.5484</v>
      </c>
      <c r="S623" s="285">
        <v>5.5526999999999997</v>
      </c>
      <c r="T623" s="285">
        <v>5.4371999999999998</v>
      </c>
      <c r="U623" s="283">
        <v>-2.3E-2</v>
      </c>
      <c r="W623" s="167">
        <v>44545</v>
      </c>
      <c r="X623" s="287">
        <v>107431</v>
      </c>
      <c r="Y623" s="287">
        <v>106763</v>
      </c>
      <c r="Z623" s="287">
        <v>107603</v>
      </c>
      <c r="AA623" s="287">
        <v>105697</v>
      </c>
      <c r="AB623" s="283" t="s">
        <v>1751</v>
      </c>
      <c r="AC623" s="289">
        <v>6.3E-3</v>
      </c>
      <c r="AE623" s="167"/>
      <c r="AF623" s="285"/>
      <c r="AG623" s="285"/>
      <c r="AH623" s="285"/>
      <c r="AI623" s="285"/>
      <c r="AJ623" s="283"/>
    </row>
    <row r="624" spans="1:36" x14ac:dyDescent="0.3">
      <c r="A624" s="168">
        <v>44550</v>
      </c>
      <c r="B624" s="83">
        <v>19.11</v>
      </c>
      <c r="C624" s="83">
        <v>19.53</v>
      </c>
      <c r="D624" s="83">
        <v>19.55</v>
      </c>
      <c r="E624" s="83">
        <v>18.75</v>
      </c>
      <c r="F624" s="83" t="s">
        <v>1741</v>
      </c>
      <c r="G624" s="284">
        <v>-5.8599999999999999E-2</v>
      </c>
      <c r="I624" s="168">
        <v>44586</v>
      </c>
      <c r="J624" s="286">
        <v>2975.48</v>
      </c>
      <c r="K624" s="286">
        <v>3006.95</v>
      </c>
      <c r="L624" s="286">
        <v>3006.97</v>
      </c>
      <c r="M624" s="286">
        <v>2939</v>
      </c>
      <c r="N624" s="284" t="s">
        <v>1778</v>
      </c>
      <c r="P624" s="168">
        <v>44579</v>
      </c>
      <c r="Q624" s="286">
        <v>5.5666000000000002</v>
      </c>
      <c r="R624" s="286">
        <v>5.5217000000000001</v>
      </c>
      <c r="S624" s="286">
        <v>5.5831999999999997</v>
      </c>
      <c r="T624" s="286">
        <v>5.5042999999999997</v>
      </c>
      <c r="U624" s="284">
        <v>9.1000000000000004E-3</v>
      </c>
      <c r="W624" s="168">
        <v>44544</v>
      </c>
      <c r="X624" s="288">
        <v>106760</v>
      </c>
      <c r="Y624" s="288">
        <v>107387</v>
      </c>
      <c r="Z624" s="288">
        <v>109148</v>
      </c>
      <c r="AA624" s="288">
        <v>106445</v>
      </c>
      <c r="AB624" s="284" t="s">
        <v>1793</v>
      </c>
      <c r="AC624" s="290">
        <v>-5.7999999999999996E-3</v>
      </c>
      <c r="AE624" s="168"/>
      <c r="AF624" s="286"/>
      <c r="AG624" s="286"/>
      <c r="AH624" s="286"/>
      <c r="AI624" s="286"/>
      <c r="AJ624" s="284"/>
    </row>
    <row r="625" spans="1:36" x14ac:dyDescent="0.3">
      <c r="A625" s="167">
        <v>44547</v>
      </c>
      <c r="B625" s="171">
        <v>20.3</v>
      </c>
      <c r="C625" s="171">
        <v>19.45</v>
      </c>
      <c r="D625" s="171">
        <v>20.47</v>
      </c>
      <c r="E625" s="171">
        <v>19.329999999999998</v>
      </c>
      <c r="F625" s="171" t="s">
        <v>1792</v>
      </c>
      <c r="G625" s="283">
        <v>1.4E-2</v>
      </c>
      <c r="I625" s="167">
        <v>44585</v>
      </c>
      <c r="J625" s="285">
        <v>3005.52</v>
      </c>
      <c r="K625" s="285">
        <v>3023.89</v>
      </c>
      <c r="L625" s="285">
        <v>3024.01</v>
      </c>
      <c r="M625" s="285">
        <v>2912.04</v>
      </c>
      <c r="N625" s="283" t="s">
        <v>1228</v>
      </c>
      <c r="P625" s="167">
        <v>44578</v>
      </c>
      <c r="Q625" s="285">
        <v>5.5164999999999997</v>
      </c>
      <c r="R625" s="285">
        <v>5.5351999999999997</v>
      </c>
      <c r="S625" s="285">
        <v>5.5389999999999997</v>
      </c>
      <c r="T625" s="285">
        <v>5.4939999999999998</v>
      </c>
      <c r="U625" s="283">
        <v>-3.2000000000000002E-3</v>
      </c>
      <c r="W625" s="167">
        <v>44543</v>
      </c>
      <c r="X625" s="287">
        <v>107383</v>
      </c>
      <c r="Y625" s="287">
        <v>107758</v>
      </c>
      <c r="Z625" s="287">
        <v>109493</v>
      </c>
      <c r="AA625" s="287">
        <v>107383</v>
      </c>
      <c r="AB625" s="283" t="s">
        <v>1358</v>
      </c>
      <c r="AC625" s="289">
        <v>-3.5000000000000001E-3</v>
      </c>
      <c r="AE625" s="167"/>
      <c r="AF625" s="285"/>
      <c r="AG625" s="285"/>
      <c r="AH625" s="285"/>
      <c r="AI625" s="285"/>
      <c r="AJ625" s="283"/>
    </row>
    <row r="626" spans="1:36" x14ac:dyDescent="0.3">
      <c r="A626" s="168">
        <v>44546</v>
      </c>
      <c r="B626" s="83">
        <v>20.02</v>
      </c>
      <c r="C626" s="83">
        <v>20.309999999999999</v>
      </c>
      <c r="D626" s="83">
        <v>20.58</v>
      </c>
      <c r="E626" s="83">
        <v>19.350000000000001</v>
      </c>
      <c r="F626" s="83" t="s">
        <v>1791</v>
      </c>
      <c r="G626" s="284">
        <v>6.0000000000000001E-3</v>
      </c>
      <c r="I626" s="168">
        <v>44582</v>
      </c>
      <c r="J626" s="286">
        <v>3025.1</v>
      </c>
      <c r="K626" s="286">
        <v>3078.73</v>
      </c>
      <c r="L626" s="286">
        <v>3078.8</v>
      </c>
      <c r="M626" s="286">
        <v>3022.91</v>
      </c>
      <c r="N626" s="284" t="s">
        <v>1790</v>
      </c>
      <c r="P626" s="168">
        <v>44575</v>
      </c>
      <c r="Q626" s="286">
        <v>5.5343999999999998</v>
      </c>
      <c r="R626" s="286">
        <v>5.5286999999999997</v>
      </c>
      <c r="S626" s="286">
        <v>5.5537000000000001</v>
      </c>
      <c r="T626" s="286">
        <v>5.508</v>
      </c>
      <c r="U626" s="284">
        <v>1E-3</v>
      </c>
      <c r="W626" s="168">
        <v>44540</v>
      </c>
      <c r="X626" s="288">
        <v>107758</v>
      </c>
      <c r="Y626" s="288">
        <v>106296</v>
      </c>
      <c r="Z626" s="288">
        <v>108275</v>
      </c>
      <c r="AA626" s="288">
        <v>106296</v>
      </c>
      <c r="AB626" s="284" t="s">
        <v>1767</v>
      </c>
      <c r="AC626" s="290">
        <v>1.38E-2</v>
      </c>
      <c r="AE626" s="168"/>
      <c r="AF626" s="286"/>
      <c r="AG626" s="286"/>
      <c r="AH626" s="286"/>
      <c r="AI626" s="286"/>
      <c r="AJ626" s="284"/>
    </row>
    <row r="627" spans="1:36" x14ac:dyDescent="0.3">
      <c r="A627" s="167">
        <v>44545</v>
      </c>
      <c r="B627" s="171">
        <v>19.899999999999999</v>
      </c>
      <c r="C627" s="171">
        <v>19.68</v>
      </c>
      <c r="D627" s="171">
        <v>19.940000000000001</v>
      </c>
      <c r="E627" s="171">
        <v>18.98</v>
      </c>
      <c r="F627" s="171" t="s">
        <v>1789</v>
      </c>
      <c r="G627" s="283">
        <v>1.0200000000000001E-2</v>
      </c>
      <c r="I627" s="167">
        <v>44581</v>
      </c>
      <c r="J627" s="285">
        <v>3082.25</v>
      </c>
      <c r="K627" s="285">
        <v>3098.36</v>
      </c>
      <c r="L627" s="285">
        <v>3140.91</v>
      </c>
      <c r="M627" s="285">
        <v>3075.96</v>
      </c>
      <c r="N627" s="283" t="s">
        <v>1788</v>
      </c>
      <c r="P627" s="167">
        <v>44574</v>
      </c>
      <c r="Q627" s="285">
        <v>5.5286</v>
      </c>
      <c r="R627" s="285">
        <v>5.5350000000000001</v>
      </c>
      <c r="S627" s="285">
        <v>5.556</v>
      </c>
      <c r="T627" s="285">
        <v>5.5004999999999997</v>
      </c>
      <c r="U627" s="283">
        <v>-8.9999999999999998E-4</v>
      </c>
      <c r="W627" s="167">
        <v>44539</v>
      </c>
      <c r="X627" s="287">
        <v>106291</v>
      </c>
      <c r="Y627" s="287">
        <v>108095</v>
      </c>
      <c r="Z627" s="287">
        <v>108095</v>
      </c>
      <c r="AA627" s="287">
        <v>105890</v>
      </c>
      <c r="AB627" s="283" t="s">
        <v>1787</v>
      </c>
      <c r="AC627" s="289">
        <v>-1.67E-2</v>
      </c>
      <c r="AE627" s="167"/>
      <c r="AF627" s="285"/>
      <c r="AG627" s="285"/>
      <c r="AH627" s="285"/>
      <c r="AI627" s="285"/>
      <c r="AJ627" s="283"/>
    </row>
    <row r="628" spans="1:36" x14ac:dyDescent="0.3">
      <c r="A628" s="168">
        <v>44544</v>
      </c>
      <c r="B628" s="83">
        <v>19.7</v>
      </c>
      <c r="C628" s="83">
        <v>20.43</v>
      </c>
      <c r="D628" s="83">
        <v>20.65</v>
      </c>
      <c r="E628" s="83">
        <v>19.600000000000001</v>
      </c>
      <c r="F628" s="83" t="s">
        <v>1786</v>
      </c>
      <c r="G628" s="284">
        <v>-3.3799999999999997E-2</v>
      </c>
      <c r="I628" s="168">
        <v>44580</v>
      </c>
      <c r="J628" s="286">
        <v>3098.6</v>
      </c>
      <c r="K628" s="286">
        <v>3121.96</v>
      </c>
      <c r="L628" s="286">
        <v>3139.9</v>
      </c>
      <c r="M628" s="286">
        <v>3097.83</v>
      </c>
      <c r="N628" s="284" t="s">
        <v>1730</v>
      </c>
      <c r="P628" s="168">
        <v>44573</v>
      </c>
      <c r="Q628" s="286">
        <v>5.5338000000000003</v>
      </c>
      <c r="R628" s="286">
        <v>5.5659999999999998</v>
      </c>
      <c r="S628" s="286">
        <v>5.6012000000000004</v>
      </c>
      <c r="T628" s="286">
        <v>5.5194999999999999</v>
      </c>
      <c r="U628" s="284">
        <v>-6.1999999999999998E-3</v>
      </c>
      <c r="W628" s="168">
        <v>44538</v>
      </c>
      <c r="X628" s="288">
        <v>108096</v>
      </c>
      <c r="Y628" s="288">
        <v>107558</v>
      </c>
      <c r="Z628" s="288">
        <v>108521</v>
      </c>
      <c r="AA628" s="288">
        <v>107309</v>
      </c>
      <c r="AB628" s="284" t="s">
        <v>1785</v>
      </c>
      <c r="AC628" s="290">
        <v>5.0000000000000001E-3</v>
      </c>
      <c r="AE628" s="168"/>
      <c r="AF628" s="286"/>
      <c r="AG628" s="286"/>
      <c r="AH628" s="286"/>
      <c r="AI628" s="286"/>
      <c r="AJ628" s="284"/>
    </row>
    <row r="629" spans="1:36" x14ac:dyDescent="0.3">
      <c r="A629" s="167">
        <v>44543</v>
      </c>
      <c r="B629" s="171">
        <v>20.39</v>
      </c>
      <c r="C629" s="171">
        <v>20.74</v>
      </c>
      <c r="D629" s="171">
        <v>21.32</v>
      </c>
      <c r="E629" s="171">
        <v>20.149999999999999</v>
      </c>
      <c r="F629" s="171" t="s">
        <v>1784</v>
      </c>
      <c r="G629" s="283">
        <v>-1.4999999999999999E-2</v>
      </c>
      <c r="I629" s="167">
        <v>44579</v>
      </c>
      <c r="J629" s="285">
        <v>3124.21</v>
      </c>
      <c r="K629" s="285">
        <v>3176.36</v>
      </c>
      <c r="L629" s="285">
        <v>3179.19</v>
      </c>
      <c r="M629" s="285">
        <v>3119.43</v>
      </c>
      <c r="N629" s="283" t="s">
        <v>1783</v>
      </c>
      <c r="P629" s="167">
        <v>44572</v>
      </c>
      <c r="Q629" s="285">
        <v>5.5686</v>
      </c>
      <c r="R629" s="285">
        <v>5.6657000000000002</v>
      </c>
      <c r="S629" s="285">
        <v>5.6760999999999999</v>
      </c>
      <c r="T629" s="285">
        <v>5.5635000000000003</v>
      </c>
      <c r="U629" s="283">
        <v>-1.67E-2</v>
      </c>
      <c r="W629" s="167">
        <v>44537</v>
      </c>
      <c r="X629" s="287">
        <v>107558</v>
      </c>
      <c r="Y629" s="287">
        <v>106868</v>
      </c>
      <c r="Z629" s="287">
        <v>108655</v>
      </c>
      <c r="AA629" s="287">
        <v>106868</v>
      </c>
      <c r="AB629" s="283" t="s">
        <v>1246</v>
      </c>
      <c r="AC629" s="289">
        <v>6.4999999999999997E-3</v>
      </c>
      <c r="AE629" s="167"/>
      <c r="AF629" s="285"/>
      <c r="AG629" s="285"/>
      <c r="AH629" s="285"/>
      <c r="AI629" s="285"/>
      <c r="AJ629" s="283"/>
    </row>
    <row r="630" spans="1:36" x14ac:dyDescent="0.3">
      <c r="A630" s="168">
        <v>44540</v>
      </c>
      <c r="B630" s="83">
        <v>20.7</v>
      </c>
      <c r="C630" s="83">
        <v>21.06</v>
      </c>
      <c r="D630" s="83">
        <v>21.19</v>
      </c>
      <c r="E630" s="83">
        <v>20.420000000000002</v>
      </c>
      <c r="F630" s="83" t="s">
        <v>1638</v>
      </c>
      <c r="G630" s="284">
        <v>-1.9E-3</v>
      </c>
      <c r="I630" s="168">
        <v>44578</v>
      </c>
      <c r="J630" s="286">
        <v>3176.19</v>
      </c>
      <c r="K630" s="286">
        <v>3171.84</v>
      </c>
      <c r="L630" s="286">
        <v>3177.02</v>
      </c>
      <c r="M630" s="286">
        <v>3170.86</v>
      </c>
      <c r="N630" s="284" t="s">
        <v>1220</v>
      </c>
      <c r="P630" s="168">
        <v>44571</v>
      </c>
      <c r="Q630" s="286">
        <v>5.6632999999999996</v>
      </c>
      <c r="R630" s="286">
        <v>5.6340000000000003</v>
      </c>
      <c r="S630" s="286">
        <v>5.6929999999999996</v>
      </c>
      <c r="T630" s="286">
        <v>5.6285999999999996</v>
      </c>
      <c r="U630" s="284">
        <v>4.8999999999999998E-3</v>
      </c>
      <c r="W630" s="168">
        <v>44536</v>
      </c>
      <c r="X630" s="288">
        <v>106859</v>
      </c>
      <c r="Y630" s="288">
        <v>105070</v>
      </c>
      <c r="Z630" s="288">
        <v>107498</v>
      </c>
      <c r="AA630" s="288">
        <v>105070</v>
      </c>
      <c r="AB630" s="284" t="s">
        <v>1782</v>
      </c>
      <c r="AC630" s="290">
        <v>1.7000000000000001E-2</v>
      </c>
      <c r="AE630" s="168"/>
      <c r="AF630" s="286"/>
      <c r="AG630" s="286"/>
      <c r="AH630" s="286"/>
      <c r="AI630" s="286"/>
      <c r="AJ630" s="284"/>
    </row>
    <row r="631" spans="1:36" x14ac:dyDescent="0.3">
      <c r="A631" s="167">
        <v>44539</v>
      </c>
      <c r="B631" s="171">
        <v>20.74</v>
      </c>
      <c r="C631" s="171">
        <v>20.69</v>
      </c>
      <c r="D631" s="171">
        <v>21.13</v>
      </c>
      <c r="E631" s="171">
        <v>20.440000000000001</v>
      </c>
      <c r="F631" s="171" t="s">
        <v>1781</v>
      </c>
      <c r="G631" s="283">
        <v>-1.0999999999999999E-2</v>
      </c>
      <c r="I631" s="167">
        <v>44575</v>
      </c>
      <c r="J631" s="285">
        <v>3173.12</v>
      </c>
      <c r="K631" s="285">
        <v>3181.08</v>
      </c>
      <c r="L631" s="285">
        <v>3181.08</v>
      </c>
      <c r="M631" s="285">
        <v>3146.87</v>
      </c>
      <c r="N631" s="283" t="s">
        <v>1686</v>
      </c>
      <c r="P631" s="167">
        <v>44568</v>
      </c>
      <c r="Q631" s="285">
        <v>5.6355000000000004</v>
      </c>
      <c r="R631" s="285">
        <v>5.6868999999999996</v>
      </c>
      <c r="S631" s="285">
        <v>5.7106000000000003</v>
      </c>
      <c r="T631" s="285">
        <v>5.6191000000000004</v>
      </c>
      <c r="U631" s="283">
        <v>-8.3999999999999995E-3</v>
      </c>
      <c r="W631" s="167">
        <v>44533</v>
      </c>
      <c r="X631" s="287">
        <v>105070</v>
      </c>
      <c r="Y631" s="287">
        <v>104467</v>
      </c>
      <c r="Z631" s="287">
        <v>106814</v>
      </c>
      <c r="AA631" s="287">
        <v>104090</v>
      </c>
      <c r="AB631" s="283" t="s">
        <v>1780</v>
      </c>
      <c r="AC631" s="289">
        <v>5.7999999999999996E-3</v>
      </c>
      <c r="AE631" s="167"/>
      <c r="AF631" s="285"/>
      <c r="AG631" s="285"/>
      <c r="AH631" s="285"/>
      <c r="AI631" s="285"/>
      <c r="AJ631" s="283"/>
    </row>
    <row r="632" spans="1:36" x14ac:dyDescent="0.3">
      <c r="A632" s="168">
        <v>44538</v>
      </c>
      <c r="B632" s="83">
        <v>20.97</v>
      </c>
      <c r="C632" s="83">
        <v>21.93</v>
      </c>
      <c r="D632" s="83">
        <v>22.02</v>
      </c>
      <c r="E632" s="83">
        <v>20.82</v>
      </c>
      <c r="F632" s="83" t="s">
        <v>1779</v>
      </c>
      <c r="G632" s="284">
        <v>-4.3799999999999999E-2</v>
      </c>
      <c r="I632" s="168">
        <v>44574</v>
      </c>
      <c r="J632" s="286">
        <v>3182.06</v>
      </c>
      <c r="K632" s="286">
        <v>3215.83</v>
      </c>
      <c r="L632" s="286">
        <v>3226.48</v>
      </c>
      <c r="M632" s="286">
        <v>3176.94</v>
      </c>
      <c r="N632" s="284" t="s">
        <v>1778</v>
      </c>
      <c r="P632" s="168">
        <v>44567</v>
      </c>
      <c r="Q632" s="286">
        <v>5.6833999999999998</v>
      </c>
      <c r="R632" s="286">
        <v>5.6878000000000002</v>
      </c>
      <c r="S632" s="286">
        <v>5.7255000000000003</v>
      </c>
      <c r="T632" s="286">
        <v>5.6694000000000004</v>
      </c>
      <c r="U632" s="284">
        <v>-4.4000000000000003E-3</v>
      </c>
      <c r="W632" s="168">
        <v>44532</v>
      </c>
      <c r="X632" s="288">
        <v>104466</v>
      </c>
      <c r="Y632" s="288">
        <v>100785</v>
      </c>
      <c r="Z632" s="288">
        <v>104466</v>
      </c>
      <c r="AA632" s="288">
        <v>100785</v>
      </c>
      <c r="AB632" s="284" t="s">
        <v>1777</v>
      </c>
      <c r="AC632" s="290">
        <v>3.6600000000000001E-2</v>
      </c>
      <c r="AE632" s="168"/>
      <c r="AF632" s="286"/>
      <c r="AG632" s="286"/>
      <c r="AH632" s="286"/>
      <c r="AI632" s="286"/>
      <c r="AJ632" s="284"/>
    </row>
    <row r="633" spans="1:36" x14ac:dyDescent="0.3">
      <c r="A633" s="167">
        <v>44537</v>
      </c>
      <c r="B633" s="171">
        <v>21.93</v>
      </c>
      <c r="C633" s="171">
        <v>22.16</v>
      </c>
      <c r="D633" s="171">
        <v>22.9</v>
      </c>
      <c r="E633" s="171">
        <v>21.85</v>
      </c>
      <c r="F633" s="171" t="s">
        <v>1359</v>
      </c>
      <c r="G633" s="283">
        <v>1.4800000000000001E-2</v>
      </c>
      <c r="I633" s="167">
        <v>44573</v>
      </c>
      <c r="J633" s="285">
        <v>3214.19</v>
      </c>
      <c r="K633" s="285">
        <v>3197.21</v>
      </c>
      <c r="L633" s="285">
        <v>3226.08</v>
      </c>
      <c r="M633" s="285">
        <v>3197.09</v>
      </c>
      <c r="N633" s="283" t="s">
        <v>1367</v>
      </c>
      <c r="P633" s="167">
        <v>44566</v>
      </c>
      <c r="Q633" s="285">
        <v>5.7087000000000003</v>
      </c>
      <c r="R633" s="285">
        <v>5.6773999999999996</v>
      </c>
      <c r="S633" s="285">
        <v>5.7241999999999997</v>
      </c>
      <c r="T633" s="285">
        <v>5.6417999999999999</v>
      </c>
      <c r="U633" s="283">
        <v>5.5999999999999999E-3</v>
      </c>
      <c r="W633" s="167">
        <v>44531</v>
      </c>
      <c r="X633" s="287">
        <v>100775</v>
      </c>
      <c r="Y633" s="287">
        <v>101916</v>
      </c>
      <c r="Z633" s="287">
        <v>104087</v>
      </c>
      <c r="AA633" s="287">
        <v>100727</v>
      </c>
      <c r="AB633" s="283" t="s">
        <v>1776</v>
      </c>
      <c r="AC633" s="289">
        <v>-1.12E-2</v>
      </c>
      <c r="AE633" s="167"/>
      <c r="AF633" s="285"/>
      <c r="AG633" s="285"/>
      <c r="AH633" s="285"/>
      <c r="AI633" s="285"/>
      <c r="AJ633" s="283"/>
    </row>
    <row r="634" spans="1:36" x14ac:dyDescent="0.3">
      <c r="A634" s="168">
        <v>44536</v>
      </c>
      <c r="B634" s="83">
        <v>21.61</v>
      </c>
      <c r="C634" s="83">
        <v>21.82</v>
      </c>
      <c r="D634" s="83">
        <v>21.99</v>
      </c>
      <c r="E634" s="83">
        <v>21.36</v>
      </c>
      <c r="F634" s="83" t="s">
        <v>1775</v>
      </c>
      <c r="G634" s="284">
        <v>1.89E-2</v>
      </c>
      <c r="I634" s="168">
        <v>44572</v>
      </c>
      <c r="J634" s="286">
        <v>3193.39</v>
      </c>
      <c r="K634" s="286">
        <v>3166.1</v>
      </c>
      <c r="L634" s="286">
        <v>3196.04</v>
      </c>
      <c r="M634" s="286">
        <v>3154.08</v>
      </c>
      <c r="N634" s="284" t="s">
        <v>1774</v>
      </c>
      <c r="P634" s="168">
        <v>44565</v>
      </c>
      <c r="Q634" s="286">
        <v>5.6769999999999996</v>
      </c>
      <c r="R634" s="286">
        <v>5.6665999999999999</v>
      </c>
      <c r="S634" s="286">
        <v>5.7111999999999998</v>
      </c>
      <c r="T634" s="286">
        <v>5.6371000000000002</v>
      </c>
      <c r="U634" s="284">
        <v>-8.0000000000000004E-4</v>
      </c>
      <c r="W634" s="168">
        <v>44530</v>
      </c>
      <c r="X634" s="288">
        <v>101915</v>
      </c>
      <c r="Y634" s="288">
        <v>102814</v>
      </c>
      <c r="Z634" s="288">
        <v>103066</v>
      </c>
      <c r="AA634" s="288">
        <v>100075</v>
      </c>
      <c r="AB634" s="284" t="s">
        <v>1773</v>
      </c>
      <c r="AC634" s="290">
        <v>-8.6999999999999994E-3</v>
      </c>
      <c r="AE634" s="168"/>
      <c r="AF634" s="286"/>
      <c r="AG634" s="286"/>
      <c r="AH634" s="286"/>
      <c r="AI634" s="286"/>
      <c r="AJ634" s="284"/>
    </row>
    <row r="635" spans="1:36" x14ac:dyDescent="0.3">
      <c r="A635" s="167">
        <v>44533</v>
      </c>
      <c r="B635" s="171">
        <v>21.21</v>
      </c>
      <c r="C635" s="171">
        <v>21.53</v>
      </c>
      <c r="D635" s="171">
        <v>22.04</v>
      </c>
      <c r="E635" s="171">
        <v>21.03</v>
      </c>
      <c r="F635" s="171" t="s">
        <v>1772</v>
      </c>
      <c r="G635" s="283">
        <v>1.1900000000000001E-2</v>
      </c>
      <c r="I635" s="167">
        <v>44571</v>
      </c>
      <c r="J635" s="285">
        <v>3166.14</v>
      </c>
      <c r="K635" s="285">
        <v>3178.67</v>
      </c>
      <c r="L635" s="285">
        <v>3179.21</v>
      </c>
      <c r="M635" s="285">
        <v>3119.92</v>
      </c>
      <c r="N635" s="283" t="s">
        <v>1209</v>
      </c>
      <c r="P635" s="167">
        <v>44564</v>
      </c>
      <c r="Q635" s="285">
        <v>5.6818</v>
      </c>
      <c r="R635" s="285">
        <v>5.5667999999999997</v>
      </c>
      <c r="S635" s="285">
        <v>5.6826999999999996</v>
      </c>
      <c r="T635" s="285">
        <v>5.5564</v>
      </c>
      <c r="U635" s="283">
        <v>0.02</v>
      </c>
      <c r="W635" s="167">
        <v>44529</v>
      </c>
      <c r="X635" s="287">
        <v>102814</v>
      </c>
      <c r="Y635" s="287">
        <v>102227</v>
      </c>
      <c r="Z635" s="287">
        <v>104149</v>
      </c>
      <c r="AA635" s="287">
        <v>102226</v>
      </c>
      <c r="AB635" s="283" t="s">
        <v>1700</v>
      </c>
      <c r="AC635" s="289">
        <v>5.7999999999999996E-3</v>
      </c>
      <c r="AE635" s="167"/>
      <c r="AF635" s="285"/>
      <c r="AG635" s="285"/>
      <c r="AH635" s="285"/>
      <c r="AI635" s="285"/>
      <c r="AJ635" s="283"/>
    </row>
    <row r="636" spans="1:36" x14ac:dyDescent="0.3">
      <c r="A636" s="168">
        <v>44532</v>
      </c>
      <c r="B636" s="83">
        <v>20.96</v>
      </c>
      <c r="C636" s="83">
        <v>20.5</v>
      </c>
      <c r="D636" s="83">
        <v>21.06</v>
      </c>
      <c r="E636" s="83">
        <v>19.510000000000002</v>
      </c>
      <c r="F636" s="83" t="s">
        <v>1771</v>
      </c>
      <c r="G636" s="284">
        <v>3.2000000000000001E-2</v>
      </c>
      <c r="I636" s="168">
        <v>44568</v>
      </c>
      <c r="J636" s="286">
        <v>3177.54</v>
      </c>
      <c r="K636" s="286">
        <v>3184.75</v>
      </c>
      <c r="L636" s="286">
        <v>3193.58</v>
      </c>
      <c r="M636" s="286">
        <v>3167.25</v>
      </c>
      <c r="N636" s="284" t="s">
        <v>1250</v>
      </c>
      <c r="P636" s="168">
        <v>44561</v>
      </c>
      <c r="Q636" s="286">
        <v>5.5702999999999996</v>
      </c>
      <c r="R636" s="286">
        <v>5.5715000000000003</v>
      </c>
      <c r="S636" s="286">
        <v>5.5716999999999999</v>
      </c>
      <c r="T636" s="286">
        <v>5.5711000000000004</v>
      </c>
      <c r="U636" s="284">
        <v>-1E-4</v>
      </c>
      <c r="W636" s="168">
        <v>44526</v>
      </c>
      <c r="X636" s="288">
        <v>102224</v>
      </c>
      <c r="Y636" s="288">
        <v>105810</v>
      </c>
      <c r="Z636" s="288">
        <v>105810</v>
      </c>
      <c r="AA636" s="288">
        <v>101495</v>
      </c>
      <c r="AB636" s="284" t="s">
        <v>1288</v>
      </c>
      <c r="AC636" s="290">
        <v>-3.39E-2</v>
      </c>
      <c r="AE636" s="168"/>
      <c r="AF636" s="286"/>
      <c r="AG636" s="286"/>
      <c r="AH636" s="286"/>
      <c r="AI636" s="286"/>
      <c r="AJ636" s="284"/>
    </row>
    <row r="637" spans="1:36" x14ac:dyDescent="0.3">
      <c r="A637" s="167">
        <v>44531</v>
      </c>
      <c r="B637" s="171">
        <v>20.309999999999999</v>
      </c>
      <c r="C637" s="171">
        <v>20.85</v>
      </c>
      <c r="D637" s="171">
        <v>21.54</v>
      </c>
      <c r="E637" s="171">
        <v>20.21</v>
      </c>
      <c r="F637" s="171" t="s">
        <v>1770</v>
      </c>
      <c r="G637" s="283">
        <v>1E-3</v>
      </c>
      <c r="I637" s="167">
        <v>44567</v>
      </c>
      <c r="J637" s="285">
        <v>3184.62</v>
      </c>
      <c r="K637" s="285">
        <v>3200.04</v>
      </c>
      <c r="L637" s="285">
        <v>3200.06</v>
      </c>
      <c r="M637" s="285">
        <v>3169.32</v>
      </c>
      <c r="N637" s="283" t="s">
        <v>1694</v>
      </c>
      <c r="P637" s="167">
        <v>44560</v>
      </c>
      <c r="Q637" s="285">
        <v>5.5709999999999997</v>
      </c>
      <c r="R637" s="285">
        <v>5.6957000000000004</v>
      </c>
      <c r="S637" s="285">
        <v>5.7039</v>
      </c>
      <c r="T637" s="285">
        <v>5.5468999999999999</v>
      </c>
      <c r="U637" s="283">
        <v>-2.3199999999999998E-2</v>
      </c>
      <c r="W637" s="167">
        <v>44525</v>
      </c>
      <c r="X637" s="287">
        <v>105811</v>
      </c>
      <c r="Y637" s="287">
        <v>104514</v>
      </c>
      <c r="Z637" s="287">
        <v>106400</v>
      </c>
      <c r="AA637" s="287">
        <v>104514</v>
      </c>
      <c r="AB637" s="283" t="s">
        <v>1269</v>
      </c>
      <c r="AC637" s="289">
        <v>1.24E-2</v>
      </c>
      <c r="AE637" s="167"/>
      <c r="AF637" s="285"/>
      <c r="AG637" s="285"/>
      <c r="AH637" s="285"/>
      <c r="AI637" s="285"/>
      <c r="AJ637" s="283"/>
    </row>
    <row r="638" spans="1:36" x14ac:dyDescent="0.3">
      <c r="A638" s="168">
        <v>44530</v>
      </c>
      <c r="B638" s="83">
        <v>20.29</v>
      </c>
      <c r="C638" s="83">
        <v>20.48</v>
      </c>
      <c r="D638" s="83">
        <v>20.94</v>
      </c>
      <c r="E638" s="83">
        <v>19.47</v>
      </c>
      <c r="F638" s="83" t="s">
        <v>1769</v>
      </c>
      <c r="G638" s="284">
        <v>-2.64E-2</v>
      </c>
      <c r="I638" s="168">
        <v>44566</v>
      </c>
      <c r="J638" s="286">
        <v>3203.03</v>
      </c>
      <c r="K638" s="286">
        <v>3246.88</v>
      </c>
      <c r="L638" s="286">
        <v>3251.78</v>
      </c>
      <c r="M638" s="286">
        <v>3199.85</v>
      </c>
      <c r="N638" s="284" t="s">
        <v>1768</v>
      </c>
      <c r="P638" s="168">
        <v>44559</v>
      </c>
      <c r="Q638" s="286">
        <v>5.7031999999999998</v>
      </c>
      <c r="R638" s="286">
        <v>5.6356000000000002</v>
      </c>
      <c r="S638" s="286">
        <v>5.7104999999999997</v>
      </c>
      <c r="T638" s="286">
        <v>5.6234999999999999</v>
      </c>
      <c r="U638" s="284">
        <v>1.3299999999999999E-2</v>
      </c>
      <c r="W638" s="168">
        <v>44524</v>
      </c>
      <c r="X638" s="288">
        <v>104514</v>
      </c>
      <c r="Y638" s="288">
        <v>103652</v>
      </c>
      <c r="Z638" s="288">
        <v>105041</v>
      </c>
      <c r="AA638" s="288">
        <v>102464</v>
      </c>
      <c r="AB638" s="284" t="s">
        <v>1767</v>
      </c>
      <c r="AC638" s="290">
        <v>8.3000000000000001E-3</v>
      </c>
      <c r="AE638" s="168"/>
      <c r="AF638" s="286"/>
      <c r="AG638" s="286"/>
      <c r="AH638" s="286"/>
      <c r="AI638" s="286"/>
      <c r="AJ638" s="284"/>
    </row>
    <row r="639" spans="1:36" x14ac:dyDescent="0.3">
      <c r="A639" s="167">
        <v>44529</v>
      </c>
      <c r="B639" s="171">
        <v>20.84</v>
      </c>
      <c r="C639" s="171">
        <v>21.04</v>
      </c>
      <c r="D639" s="171">
        <v>21.46</v>
      </c>
      <c r="E639" s="171">
        <v>20.6</v>
      </c>
      <c r="F639" s="171" t="s">
        <v>1766</v>
      </c>
      <c r="G639" s="283">
        <v>3.4200000000000001E-2</v>
      </c>
      <c r="I639" s="167">
        <v>44565</v>
      </c>
      <c r="J639" s="285">
        <v>3248.12</v>
      </c>
      <c r="K639" s="285">
        <v>3242.14</v>
      </c>
      <c r="L639" s="285">
        <v>3261.66</v>
      </c>
      <c r="M639" s="285">
        <v>3235.5</v>
      </c>
      <c r="N639" s="283" t="s">
        <v>1417</v>
      </c>
      <c r="P639" s="167">
        <v>44558</v>
      </c>
      <c r="Q639" s="285">
        <v>5.6283000000000003</v>
      </c>
      <c r="R639" s="285">
        <v>5.6261999999999999</v>
      </c>
      <c r="S639" s="285">
        <v>5.6627000000000001</v>
      </c>
      <c r="T639" s="285">
        <v>5.6195000000000004</v>
      </c>
      <c r="U639" s="283">
        <v>5.9999999999999995E-4</v>
      </c>
      <c r="W639" s="167">
        <v>44523</v>
      </c>
      <c r="X639" s="287">
        <v>103654</v>
      </c>
      <c r="Y639" s="287">
        <v>102124</v>
      </c>
      <c r="Z639" s="287">
        <v>103841</v>
      </c>
      <c r="AA639" s="287">
        <v>101736</v>
      </c>
      <c r="AB639" s="283" t="s">
        <v>1765</v>
      </c>
      <c r="AC639" s="289">
        <v>1.4999999999999999E-2</v>
      </c>
      <c r="AE639" s="167"/>
      <c r="AF639" s="285"/>
      <c r="AG639" s="285"/>
      <c r="AH639" s="285"/>
      <c r="AI639" s="285"/>
      <c r="AJ639" s="283"/>
    </row>
    <row r="640" spans="1:36" x14ac:dyDescent="0.3">
      <c r="A640" s="168">
        <v>44526</v>
      </c>
      <c r="B640" s="83">
        <v>20.149999999999999</v>
      </c>
      <c r="C640" s="83">
        <v>20.7</v>
      </c>
      <c r="D640" s="83">
        <v>20.99</v>
      </c>
      <c r="E640" s="83">
        <v>19.25</v>
      </c>
      <c r="F640" s="83" t="s">
        <v>1764</v>
      </c>
      <c r="G640" s="284">
        <v>-8.7400000000000005E-2</v>
      </c>
      <c r="I640" s="168">
        <v>44564</v>
      </c>
      <c r="J640" s="286">
        <v>3241.43</v>
      </c>
      <c r="K640" s="286">
        <v>3230.72</v>
      </c>
      <c r="L640" s="286">
        <v>3243.73</v>
      </c>
      <c r="M640" s="286">
        <v>3223.85</v>
      </c>
      <c r="N640" s="284" t="s">
        <v>1537</v>
      </c>
      <c r="P640" s="168">
        <v>44557</v>
      </c>
      <c r="Q640" s="286">
        <v>5.6249000000000002</v>
      </c>
      <c r="R640" s="286">
        <v>5.6700999999999997</v>
      </c>
      <c r="S640" s="286">
        <v>5.7066999999999997</v>
      </c>
      <c r="T640" s="286">
        <v>5.6235999999999997</v>
      </c>
      <c r="U640" s="284">
        <v>-8.8000000000000005E-3</v>
      </c>
      <c r="W640" s="168">
        <v>44522</v>
      </c>
      <c r="X640" s="288">
        <v>102122</v>
      </c>
      <c r="Y640" s="288">
        <v>103036</v>
      </c>
      <c r="Z640" s="288">
        <v>104613</v>
      </c>
      <c r="AA640" s="288">
        <v>102122</v>
      </c>
      <c r="AB640" s="284" t="s">
        <v>1518</v>
      </c>
      <c r="AC640" s="290">
        <v>-8.8999999999999999E-3</v>
      </c>
      <c r="AE640" s="168"/>
      <c r="AF640" s="286"/>
      <c r="AG640" s="286"/>
      <c r="AH640" s="286"/>
      <c r="AI640" s="286"/>
      <c r="AJ640" s="284"/>
    </row>
    <row r="641" spans="1:36" x14ac:dyDescent="0.3">
      <c r="A641" s="167">
        <v>44525</v>
      </c>
      <c r="B641" s="171">
        <v>22.08</v>
      </c>
      <c r="C641" s="171">
        <v>22.06</v>
      </c>
      <c r="D641" s="171">
        <v>22.4</v>
      </c>
      <c r="E641" s="171">
        <v>21.32</v>
      </c>
      <c r="F641" s="171" t="s">
        <v>1763</v>
      </c>
      <c r="G641" s="283">
        <v>8.2000000000000007E-3</v>
      </c>
      <c r="I641" s="167">
        <v>44561</v>
      </c>
      <c r="J641" s="285">
        <v>3231.73</v>
      </c>
      <c r="K641" s="285">
        <v>3237.45</v>
      </c>
      <c r="L641" s="285">
        <v>3241.14</v>
      </c>
      <c r="M641" s="285">
        <v>3231.53</v>
      </c>
      <c r="N641" s="283" t="s">
        <v>1324</v>
      </c>
      <c r="P641" s="167">
        <v>44554</v>
      </c>
      <c r="Q641" s="285">
        <v>5.6749999999999998</v>
      </c>
      <c r="R641" s="285">
        <v>5.6753</v>
      </c>
      <c r="S641" s="285">
        <v>5.6753</v>
      </c>
      <c r="T641" s="285">
        <v>5.6753</v>
      </c>
      <c r="U641" s="283">
        <v>0</v>
      </c>
      <c r="W641" s="167">
        <v>44519</v>
      </c>
      <c r="X641" s="287">
        <v>103035</v>
      </c>
      <c r="Y641" s="287">
        <v>102426</v>
      </c>
      <c r="Z641" s="287">
        <v>103975</v>
      </c>
      <c r="AA641" s="287">
        <v>102143</v>
      </c>
      <c r="AB641" s="283" t="s">
        <v>1762</v>
      </c>
      <c r="AC641" s="289">
        <v>5.8999999999999999E-3</v>
      </c>
      <c r="AE641" s="167"/>
      <c r="AF641" s="285"/>
      <c r="AG641" s="285"/>
      <c r="AH641" s="285"/>
      <c r="AI641" s="285"/>
      <c r="AJ641" s="283"/>
    </row>
    <row r="642" spans="1:36" x14ac:dyDescent="0.3">
      <c r="A642" s="168">
        <v>44524</v>
      </c>
      <c r="B642" s="83">
        <v>21.9</v>
      </c>
      <c r="C642" s="83">
        <v>22.5</v>
      </c>
      <c r="D642" s="83">
        <v>22.68</v>
      </c>
      <c r="E642" s="83">
        <v>21.67</v>
      </c>
      <c r="F642" s="83" t="s">
        <v>1761</v>
      </c>
      <c r="G642" s="284">
        <v>-3.4000000000000002E-2</v>
      </c>
      <c r="I642" s="168">
        <v>44560</v>
      </c>
      <c r="J642" s="286">
        <v>3237.07</v>
      </c>
      <c r="K642" s="286">
        <v>3243.68</v>
      </c>
      <c r="L642" s="286">
        <v>3251.95</v>
      </c>
      <c r="M642" s="286">
        <v>3235.79</v>
      </c>
      <c r="N642" s="284" t="s">
        <v>1760</v>
      </c>
      <c r="P642" s="168">
        <v>44553</v>
      </c>
      <c r="Q642" s="286">
        <v>5.6749000000000001</v>
      </c>
      <c r="R642" s="286">
        <v>5.6554000000000002</v>
      </c>
      <c r="S642" s="286">
        <v>5.7192999999999996</v>
      </c>
      <c r="T642" s="286">
        <v>5.6258999999999997</v>
      </c>
      <c r="U642" s="284">
        <v>3.7000000000000002E-3</v>
      </c>
      <c r="W642" s="168">
        <v>44518</v>
      </c>
      <c r="X642" s="288">
        <v>102426</v>
      </c>
      <c r="Y642" s="288">
        <v>102948</v>
      </c>
      <c r="Z642" s="288">
        <v>103757</v>
      </c>
      <c r="AA642" s="288">
        <v>102014</v>
      </c>
      <c r="AB642" s="284" t="s">
        <v>1595</v>
      </c>
      <c r="AC642" s="290">
        <v>-5.1000000000000004E-3</v>
      </c>
      <c r="AE642" s="168"/>
      <c r="AF642" s="286"/>
      <c r="AG642" s="286"/>
      <c r="AH642" s="286"/>
      <c r="AI642" s="286"/>
      <c r="AJ642" s="284"/>
    </row>
    <row r="643" spans="1:36" x14ac:dyDescent="0.3">
      <c r="A643" s="167">
        <v>44523</v>
      </c>
      <c r="B643" s="171">
        <v>22.67</v>
      </c>
      <c r="C643" s="171">
        <v>21.78</v>
      </c>
      <c r="D643" s="171">
        <v>23.09</v>
      </c>
      <c r="E643" s="171">
        <v>21.4</v>
      </c>
      <c r="F643" s="171" t="s">
        <v>1759</v>
      </c>
      <c r="G643" s="283">
        <v>5.2900000000000003E-2</v>
      </c>
      <c r="I643" s="167">
        <v>44559</v>
      </c>
      <c r="J643" s="285">
        <v>3243.95</v>
      </c>
      <c r="K643" s="285">
        <v>3240.19</v>
      </c>
      <c r="L643" s="285">
        <v>3247.98</v>
      </c>
      <c r="M643" s="285">
        <v>3235.18</v>
      </c>
      <c r="N643" s="283" t="s">
        <v>1701</v>
      </c>
      <c r="P643" s="167">
        <v>44552</v>
      </c>
      <c r="Q643" s="285">
        <v>5.6539999999999999</v>
      </c>
      <c r="R643" s="285">
        <v>5.7424999999999997</v>
      </c>
      <c r="S643" s="285">
        <v>5.7442000000000002</v>
      </c>
      <c r="T643" s="285">
        <v>5.6470000000000002</v>
      </c>
      <c r="U643" s="283">
        <v>-1.5900000000000001E-2</v>
      </c>
      <c r="W643" s="167">
        <v>44517</v>
      </c>
      <c r="X643" s="287">
        <v>102948</v>
      </c>
      <c r="Y643" s="287">
        <v>104405</v>
      </c>
      <c r="Z643" s="287">
        <v>105535</v>
      </c>
      <c r="AA643" s="287">
        <v>102551</v>
      </c>
      <c r="AB643" s="283" t="s">
        <v>1758</v>
      </c>
      <c r="AC643" s="289">
        <v>-1.3899999999999999E-2</v>
      </c>
      <c r="AE643" s="167"/>
      <c r="AF643" s="285"/>
      <c r="AG643" s="285"/>
      <c r="AH643" s="285"/>
      <c r="AI643" s="285"/>
      <c r="AJ643" s="283"/>
    </row>
    <row r="644" spans="1:36" x14ac:dyDescent="0.3">
      <c r="A644" s="168">
        <v>44522</v>
      </c>
      <c r="B644" s="83">
        <v>21.53</v>
      </c>
      <c r="C644" s="83">
        <v>21.6</v>
      </c>
      <c r="D644" s="83">
        <v>22.4</v>
      </c>
      <c r="E644" s="83">
        <v>21.22</v>
      </c>
      <c r="F644" s="83" t="s">
        <v>1757</v>
      </c>
      <c r="G644" s="284">
        <v>3.3E-3</v>
      </c>
      <c r="I644" s="168">
        <v>44558</v>
      </c>
      <c r="J644" s="286">
        <v>3239.28</v>
      </c>
      <c r="K644" s="286">
        <v>3240.05</v>
      </c>
      <c r="L644" s="286">
        <v>3251.16</v>
      </c>
      <c r="M644" s="286">
        <v>3236.98</v>
      </c>
      <c r="N644" s="284" t="s">
        <v>1756</v>
      </c>
      <c r="P644" s="168">
        <v>44551</v>
      </c>
      <c r="Q644" s="286">
        <v>5.7450999999999999</v>
      </c>
      <c r="R644" s="286">
        <v>5.7416999999999998</v>
      </c>
      <c r="S644" s="286">
        <v>5.7579000000000002</v>
      </c>
      <c r="T644" s="286">
        <v>5.7111999999999998</v>
      </c>
      <c r="U644" s="284">
        <v>5.0000000000000001E-4</v>
      </c>
      <c r="W644" s="168">
        <v>44516</v>
      </c>
      <c r="X644" s="288">
        <v>104404</v>
      </c>
      <c r="Y644" s="288">
        <v>106336</v>
      </c>
      <c r="Z644" s="288">
        <v>106971</v>
      </c>
      <c r="AA644" s="288">
        <v>104113</v>
      </c>
      <c r="AB644" s="284" t="s">
        <v>1755</v>
      </c>
      <c r="AC644" s="290">
        <v>-1.8200000000000001E-2</v>
      </c>
      <c r="AE644" s="168"/>
      <c r="AF644" s="286"/>
      <c r="AG644" s="286"/>
      <c r="AH644" s="286"/>
      <c r="AI644" s="286"/>
      <c r="AJ644" s="284"/>
    </row>
    <row r="645" spans="1:36" x14ac:dyDescent="0.3">
      <c r="A645" s="167">
        <v>44519</v>
      </c>
      <c r="B645" s="171">
        <v>21.46</v>
      </c>
      <c r="C645" s="171">
        <v>21.34</v>
      </c>
      <c r="D645" s="171">
        <v>21.85</v>
      </c>
      <c r="E645" s="171">
        <v>20.74</v>
      </c>
      <c r="F645" s="171" t="s">
        <v>1754</v>
      </c>
      <c r="G645" s="283">
        <v>-2.63E-2</v>
      </c>
      <c r="I645" s="167">
        <v>44557</v>
      </c>
      <c r="J645" s="285">
        <v>3237.7</v>
      </c>
      <c r="K645" s="285">
        <v>3206.33</v>
      </c>
      <c r="L645" s="285">
        <v>3238.29</v>
      </c>
      <c r="M645" s="285">
        <v>3204.45</v>
      </c>
      <c r="N645" s="283" t="s">
        <v>1753</v>
      </c>
      <c r="P645" s="167">
        <v>44550</v>
      </c>
      <c r="Q645" s="285">
        <v>5.742</v>
      </c>
      <c r="R645" s="285">
        <v>5.7141000000000002</v>
      </c>
      <c r="S645" s="285">
        <v>5.7466999999999997</v>
      </c>
      <c r="T645" s="285">
        <v>5.6891999999999996</v>
      </c>
      <c r="U645" s="283">
        <v>8.0999999999999996E-3</v>
      </c>
      <c r="W645" s="167">
        <v>44512</v>
      </c>
      <c r="X645" s="287">
        <v>106335</v>
      </c>
      <c r="Y645" s="287">
        <v>107576</v>
      </c>
      <c r="Z645" s="287">
        <v>107915</v>
      </c>
      <c r="AA645" s="287">
        <v>105842</v>
      </c>
      <c r="AB645" s="283" t="s">
        <v>1351</v>
      </c>
      <c r="AC645" s="289">
        <v>-1.17E-2</v>
      </c>
      <c r="AE645" s="167"/>
      <c r="AF645" s="285"/>
      <c r="AG645" s="285"/>
      <c r="AH645" s="285"/>
      <c r="AI645" s="285"/>
      <c r="AJ645" s="283"/>
    </row>
    <row r="646" spans="1:36" x14ac:dyDescent="0.3">
      <c r="A646" s="168">
        <v>44518</v>
      </c>
      <c r="B646" s="83">
        <v>22.04</v>
      </c>
      <c r="C646" s="83">
        <v>22.99</v>
      </c>
      <c r="D646" s="83">
        <v>23.47</v>
      </c>
      <c r="E646" s="83">
        <v>21.95</v>
      </c>
      <c r="F646" s="83" t="s">
        <v>1752</v>
      </c>
      <c r="G646" s="284">
        <v>-4.4200000000000003E-2</v>
      </c>
      <c r="I646" s="168">
        <v>44554</v>
      </c>
      <c r="J646" s="286">
        <v>3206.85</v>
      </c>
      <c r="K646" s="286">
        <v>3207.02</v>
      </c>
      <c r="L646" s="286">
        <v>3208.23</v>
      </c>
      <c r="M646" s="286">
        <v>3205.4</v>
      </c>
      <c r="N646" s="284" t="s">
        <v>1514</v>
      </c>
      <c r="P646" s="168">
        <v>44547</v>
      </c>
      <c r="Q646" s="286">
        <v>5.6959</v>
      </c>
      <c r="R646" s="286">
        <v>5.6886999999999999</v>
      </c>
      <c r="S646" s="286">
        <v>5.7167000000000003</v>
      </c>
      <c r="T646" s="286">
        <v>5.6609999999999996</v>
      </c>
      <c r="U646" s="284">
        <v>1.2999999999999999E-3</v>
      </c>
      <c r="W646" s="168">
        <v>44511</v>
      </c>
      <c r="X646" s="288">
        <v>107595</v>
      </c>
      <c r="Y646" s="288">
        <v>105988</v>
      </c>
      <c r="Z646" s="288">
        <v>108669</v>
      </c>
      <c r="AA646" s="288">
        <v>105988</v>
      </c>
      <c r="AB646" s="284" t="s">
        <v>1751</v>
      </c>
      <c r="AC646" s="290">
        <v>1.54E-2</v>
      </c>
      <c r="AE646" s="168"/>
      <c r="AF646" s="286"/>
      <c r="AG646" s="286"/>
      <c r="AH646" s="286"/>
      <c r="AI646" s="286"/>
      <c r="AJ646" s="284"/>
    </row>
    <row r="647" spans="1:36" x14ac:dyDescent="0.3">
      <c r="A647" s="167">
        <v>44517</v>
      </c>
      <c r="B647" s="171">
        <v>23.06</v>
      </c>
      <c r="C647" s="171">
        <v>23.51</v>
      </c>
      <c r="D647" s="171">
        <v>23.94</v>
      </c>
      <c r="E647" s="171">
        <v>22.68</v>
      </c>
      <c r="F647" s="171" t="s">
        <v>1750</v>
      </c>
      <c r="G647" s="283">
        <v>-1.9099999999999999E-2</v>
      </c>
      <c r="I647" s="167">
        <v>44553</v>
      </c>
      <c r="J647" s="285">
        <v>3206.08</v>
      </c>
      <c r="K647" s="285">
        <v>3184.42</v>
      </c>
      <c r="L647" s="285">
        <v>3214.28</v>
      </c>
      <c r="M647" s="285">
        <v>3184.37</v>
      </c>
      <c r="N647" s="283" t="s">
        <v>1641</v>
      </c>
      <c r="P647" s="167">
        <v>44546</v>
      </c>
      <c r="Q647" s="285">
        <v>5.6883999999999997</v>
      </c>
      <c r="R647" s="285">
        <v>5.6692999999999998</v>
      </c>
      <c r="S647" s="285">
        <v>5.7256</v>
      </c>
      <c r="T647" s="285">
        <v>5.6589</v>
      </c>
      <c r="U647" s="283">
        <v>1.4E-3</v>
      </c>
      <c r="W647" s="167">
        <v>44510</v>
      </c>
      <c r="X647" s="287">
        <v>105968</v>
      </c>
      <c r="Y647" s="287">
        <v>105535</v>
      </c>
      <c r="Z647" s="287">
        <v>107407</v>
      </c>
      <c r="AA647" s="287">
        <v>105140</v>
      </c>
      <c r="AB647" s="283" t="s">
        <v>1749</v>
      </c>
      <c r="AC647" s="289">
        <v>4.1000000000000003E-3</v>
      </c>
      <c r="AE647" s="167"/>
      <c r="AF647" s="285"/>
      <c r="AG647" s="285"/>
      <c r="AH647" s="285"/>
      <c r="AI647" s="285"/>
      <c r="AJ647" s="283"/>
    </row>
    <row r="648" spans="1:36" x14ac:dyDescent="0.3">
      <c r="A648" s="168">
        <v>44516</v>
      </c>
      <c r="B648" s="83">
        <v>23.51</v>
      </c>
      <c r="C648" s="83">
        <v>24.37</v>
      </c>
      <c r="D648" s="83">
        <v>24.77</v>
      </c>
      <c r="E648" s="83">
        <v>23.31</v>
      </c>
      <c r="F648" s="83" t="s">
        <v>1748</v>
      </c>
      <c r="G648" s="284">
        <v>-3.49E-2</v>
      </c>
      <c r="I648" s="168">
        <v>44552</v>
      </c>
      <c r="J648" s="286">
        <v>3183.62</v>
      </c>
      <c r="K648" s="286">
        <v>3153.86</v>
      </c>
      <c r="L648" s="286">
        <v>3185.61</v>
      </c>
      <c r="M648" s="286">
        <v>3152.4</v>
      </c>
      <c r="N648" s="284" t="s">
        <v>1747</v>
      </c>
      <c r="P648" s="168">
        <v>44545</v>
      </c>
      <c r="Q648" s="286">
        <v>5.6806000000000001</v>
      </c>
      <c r="R648" s="286">
        <v>5.6872999999999996</v>
      </c>
      <c r="S648" s="286">
        <v>5.7363999999999997</v>
      </c>
      <c r="T648" s="286">
        <v>5.6574</v>
      </c>
      <c r="U648" s="284">
        <v>-2.0000000000000001E-4</v>
      </c>
      <c r="W648" s="168">
        <v>44509</v>
      </c>
      <c r="X648" s="288">
        <v>105535</v>
      </c>
      <c r="Y648" s="288">
        <v>104783</v>
      </c>
      <c r="Z648" s="288">
        <v>106674</v>
      </c>
      <c r="AA648" s="288">
        <v>104783</v>
      </c>
      <c r="AB648" s="284" t="s">
        <v>1746</v>
      </c>
      <c r="AC648" s="290">
        <v>7.1999999999999998E-3</v>
      </c>
      <c r="AE648" s="168"/>
      <c r="AF648" s="286"/>
      <c r="AG648" s="286"/>
      <c r="AH648" s="286"/>
      <c r="AI648" s="286"/>
      <c r="AJ648" s="284"/>
    </row>
    <row r="649" spans="1:36" x14ac:dyDescent="0.3">
      <c r="A649" s="167">
        <v>44512</v>
      </c>
      <c r="B649" s="171">
        <v>24.36</v>
      </c>
      <c r="C649" s="171">
        <v>24.92</v>
      </c>
      <c r="D649" s="171">
        <v>25.32</v>
      </c>
      <c r="E649" s="171">
        <v>23.91</v>
      </c>
      <c r="F649" s="171" t="s">
        <v>1745</v>
      </c>
      <c r="G649" s="283">
        <v>-5.0999999999999997E-2</v>
      </c>
      <c r="I649" s="167">
        <v>44551</v>
      </c>
      <c r="J649" s="285">
        <v>3152.31</v>
      </c>
      <c r="K649" s="285">
        <v>3102.05</v>
      </c>
      <c r="L649" s="285">
        <v>3154.55</v>
      </c>
      <c r="M649" s="285">
        <v>3101.44</v>
      </c>
      <c r="N649" s="283" t="s">
        <v>1744</v>
      </c>
      <c r="P649" s="167">
        <v>44544</v>
      </c>
      <c r="Q649" s="285">
        <v>5.6814999999999998</v>
      </c>
      <c r="R649" s="285">
        <v>5.6680999999999999</v>
      </c>
      <c r="S649" s="285">
        <v>5.6985999999999999</v>
      </c>
      <c r="T649" s="285">
        <v>5.6178999999999997</v>
      </c>
      <c r="U649" s="283">
        <v>2.0000000000000001E-4</v>
      </c>
      <c r="W649" s="167">
        <v>44508</v>
      </c>
      <c r="X649" s="287">
        <v>104781</v>
      </c>
      <c r="Y649" s="287">
        <v>104824</v>
      </c>
      <c r="Z649" s="287">
        <v>105679</v>
      </c>
      <c r="AA649" s="287">
        <v>104182</v>
      </c>
      <c r="AB649" s="283" t="s">
        <v>1471</v>
      </c>
      <c r="AC649" s="289">
        <v>-4.0000000000000002E-4</v>
      </c>
      <c r="AE649" s="167"/>
      <c r="AF649" s="285"/>
      <c r="AG649" s="285"/>
      <c r="AH649" s="285"/>
      <c r="AI649" s="285"/>
      <c r="AJ649" s="283"/>
    </row>
    <row r="650" spans="1:36" x14ac:dyDescent="0.3">
      <c r="A650" s="168">
        <v>44511</v>
      </c>
      <c r="B650" s="83">
        <v>25.67</v>
      </c>
      <c r="C650" s="83">
        <v>25.9</v>
      </c>
      <c r="D650" s="83">
        <v>26.14</v>
      </c>
      <c r="E650" s="83">
        <v>25.23</v>
      </c>
      <c r="F650" s="83" t="s">
        <v>1652</v>
      </c>
      <c r="G650" s="284">
        <v>-1.6000000000000001E-3</v>
      </c>
      <c r="I650" s="168">
        <v>44550</v>
      </c>
      <c r="J650" s="286">
        <v>3100.5</v>
      </c>
      <c r="K650" s="286">
        <v>3135.9</v>
      </c>
      <c r="L650" s="286">
        <v>3136.28</v>
      </c>
      <c r="M650" s="286">
        <v>3083.19</v>
      </c>
      <c r="N650" s="284" t="s">
        <v>1743</v>
      </c>
      <c r="P650" s="168">
        <v>44543</v>
      </c>
      <c r="Q650" s="286">
        <v>5.6803999999999997</v>
      </c>
      <c r="R650" s="286">
        <v>5.6105</v>
      </c>
      <c r="S650" s="286">
        <v>5.6813000000000002</v>
      </c>
      <c r="T650" s="286">
        <v>5.6012000000000004</v>
      </c>
      <c r="U650" s="284">
        <v>1.21E-2</v>
      </c>
      <c r="W650" s="168">
        <v>44505</v>
      </c>
      <c r="X650" s="288">
        <v>104824</v>
      </c>
      <c r="Y650" s="288">
        <v>103412</v>
      </c>
      <c r="Z650" s="288">
        <v>105555</v>
      </c>
      <c r="AA650" s="288">
        <v>103412</v>
      </c>
      <c r="AB650" s="284" t="s">
        <v>1742</v>
      </c>
      <c r="AC650" s="290">
        <v>1.37E-2</v>
      </c>
      <c r="AE650" s="168"/>
      <c r="AF650" s="286"/>
      <c r="AG650" s="286"/>
      <c r="AH650" s="286"/>
      <c r="AI650" s="286"/>
      <c r="AJ650" s="284"/>
    </row>
    <row r="651" spans="1:36" x14ac:dyDescent="0.3">
      <c r="A651" s="167">
        <v>44510</v>
      </c>
      <c r="B651" s="171">
        <v>25.71</v>
      </c>
      <c r="C651" s="171">
        <v>26.54</v>
      </c>
      <c r="D651" s="171">
        <v>27.11</v>
      </c>
      <c r="E651" s="171">
        <v>25.23</v>
      </c>
      <c r="F651" s="171" t="s">
        <v>1741</v>
      </c>
      <c r="G651" s="283">
        <v>-2.98E-2</v>
      </c>
      <c r="I651" s="167">
        <v>44547</v>
      </c>
      <c r="J651" s="285">
        <v>3139.75</v>
      </c>
      <c r="K651" s="285">
        <v>3168.17</v>
      </c>
      <c r="L651" s="285">
        <v>3168.31</v>
      </c>
      <c r="M651" s="285">
        <v>3125.51</v>
      </c>
      <c r="N651" s="283" t="s">
        <v>1273</v>
      </c>
      <c r="P651" s="167">
        <v>44540</v>
      </c>
      <c r="Q651" s="285">
        <v>5.6127000000000002</v>
      </c>
      <c r="R651" s="285">
        <v>5.5598999999999998</v>
      </c>
      <c r="S651" s="285">
        <v>5.6357999999999997</v>
      </c>
      <c r="T651" s="285">
        <v>5.5579999999999998</v>
      </c>
      <c r="U651" s="283">
        <v>7.1999999999999998E-3</v>
      </c>
      <c r="W651" s="167">
        <v>44504</v>
      </c>
      <c r="X651" s="287">
        <v>103412</v>
      </c>
      <c r="Y651" s="287">
        <v>105617</v>
      </c>
      <c r="Z651" s="287">
        <v>105627</v>
      </c>
      <c r="AA651" s="287">
        <v>102835</v>
      </c>
      <c r="AB651" s="283" t="s">
        <v>1567</v>
      </c>
      <c r="AC651" s="289">
        <v>-2.0899999999999998E-2</v>
      </c>
      <c r="AE651" s="167"/>
      <c r="AF651" s="285"/>
      <c r="AG651" s="285"/>
      <c r="AH651" s="285"/>
      <c r="AI651" s="285"/>
      <c r="AJ651" s="283"/>
    </row>
    <row r="652" spans="1:36" x14ac:dyDescent="0.3">
      <c r="A652" s="168">
        <v>44509</v>
      </c>
      <c r="B652" s="83">
        <v>26.5</v>
      </c>
      <c r="C652" s="83">
        <v>27.88</v>
      </c>
      <c r="D652" s="83">
        <v>28.3</v>
      </c>
      <c r="E652" s="83">
        <v>26.15</v>
      </c>
      <c r="F652" s="83" t="s">
        <v>1740</v>
      </c>
      <c r="G652" s="284">
        <v>-4.5400000000000003E-2</v>
      </c>
      <c r="I652" s="168">
        <v>44546</v>
      </c>
      <c r="J652" s="286">
        <v>3167.33</v>
      </c>
      <c r="K652" s="286">
        <v>3178.78</v>
      </c>
      <c r="L652" s="286">
        <v>3201.87</v>
      </c>
      <c r="M652" s="286">
        <v>3159.24</v>
      </c>
      <c r="N652" s="284" t="s">
        <v>1739</v>
      </c>
      <c r="P652" s="168">
        <v>44539</v>
      </c>
      <c r="Q652" s="286">
        <v>5.5727000000000002</v>
      </c>
      <c r="R652" s="286">
        <v>5.5373999999999999</v>
      </c>
      <c r="S652" s="286">
        <v>5.5998999999999999</v>
      </c>
      <c r="T652" s="286">
        <v>5.5175000000000001</v>
      </c>
      <c r="U652" s="284">
        <v>7.1999999999999998E-3</v>
      </c>
      <c r="W652" s="168">
        <v>44503</v>
      </c>
      <c r="X652" s="288">
        <v>105617</v>
      </c>
      <c r="Y652" s="288">
        <v>105547</v>
      </c>
      <c r="Z652" s="288">
        <v>106754</v>
      </c>
      <c r="AA652" s="288">
        <v>104205</v>
      </c>
      <c r="AB652" s="284" t="s">
        <v>1738</v>
      </c>
      <c r="AC652" s="290">
        <v>5.9999999999999995E-4</v>
      </c>
      <c r="AE652" s="168"/>
      <c r="AF652" s="286"/>
      <c r="AG652" s="286"/>
      <c r="AH652" s="286"/>
      <c r="AI652" s="286"/>
      <c r="AJ652" s="284"/>
    </row>
    <row r="653" spans="1:36" x14ac:dyDescent="0.3">
      <c r="A653" s="167">
        <v>44508</v>
      </c>
      <c r="B653" s="171">
        <v>27.76</v>
      </c>
      <c r="C653" s="171">
        <v>27.5</v>
      </c>
      <c r="D653" s="171">
        <v>28.71</v>
      </c>
      <c r="E653" s="171">
        <v>26.96</v>
      </c>
      <c r="F653" s="171" t="s">
        <v>1737</v>
      </c>
      <c r="G653" s="283">
        <v>6.8999999999999999E-3</v>
      </c>
      <c r="I653" s="167">
        <v>44545</v>
      </c>
      <c r="J653" s="285">
        <v>3175.11</v>
      </c>
      <c r="K653" s="285">
        <v>3136.92</v>
      </c>
      <c r="L653" s="285">
        <v>3178.68</v>
      </c>
      <c r="M653" s="285">
        <v>3126.59</v>
      </c>
      <c r="N653" s="283" t="s">
        <v>1736</v>
      </c>
      <c r="P653" s="167">
        <v>44538</v>
      </c>
      <c r="Q653" s="285">
        <v>5.5327000000000002</v>
      </c>
      <c r="R653" s="285">
        <v>5.6026999999999996</v>
      </c>
      <c r="S653" s="285">
        <v>5.6364000000000001</v>
      </c>
      <c r="T653" s="285">
        <v>5.5255999999999998</v>
      </c>
      <c r="U653" s="283">
        <v>-1.43E-2</v>
      </c>
      <c r="W653" s="167">
        <v>44501</v>
      </c>
      <c r="X653" s="287">
        <v>105551</v>
      </c>
      <c r="Y653" s="287">
        <v>103514</v>
      </c>
      <c r="Z653" s="287">
        <v>106136</v>
      </c>
      <c r="AA653" s="287">
        <v>103514</v>
      </c>
      <c r="AB653" s="283" t="s">
        <v>1735</v>
      </c>
      <c r="AC653" s="289">
        <v>1.9800000000000002E-2</v>
      </c>
      <c r="AE653" s="167"/>
      <c r="AF653" s="285"/>
      <c r="AG653" s="285"/>
      <c r="AH653" s="285"/>
      <c r="AI653" s="285"/>
      <c r="AJ653" s="283"/>
    </row>
    <row r="654" spans="1:36" x14ac:dyDescent="0.3">
      <c r="A654" s="168">
        <v>44505</v>
      </c>
      <c r="B654" s="83">
        <v>27.57</v>
      </c>
      <c r="C654" s="83">
        <v>24</v>
      </c>
      <c r="D654" s="83">
        <v>28.86</v>
      </c>
      <c r="E654" s="83">
        <v>24</v>
      </c>
      <c r="F654" s="83" t="s">
        <v>1734</v>
      </c>
      <c r="G654" s="284">
        <v>0.1787</v>
      </c>
      <c r="I654" s="168">
        <v>44544</v>
      </c>
      <c r="J654" s="286">
        <v>3138.06</v>
      </c>
      <c r="K654" s="286">
        <v>3161.89</v>
      </c>
      <c r="L654" s="286">
        <v>3164.3</v>
      </c>
      <c r="M654" s="286">
        <v>3124.71</v>
      </c>
      <c r="N654" s="284" t="s">
        <v>1733</v>
      </c>
      <c r="P654" s="168">
        <v>44537</v>
      </c>
      <c r="Q654" s="286">
        <v>5.6128</v>
      </c>
      <c r="R654" s="286">
        <v>5.6890000000000001</v>
      </c>
      <c r="S654" s="286">
        <v>5.6890000000000001</v>
      </c>
      <c r="T654" s="286">
        <v>5.6085000000000003</v>
      </c>
      <c r="U654" s="284">
        <v>-1.34E-2</v>
      </c>
      <c r="W654" s="168">
        <v>44498</v>
      </c>
      <c r="X654" s="288">
        <v>103501</v>
      </c>
      <c r="Y654" s="288">
        <v>105707</v>
      </c>
      <c r="Z654" s="288">
        <v>105954</v>
      </c>
      <c r="AA654" s="288">
        <v>103430</v>
      </c>
      <c r="AB654" s="284" t="s">
        <v>1732</v>
      </c>
      <c r="AC654" s="290">
        <v>-2.0899999999999998E-2</v>
      </c>
      <c r="AE654" s="168"/>
      <c r="AF654" s="286"/>
      <c r="AG654" s="286"/>
      <c r="AH654" s="286"/>
      <c r="AI654" s="286"/>
      <c r="AJ654" s="284"/>
    </row>
    <row r="655" spans="1:36" x14ac:dyDescent="0.3">
      <c r="A655" s="167">
        <v>44504</v>
      </c>
      <c r="B655" s="171">
        <v>23.39</v>
      </c>
      <c r="C655" s="171">
        <v>23.8</v>
      </c>
      <c r="D655" s="171">
        <v>24.59</v>
      </c>
      <c r="E655" s="171">
        <v>23.25</v>
      </c>
      <c r="F655" s="171" t="s">
        <v>1731</v>
      </c>
      <c r="G655" s="283">
        <v>-1.72E-2</v>
      </c>
      <c r="I655" s="167">
        <v>44543</v>
      </c>
      <c r="J655" s="285">
        <v>3162</v>
      </c>
      <c r="K655" s="285">
        <v>3188.79</v>
      </c>
      <c r="L655" s="285">
        <v>3190.95</v>
      </c>
      <c r="M655" s="285">
        <v>3161.78</v>
      </c>
      <c r="N655" s="283" t="s">
        <v>1730</v>
      </c>
      <c r="P655" s="167">
        <v>44536</v>
      </c>
      <c r="Q655" s="285">
        <v>5.6890999999999998</v>
      </c>
      <c r="R655" s="285">
        <v>5.6532</v>
      </c>
      <c r="S655" s="285">
        <v>5.7028999999999996</v>
      </c>
      <c r="T655" s="285">
        <v>5.6349999999999998</v>
      </c>
      <c r="U655" s="283">
        <v>6.4000000000000003E-3</v>
      </c>
      <c r="W655" s="167">
        <v>44497</v>
      </c>
      <c r="X655" s="287">
        <v>105705</v>
      </c>
      <c r="Y655" s="287">
        <v>106369</v>
      </c>
      <c r="Z655" s="287">
        <v>107210</v>
      </c>
      <c r="AA655" s="287">
        <v>105282</v>
      </c>
      <c r="AB655" s="283" t="s">
        <v>1512</v>
      </c>
      <c r="AC655" s="289">
        <v>-6.1999999999999998E-3</v>
      </c>
      <c r="AE655" s="167"/>
      <c r="AF655" s="285"/>
      <c r="AG655" s="285"/>
      <c r="AH655" s="285"/>
      <c r="AI655" s="285"/>
      <c r="AJ655" s="283"/>
    </row>
    <row r="656" spans="1:36" x14ac:dyDescent="0.3">
      <c r="A656" s="168">
        <v>44503</v>
      </c>
      <c r="B656" s="83">
        <v>23.8</v>
      </c>
      <c r="C656" s="83">
        <v>23.1</v>
      </c>
      <c r="D656" s="83">
        <v>23.91</v>
      </c>
      <c r="E656" s="83">
        <v>22.42</v>
      </c>
      <c r="F656" s="83" t="s">
        <v>1729</v>
      </c>
      <c r="G656" s="284">
        <v>1.7100000000000001E-2</v>
      </c>
      <c r="I656" s="168">
        <v>44540</v>
      </c>
      <c r="J656" s="286">
        <v>3188.26</v>
      </c>
      <c r="K656" s="286">
        <v>3173</v>
      </c>
      <c r="L656" s="286">
        <v>3190.54</v>
      </c>
      <c r="M656" s="286">
        <v>3167.21</v>
      </c>
      <c r="N656" s="284" t="s">
        <v>1315</v>
      </c>
      <c r="P656" s="168">
        <v>44533</v>
      </c>
      <c r="Q656" s="286">
        <v>5.6532</v>
      </c>
      <c r="R656" s="286">
        <v>5.6513999999999998</v>
      </c>
      <c r="S656" s="286">
        <v>5.6863999999999999</v>
      </c>
      <c r="T656" s="286">
        <v>5.6006</v>
      </c>
      <c r="U656" s="284">
        <v>1.1999999999999999E-3</v>
      </c>
      <c r="W656" s="168">
        <v>44496</v>
      </c>
      <c r="X656" s="288">
        <v>106363</v>
      </c>
      <c r="Y656" s="288">
        <v>106433</v>
      </c>
      <c r="Z656" s="288">
        <v>108224</v>
      </c>
      <c r="AA656" s="288">
        <v>106045</v>
      </c>
      <c r="AB656" s="284" t="s">
        <v>1728</v>
      </c>
      <c r="AC656" s="290">
        <v>-5.0000000000000001E-4</v>
      </c>
      <c r="AE656" s="168"/>
      <c r="AF656" s="286"/>
      <c r="AG656" s="286"/>
      <c r="AH656" s="286"/>
      <c r="AI656" s="286"/>
      <c r="AJ656" s="284"/>
    </row>
    <row r="657" spans="1:36" x14ac:dyDescent="0.3">
      <c r="A657" s="167">
        <v>44501</v>
      </c>
      <c r="B657" s="171">
        <v>23.4</v>
      </c>
      <c r="C657" s="171">
        <v>24</v>
      </c>
      <c r="D657" s="171">
        <v>24.28</v>
      </c>
      <c r="E657" s="171">
        <v>23.12</v>
      </c>
      <c r="F657" s="171" t="s">
        <v>1727</v>
      </c>
      <c r="G657" s="283">
        <v>-3.0000000000000001E-3</v>
      </c>
      <c r="I657" s="167">
        <v>44539</v>
      </c>
      <c r="J657" s="285">
        <v>3172.49</v>
      </c>
      <c r="K657" s="285">
        <v>3197.12</v>
      </c>
      <c r="L657" s="285">
        <v>3197.47</v>
      </c>
      <c r="M657" s="285">
        <v>3172.49</v>
      </c>
      <c r="N657" s="283" t="s">
        <v>1726</v>
      </c>
      <c r="P657" s="167">
        <v>44532</v>
      </c>
      <c r="Q657" s="285">
        <v>5.6462000000000003</v>
      </c>
      <c r="R657" s="285">
        <v>5.6631999999999998</v>
      </c>
      <c r="S657" s="285">
        <v>5.6790000000000003</v>
      </c>
      <c r="T657" s="285">
        <v>5.6139000000000001</v>
      </c>
      <c r="U657" s="283">
        <v>-8.6999999999999994E-3</v>
      </c>
      <c r="W657" s="167">
        <v>44495</v>
      </c>
      <c r="X657" s="287">
        <v>106420</v>
      </c>
      <c r="Y657" s="287">
        <v>108713</v>
      </c>
      <c r="Z657" s="287">
        <v>108713</v>
      </c>
      <c r="AA657" s="287">
        <v>106321</v>
      </c>
      <c r="AB657" s="283" t="s">
        <v>1725</v>
      </c>
      <c r="AC657" s="289">
        <v>-2.1100000000000001E-2</v>
      </c>
      <c r="AE657" s="167"/>
      <c r="AF657" s="285"/>
      <c r="AG657" s="285"/>
      <c r="AH657" s="285"/>
      <c r="AI657" s="285"/>
      <c r="AJ657" s="283"/>
    </row>
    <row r="658" spans="1:36" x14ac:dyDescent="0.3">
      <c r="A658" s="168">
        <v>44498</v>
      </c>
      <c r="B658" s="83">
        <v>23.47</v>
      </c>
      <c r="C658" s="83">
        <v>23.68</v>
      </c>
      <c r="D658" s="83">
        <v>24.05</v>
      </c>
      <c r="E658" s="83">
        <v>23.13</v>
      </c>
      <c r="F658" s="83" t="s">
        <v>1724</v>
      </c>
      <c r="G658" s="284">
        <v>-1.6999999999999999E-3</v>
      </c>
      <c r="I658" s="168">
        <v>44538</v>
      </c>
      <c r="J658" s="286">
        <v>3196.39</v>
      </c>
      <c r="K658" s="286">
        <v>3185.52</v>
      </c>
      <c r="L658" s="286">
        <v>3199.79</v>
      </c>
      <c r="M658" s="286">
        <v>3183.18</v>
      </c>
      <c r="N658" s="284" t="s">
        <v>1224</v>
      </c>
      <c r="P658" s="168">
        <v>44531</v>
      </c>
      <c r="Q658" s="286">
        <v>5.6955</v>
      </c>
      <c r="R658" s="286">
        <v>5.6242999999999999</v>
      </c>
      <c r="S658" s="286">
        <v>5.6959</v>
      </c>
      <c r="T658" s="286">
        <v>5.577</v>
      </c>
      <c r="U658" s="284">
        <v>1.2699999999999999E-2</v>
      </c>
      <c r="W658" s="168">
        <v>44494</v>
      </c>
      <c r="X658" s="288">
        <v>108715</v>
      </c>
      <c r="Y658" s="288">
        <v>106298</v>
      </c>
      <c r="Z658" s="288">
        <v>109372</v>
      </c>
      <c r="AA658" s="288">
        <v>106296</v>
      </c>
      <c r="AB658" s="284" t="s">
        <v>1723</v>
      </c>
      <c r="AC658" s="290">
        <v>2.2800000000000001E-2</v>
      </c>
      <c r="AE658" s="168"/>
      <c r="AF658" s="286"/>
      <c r="AG658" s="286"/>
      <c r="AH658" s="286"/>
      <c r="AI658" s="286"/>
      <c r="AJ658" s="284"/>
    </row>
    <row r="659" spans="1:36" x14ac:dyDescent="0.3">
      <c r="A659" s="167">
        <v>44497</v>
      </c>
      <c r="B659" s="171">
        <v>23.51</v>
      </c>
      <c r="C659" s="171">
        <v>24.66</v>
      </c>
      <c r="D659" s="171">
        <v>24.95</v>
      </c>
      <c r="E659" s="171">
        <v>23.11</v>
      </c>
      <c r="F659" s="171" t="s">
        <v>1722</v>
      </c>
      <c r="G659" s="283">
        <v>-7.2599999999999998E-2</v>
      </c>
      <c r="I659" s="167">
        <v>44537</v>
      </c>
      <c r="J659" s="285">
        <v>3184.17</v>
      </c>
      <c r="K659" s="285">
        <v>3118.29</v>
      </c>
      <c r="L659" s="285">
        <v>3188.27</v>
      </c>
      <c r="M659" s="285">
        <v>3118.26</v>
      </c>
      <c r="N659" s="283" t="s">
        <v>1721</v>
      </c>
      <c r="P659" s="167">
        <v>44530</v>
      </c>
      <c r="Q659" s="285">
        <v>5.6238999999999999</v>
      </c>
      <c r="R659" s="285">
        <v>5.6036999999999999</v>
      </c>
      <c r="S659" s="285">
        <v>5.6703999999999999</v>
      </c>
      <c r="T659" s="285">
        <v>5.5777999999999999</v>
      </c>
      <c r="U659" s="283">
        <v>4.0000000000000001E-3</v>
      </c>
      <c r="W659" s="167">
        <v>44491</v>
      </c>
      <c r="X659" s="287">
        <v>106296</v>
      </c>
      <c r="Y659" s="287">
        <v>107714</v>
      </c>
      <c r="Z659" s="287">
        <v>107749</v>
      </c>
      <c r="AA659" s="287">
        <v>102854</v>
      </c>
      <c r="AB659" s="283" t="s">
        <v>1720</v>
      </c>
      <c r="AC659" s="289">
        <v>-1.34E-2</v>
      </c>
      <c r="AE659" s="167"/>
      <c r="AF659" s="285"/>
      <c r="AG659" s="285"/>
      <c r="AH659" s="285"/>
      <c r="AI659" s="285"/>
      <c r="AJ659" s="283"/>
    </row>
    <row r="660" spans="1:36" x14ac:dyDescent="0.3">
      <c r="A660" s="168">
        <v>44496</v>
      </c>
      <c r="B660" s="83">
        <v>25.35</v>
      </c>
      <c r="C660" s="83">
        <v>27.26</v>
      </c>
      <c r="D660" s="83">
        <v>27.35</v>
      </c>
      <c r="E660" s="83">
        <v>25.14</v>
      </c>
      <c r="F660" s="83" t="s">
        <v>1719</v>
      </c>
      <c r="G660" s="284">
        <v>-6.6299999999999998E-2</v>
      </c>
      <c r="I660" s="168">
        <v>44536</v>
      </c>
      <c r="J660" s="286">
        <v>3117.31</v>
      </c>
      <c r="K660" s="286">
        <v>3087.98</v>
      </c>
      <c r="L660" s="286">
        <v>3127.52</v>
      </c>
      <c r="M660" s="286">
        <v>3084.79</v>
      </c>
      <c r="N660" s="284" t="s">
        <v>1718</v>
      </c>
      <c r="P660" s="168">
        <v>44529</v>
      </c>
      <c r="Q660" s="286">
        <v>5.6017000000000001</v>
      </c>
      <c r="R660" s="286">
        <v>5.6085000000000003</v>
      </c>
      <c r="S660" s="286">
        <v>5.6402999999999999</v>
      </c>
      <c r="T660" s="286">
        <v>5.5793999999999997</v>
      </c>
      <c r="U660" s="284">
        <v>-1.4E-3</v>
      </c>
      <c r="W660" s="168">
        <v>44490</v>
      </c>
      <c r="X660" s="288">
        <v>107735</v>
      </c>
      <c r="Y660" s="288">
        <v>110767</v>
      </c>
      <c r="Z660" s="288">
        <v>110767</v>
      </c>
      <c r="AA660" s="288">
        <v>105714</v>
      </c>
      <c r="AB660" s="284" t="s">
        <v>1717</v>
      </c>
      <c r="AC660" s="290">
        <v>-2.75E-2</v>
      </c>
      <c r="AE660" s="168"/>
      <c r="AF660" s="286"/>
      <c r="AG660" s="286"/>
      <c r="AH660" s="286"/>
      <c r="AI660" s="286"/>
      <c r="AJ660" s="284"/>
    </row>
    <row r="661" spans="1:36" x14ac:dyDescent="0.3">
      <c r="A661" s="167">
        <v>44495</v>
      </c>
      <c r="B661" s="171">
        <v>27.15</v>
      </c>
      <c r="C661" s="171">
        <v>27</v>
      </c>
      <c r="D661" s="171">
        <v>27.7</v>
      </c>
      <c r="E661" s="171">
        <v>26.86</v>
      </c>
      <c r="F661" s="171" t="s">
        <v>1716</v>
      </c>
      <c r="G661" s="283">
        <v>-9.7999999999999997E-3</v>
      </c>
      <c r="I661" s="167">
        <v>44533</v>
      </c>
      <c r="J661" s="285">
        <v>3086.44</v>
      </c>
      <c r="K661" s="285">
        <v>3110.42</v>
      </c>
      <c r="L661" s="285">
        <v>3129.75</v>
      </c>
      <c r="M661" s="285">
        <v>3067.56</v>
      </c>
      <c r="N661" s="283" t="s">
        <v>1715</v>
      </c>
      <c r="P661" s="167">
        <v>44526</v>
      </c>
      <c r="Q661" s="285">
        <v>5.6093000000000002</v>
      </c>
      <c r="R661" s="285">
        <v>5.6561000000000003</v>
      </c>
      <c r="S661" s="285">
        <v>5.6561000000000003</v>
      </c>
      <c r="T661" s="285">
        <v>5.5719000000000003</v>
      </c>
      <c r="U661" s="283">
        <v>7.7000000000000002E-3</v>
      </c>
      <c r="W661" s="167">
        <v>44489</v>
      </c>
      <c r="X661" s="287">
        <v>110786</v>
      </c>
      <c r="Y661" s="287">
        <v>110677</v>
      </c>
      <c r="Z661" s="287">
        <v>112023</v>
      </c>
      <c r="AA661" s="287">
        <v>110176</v>
      </c>
      <c r="AB661" s="283" t="s">
        <v>1714</v>
      </c>
      <c r="AC661" s="289">
        <v>1E-3</v>
      </c>
      <c r="AE661" s="167"/>
      <c r="AF661" s="285"/>
      <c r="AG661" s="285"/>
      <c r="AH661" s="285"/>
      <c r="AI661" s="285"/>
      <c r="AJ661" s="283"/>
    </row>
    <row r="662" spans="1:36" x14ac:dyDescent="0.3">
      <c r="A662" s="168">
        <v>44494</v>
      </c>
      <c r="B662" s="83">
        <v>27.42</v>
      </c>
      <c r="C662" s="83">
        <v>27.45</v>
      </c>
      <c r="D662" s="83">
        <v>27.77</v>
      </c>
      <c r="E662" s="83">
        <v>27</v>
      </c>
      <c r="F662" s="83" t="s">
        <v>1713</v>
      </c>
      <c r="G662" s="284">
        <v>3.5499999999999997E-2</v>
      </c>
      <c r="I662" s="168">
        <v>44532</v>
      </c>
      <c r="J662" s="286">
        <v>3111.17</v>
      </c>
      <c r="K662" s="286">
        <v>3086.12</v>
      </c>
      <c r="L662" s="286">
        <v>3119.13</v>
      </c>
      <c r="M662" s="286">
        <v>3075.45</v>
      </c>
      <c r="N662" s="284" t="s">
        <v>1561</v>
      </c>
      <c r="P662" s="168">
        <v>44525</v>
      </c>
      <c r="Q662" s="286">
        <v>5.5663999999999998</v>
      </c>
      <c r="R662" s="286">
        <v>5.5925000000000002</v>
      </c>
      <c r="S662" s="286">
        <v>5.5991</v>
      </c>
      <c r="T662" s="286">
        <v>5.5479000000000003</v>
      </c>
      <c r="U662" s="284">
        <v>-7.1000000000000004E-3</v>
      </c>
      <c r="W662" s="168">
        <v>44488</v>
      </c>
      <c r="X662" s="288">
        <v>110673</v>
      </c>
      <c r="Y662" s="288">
        <v>114422</v>
      </c>
      <c r="Z662" s="288">
        <v>114422</v>
      </c>
      <c r="AA662" s="288">
        <v>109947</v>
      </c>
      <c r="AB662" s="284" t="s">
        <v>1642</v>
      </c>
      <c r="AC662" s="290">
        <v>-3.2800000000000003E-2</v>
      </c>
      <c r="AE662" s="168"/>
      <c r="AF662" s="286"/>
      <c r="AG662" s="286"/>
      <c r="AH662" s="286"/>
      <c r="AI662" s="286"/>
      <c r="AJ662" s="284"/>
    </row>
    <row r="663" spans="1:36" x14ac:dyDescent="0.3">
      <c r="A663" s="167">
        <v>44491</v>
      </c>
      <c r="B663" s="171">
        <v>26.48</v>
      </c>
      <c r="C663" s="171">
        <v>26.12</v>
      </c>
      <c r="D663" s="171">
        <v>26.86</v>
      </c>
      <c r="E663" s="171">
        <v>24.15</v>
      </c>
      <c r="F663" s="171" t="s">
        <v>1712</v>
      </c>
      <c r="G663" s="283">
        <v>7.1999999999999998E-3</v>
      </c>
      <c r="I663" s="167">
        <v>44531</v>
      </c>
      <c r="J663" s="285">
        <v>3087.98</v>
      </c>
      <c r="K663" s="285">
        <v>3106.8</v>
      </c>
      <c r="L663" s="285">
        <v>3159.63</v>
      </c>
      <c r="M663" s="285">
        <v>3084.73</v>
      </c>
      <c r="N663" s="283" t="s">
        <v>1581</v>
      </c>
      <c r="P663" s="167">
        <v>44524</v>
      </c>
      <c r="Q663" s="285">
        <v>5.6060999999999996</v>
      </c>
      <c r="R663" s="285">
        <v>5.5712000000000002</v>
      </c>
      <c r="S663" s="285">
        <v>5.6234999999999999</v>
      </c>
      <c r="T663" s="285">
        <v>5.5540000000000003</v>
      </c>
      <c r="U663" s="283">
        <v>6.3E-3</v>
      </c>
      <c r="W663" s="167">
        <v>44487</v>
      </c>
      <c r="X663" s="287">
        <v>114428</v>
      </c>
      <c r="Y663" s="287">
        <v>114647</v>
      </c>
      <c r="Z663" s="287">
        <v>114927</v>
      </c>
      <c r="AA663" s="287">
        <v>112841</v>
      </c>
      <c r="AB663" s="283" t="s">
        <v>1711</v>
      </c>
      <c r="AC663" s="289">
        <v>-1.9E-3</v>
      </c>
      <c r="AE663" s="167"/>
      <c r="AF663" s="285"/>
      <c r="AG663" s="285"/>
      <c r="AH663" s="285"/>
      <c r="AI663" s="285"/>
      <c r="AJ663" s="283"/>
    </row>
    <row r="664" spans="1:36" x14ac:dyDescent="0.3">
      <c r="A664" s="168">
        <v>44490</v>
      </c>
      <c r="B664" s="83">
        <v>26.29</v>
      </c>
      <c r="C664" s="83">
        <v>26.22</v>
      </c>
      <c r="D664" s="83">
        <v>27.47</v>
      </c>
      <c r="E664" s="83">
        <v>25.25</v>
      </c>
      <c r="F664" s="83" t="s">
        <v>1710</v>
      </c>
      <c r="G664" s="284">
        <v>-2.2700000000000001E-2</v>
      </c>
      <c r="I664" s="168">
        <v>44530</v>
      </c>
      <c r="J664" s="286">
        <v>3101.8</v>
      </c>
      <c r="K664" s="286">
        <v>3157.49</v>
      </c>
      <c r="L664" s="286">
        <v>3161.01</v>
      </c>
      <c r="M664" s="286">
        <v>3101.8</v>
      </c>
      <c r="N664" s="284" t="s">
        <v>1709</v>
      </c>
      <c r="P664" s="168">
        <v>44523</v>
      </c>
      <c r="Q664" s="286">
        <v>5.5712000000000002</v>
      </c>
      <c r="R664" s="286">
        <v>5.5853999999999999</v>
      </c>
      <c r="S664" s="286">
        <v>5.6635999999999997</v>
      </c>
      <c r="T664" s="286">
        <v>5.5671999999999997</v>
      </c>
      <c r="U664" s="284">
        <v>-2.7000000000000001E-3</v>
      </c>
      <c r="W664" s="168">
        <v>44484</v>
      </c>
      <c r="X664" s="288">
        <v>114648</v>
      </c>
      <c r="Y664" s="288">
        <v>113189</v>
      </c>
      <c r="Z664" s="288">
        <v>114776</v>
      </c>
      <c r="AA664" s="288">
        <v>113049</v>
      </c>
      <c r="AB664" s="284" t="s">
        <v>1708</v>
      </c>
      <c r="AC664" s="290">
        <v>1.29E-2</v>
      </c>
      <c r="AE664" s="168"/>
      <c r="AF664" s="286"/>
      <c r="AG664" s="286"/>
      <c r="AH664" s="286"/>
      <c r="AI664" s="286"/>
      <c r="AJ664" s="284"/>
    </row>
    <row r="665" spans="1:36" x14ac:dyDescent="0.3">
      <c r="A665" s="167">
        <v>44489</v>
      </c>
      <c r="B665" s="171">
        <v>26.9</v>
      </c>
      <c r="C665" s="171">
        <v>26.78</v>
      </c>
      <c r="D665" s="171">
        <v>27.25</v>
      </c>
      <c r="E665" s="171">
        <v>26.24</v>
      </c>
      <c r="F665" s="171" t="s">
        <v>1707</v>
      </c>
      <c r="G665" s="283">
        <v>4.8999999999999998E-3</v>
      </c>
      <c r="I665" s="167">
        <v>44529</v>
      </c>
      <c r="J665" s="285">
        <v>3155.73</v>
      </c>
      <c r="K665" s="285">
        <v>3130.77</v>
      </c>
      <c r="L665" s="285">
        <v>3164.81</v>
      </c>
      <c r="M665" s="285">
        <v>3125.58</v>
      </c>
      <c r="N665" s="283" t="s">
        <v>1343</v>
      </c>
      <c r="P665" s="167">
        <v>44522</v>
      </c>
      <c r="Q665" s="285">
        <v>5.5865</v>
      </c>
      <c r="R665" s="285">
        <v>5.6013000000000002</v>
      </c>
      <c r="S665" s="285">
        <v>5.6143999999999998</v>
      </c>
      <c r="T665" s="285">
        <v>5.5620000000000003</v>
      </c>
      <c r="U665" s="283">
        <v>-4.7999999999999996E-3</v>
      </c>
      <c r="W665" s="167">
        <v>44483</v>
      </c>
      <c r="X665" s="287">
        <v>113185</v>
      </c>
      <c r="Y665" s="287">
        <v>113457</v>
      </c>
      <c r="Z665" s="287">
        <v>113881</v>
      </c>
      <c r="AA665" s="287">
        <v>112708</v>
      </c>
      <c r="AB665" s="283" t="s">
        <v>1706</v>
      </c>
      <c r="AC665" s="289">
        <v>-2.3999999999999998E-3</v>
      </c>
      <c r="AE665" s="167"/>
      <c r="AF665" s="285"/>
      <c r="AG665" s="285"/>
      <c r="AH665" s="285"/>
      <c r="AI665" s="285"/>
      <c r="AJ665" s="283"/>
    </row>
    <row r="666" spans="1:36" x14ac:dyDescent="0.3">
      <c r="A666" s="168">
        <v>44488</v>
      </c>
      <c r="B666" s="83">
        <v>26.77</v>
      </c>
      <c r="C666" s="83">
        <v>27.02</v>
      </c>
      <c r="D666" s="83">
        <v>27.67</v>
      </c>
      <c r="E666" s="83">
        <v>26.51</v>
      </c>
      <c r="F666" s="83" t="s">
        <v>1705</v>
      </c>
      <c r="G666" s="284">
        <v>-1.44E-2</v>
      </c>
      <c r="I666" s="168">
        <v>44526</v>
      </c>
      <c r="J666" s="286">
        <v>3131.98</v>
      </c>
      <c r="K666" s="286">
        <v>3202.08</v>
      </c>
      <c r="L666" s="286">
        <v>3202.55</v>
      </c>
      <c r="M666" s="286">
        <v>3127.03</v>
      </c>
      <c r="N666" s="284" t="s">
        <v>1704</v>
      </c>
      <c r="P666" s="168">
        <v>44519</v>
      </c>
      <c r="Q666" s="286">
        <v>5.6135000000000002</v>
      </c>
      <c r="R666" s="286">
        <v>5.5781999999999998</v>
      </c>
      <c r="S666" s="286">
        <v>5.6151</v>
      </c>
      <c r="T666" s="286">
        <v>5.5208000000000004</v>
      </c>
      <c r="U666" s="284">
        <v>1.01E-2</v>
      </c>
      <c r="W666" s="168">
        <v>44482</v>
      </c>
      <c r="X666" s="288">
        <v>113456</v>
      </c>
      <c r="Y666" s="288">
        <v>112180</v>
      </c>
      <c r="Z666" s="288">
        <v>114159</v>
      </c>
      <c r="AA666" s="288">
        <v>111807</v>
      </c>
      <c r="AB666" s="284" t="s">
        <v>1703</v>
      </c>
      <c r="AC666" s="290">
        <v>1.14E-2</v>
      </c>
      <c r="AE666" s="168"/>
      <c r="AF666" s="286"/>
      <c r="AG666" s="286"/>
      <c r="AH666" s="286"/>
      <c r="AI666" s="286"/>
      <c r="AJ666" s="284"/>
    </row>
    <row r="667" spans="1:36" x14ac:dyDescent="0.3">
      <c r="A667" s="167">
        <v>44487</v>
      </c>
      <c r="B667" s="171">
        <v>27.16</v>
      </c>
      <c r="C667" s="171">
        <v>27.8</v>
      </c>
      <c r="D667" s="171">
        <v>28.45</v>
      </c>
      <c r="E667" s="171">
        <v>26.97</v>
      </c>
      <c r="F667" s="171" t="s">
        <v>1702</v>
      </c>
      <c r="G667" s="283">
        <v>-2.0899999999999998E-2</v>
      </c>
      <c r="I667" s="167">
        <v>44525</v>
      </c>
      <c r="J667" s="285">
        <v>3202.44</v>
      </c>
      <c r="K667" s="285">
        <v>3198.75</v>
      </c>
      <c r="L667" s="285">
        <v>3203.78</v>
      </c>
      <c r="M667" s="285">
        <v>3198.51</v>
      </c>
      <c r="N667" s="283" t="s">
        <v>1701</v>
      </c>
      <c r="P667" s="167">
        <v>44518</v>
      </c>
      <c r="Q667" s="285">
        <v>5.5575999999999999</v>
      </c>
      <c r="R667" s="285">
        <v>5.5290999999999997</v>
      </c>
      <c r="S667" s="285">
        <v>5.5774999999999997</v>
      </c>
      <c r="T667" s="285">
        <v>5.5236999999999998</v>
      </c>
      <c r="U667" s="283">
        <v>5.1000000000000004E-3</v>
      </c>
      <c r="W667" s="167">
        <v>44480</v>
      </c>
      <c r="X667" s="287">
        <v>112180</v>
      </c>
      <c r="Y667" s="287">
        <v>112834</v>
      </c>
      <c r="Z667" s="287">
        <v>113982</v>
      </c>
      <c r="AA667" s="287">
        <v>112052</v>
      </c>
      <c r="AB667" s="283" t="s">
        <v>1700</v>
      </c>
      <c r="AC667" s="289">
        <v>-5.7999999999999996E-3</v>
      </c>
      <c r="AE667" s="167"/>
      <c r="AF667" s="285"/>
      <c r="AG667" s="285"/>
      <c r="AH667" s="285"/>
      <c r="AI667" s="285"/>
      <c r="AJ667" s="283"/>
    </row>
    <row r="668" spans="1:36" x14ac:dyDescent="0.3">
      <c r="A668" s="168">
        <v>44484</v>
      </c>
      <c r="B668" s="83">
        <v>27.74</v>
      </c>
      <c r="C668" s="83">
        <v>28.45</v>
      </c>
      <c r="D668" s="83">
        <v>28.49</v>
      </c>
      <c r="E668" s="83">
        <v>27.18</v>
      </c>
      <c r="F668" s="83" t="s">
        <v>1699</v>
      </c>
      <c r="G668" s="284">
        <v>-1.46E-2</v>
      </c>
      <c r="I668" s="168">
        <v>44524</v>
      </c>
      <c r="J668" s="286">
        <v>3198.12</v>
      </c>
      <c r="K668" s="286">
        <v>3196.75</v>
      </c>
      <c r="L668" s="286">
        <v>3199.47</v>
      </c>
      <c r="M668" s="286">
        <v>3173.04</v>
      </c>
      <c r="N668" s="284" t="s">
        <v>1210</v>
      </c>
      <c r="P668" s="168">
        <v>44517</v>
      </c>
      <c r="Q668" s="286">
        <v>5.5292000000000003</v>
      </c>
      <c r="R668" s="286">
        <v>5.4985999999999997</v>
      </c>
      <c r="S668" s="286">
        <v>5.5358999999999998</v>
      </c>
      <c r="T668" s="286">
        <v>5.4654999999999996</v>
      </c>
      <c r="U668" s="284">
        <v>4.7999999999999996E-3</v>
      </c>
      <c r="W668" s="168">
        <v>44477</v>
      </c>
      <c r="X668" s="288">
        <v>112833</v>
      </c>
      <c r="Y668" s="288">
        <v>110586</v>
      </c>
      <c r="Z668" s="288">
        <v>114172</v>
      </c>
      <c r="AA668" s="288">
        <v>110586</v>
      </c>
      <c r="AB668" s="284" t="s">
        <v>1698</v>
      </c>
      <c r="AC668" s="290">
        <v>2.0299999999999999E-2</v>
      </c>
      <c r="AE668" s="168"/>
      <c r="AF668" s="286"/>
      <c r="AG668" s="286"/>
      <c r="AH668" s="286"/>
      <c r="AI668" s="286"/>
      <c r="AJ668" s="284"/>
    </row>
    <row r="669" spans="1:36" x14ac:dyDescent="0.3">
      <c r="A669" s="167">
        <v>44483</v>
      </c>
      <c r="B669" s="171">
        <v>28.15</v>
      </c>
      <c r="C669" s="171">
        <v>27.47</v>
      </c>
      <c r="D669" s="171">
        <v>28.15</v>
      </c>
      <c r="E669" s="171">
        <v>27.09</v>
      </c>
      <c r="F669" s="171" t="s">
        <v>1697</v>
      </c>
      <c r="G669" s="283">
        <v>4.4499999999999998E-2</v>
      </c>
      <c r="I669" s="167">
        <v>44523</v>
      </c>
      <c r="J669" s="285">
        <v>3196.88</v>
      </c>
      <c r="K669" s="285">
        <v>3200.47</v>
      </c>
      <c r="L669" s="285">
        <v>3206.05</v>
      </c>
      <c r="M669" s="285">
        <v>3177.58</v>
      </c>
      <c r="N669" s="283" t="s">
        <v>1349</v>
      </c>
      <c r="P669" s="167">
        <v>44516</v>
      </c>
      <c r="Q669" s="285">
        <v>5.5027999999999997</v>
      </c>
      <c r="R669" s="285">
        <v>5.4591000000000003</v>
      </c>
      <c r="S669" s="285">
        <v>5.5092999999999996</v>
      </c>
      <c r="T669" s="285">
        <v>5.4295999999999998</v>
      </c>
      <c r="U669" s="283">
        <v>8.3000000000000001E-3</v>
      </c>
      <c r="W669" s="167">
        <v>44476</v>
      </c>
      <c r="X669" s="287">
        <v>110585</v>
      </c>
      <c r="Y669" s="287">
        <v>110563</v>
      </c>
      <c r="Z669" s="287">
        <v>111522</v>
      </c>
      <c r="AA669" s="287">
        <v>110563</v>
      </c>
      <c r="AB669" s="283" t="s">
        <v>1696</v>
      </c>
      <c r="AC669" s="289">
        <v>2.0000000000000001E-4</v>
      </c>
      <c r="AE669" s="167"/>
      <c r="AF669" s="285"/>
      <c r="AG669" s="285"/>
      <c r="AH669" s="285"/>
      <c r="AI669" s="285"/>
      <c r="AJ669" s="283"/>
    </row>
    <row r="670" spans="1:36" x14ac:dyDescent="0.3">
      <c r="A670" s="168">
        <v>44482</v>
      </c>
      <c r="B670" s="83">
        <v>26.95</v>
      </c>
      <c r="C670" s="83">
        <v>27.96</v>
      </c>
      <c r="D670" s="83">
        <v>28.01</v>
      </c>
      <c r="E670" s="83">
        <v>26.85</v>
      </c>
      <c r="F670" s="83" t="s">
        <v>1695</v>
      </c>
      <c r="G670" s="284">
        <v>-3.0200000000000001E-2</v>
      </c>
      <c r="I670" s="168">
        <v>44522</v>
      </c>
      <c r="J670" s="286">
        <v>3201.49</v>
      </c>
      <c r="K670" s="286">
        <v>3215.98</v>
      </c>
      <c r="L670" s="286">
        <v>3234.43</v>
      </c>
      <c r="M670" s="286">
        <v>3200.07</v>
      </c>
      <c r="N670" s="284" t="s">
        <v>1694</v>
      </c>
      <c r="P670" s="168">
        <v>44515</v>
      </c>
      <c r="Q670" s="286">
        <v>5.4574999999999996</v>
      </c>
      <c r="R670" s="286">
        <v>5.4569999999999999</v>
      </c>
      <c r="S670" s="286">
        <v>5.4580000000000002</v>
      </c>
      <c r="T670" s="286">
        <v>5.4569999999999999</v>
      </c>
      <c r="U670" s="284">
        <v>-2.0000000000000001E-4</v>
      </c>
      <c r="W670" s="168">
        <v>44475</v>
      </c>
      <c r="X670" s="288">
        <v>110560</v>
      </c>
      <c r="Y670" s="288">
        <v>110454</v>
      </c>
      <c r="Z670" s="288">
        <v>110614</v>
      </c>
      <c r="AA670" s="288">
        <v>108180</v>
      </c>
      <c r="AB670" s="284" t="s">
        <v>1693</v>
      </c>
      <c r="AC670" s="290">
        <v>8.9999999999999998E-4</v>
      </c>
      <c r="AE670" s="168"/>
      <c r="AF670" s="286"/>
      <c r="AG670" s="286"/>
      <c r="AH670" s="286"/>
      <c r="AI670" s="286"/>
      <c r="AJ670" s="284"/>
    </row>
    <row r="671" spans="1:36" x14ac:dyDescent="0.3">
      <c r="A671" s="167">
        <v>44480</v>
      </c>
      <c r="B671" s="171">
        <v>27.79</v>
      </c>
      <c r="C671" s="171">
        <v>27.25</v>
      </c>
      <c r="D671" s="171">
        <v>28.92</v>
      </c>
      <c r="E671" s="171">
        <v>27.24</v>
      </c>
      <c r="F671" s="171" t="s">
        <v>1692</v>
      </c>
      <c r="G671" s="283">
        <v>2.8500000000000001E-2</v>
      </c>
      <c r="I671" s="167">
        <v>44519</v>
      </c>
      <c r="J671" s="285">
        <v>3219.9</v>
      </c>
      <c r="K671" s="285">
        <v>3227.67</v>
      </c>
      <c r="L671" s="285">
        <v>3230.41</v>
      </c>
      <c r="M671" s="285">
        <v>3217.16</v>
      </c>
      <c r="N671" s="283" t="s">
        <v>1691</v>
      </c>
      <c r="P671" s="167">
        <v>44512</v>
      </c>
      <c r="Q671" s="285">
        <v>5.4588000000000001</v>
      </c>
      <c r="R671" s="285">
        <v>5.4043999999999999</v>
      </c>
      <c r="S671" s="285">
        <v>5.4686000000000003</v>
      </c>
      <c r="T671" s="285">
        <v>5.3926999999999996</v>
      </c>
      <c r="U671" s="283">
        <v>1.11E-2</v>
      </c>
      <c r="W671" s="167">
        <v>44474</v>
      </c>
      <c r="X671" s="287">
        <v>110458</v>
      </c>
      <c r="Y671" s="287">
        <v>110397</v>
      </c>
      <c r="Z671" s="287">
        <v>111691</v>
      </c>
      <c r="AA671" s="287">
        <v>110087</v>
      </c>
      <c r="AB671" s="283" t="s">
        <v>1690</v>
      </c>
      <c r="AC671" s="289">
        <v>5.9999999999999995E-4</v>
      </c>
      <c r="AE671" s="167"/>
      <c r="AF671" s="285"/>
      <c r="AG671" s="285"/>
      <c r="AH671" s="285"/>
      <c r="AI671" s="285"/>
      <c r="AJ671" s="283"/>
    </row>
    <row r="672" spans="1:36" x14ac:dyDescent="0.3">
      <c r="A672" s="168">
        <v>44477</v>
      </c>
      <c r="B672" s="83">
        <v>27.02</v>
      </c>
      <c r="C672" s="83">
        <v>26.98</v>
      </c>
      <c r="D672" s="83">
        <v>27.39</v>
      </c>
      <c r="E672" s="83">
        <v>26.4</v>
      </c>
      <c r="F672" s="83" t="s">
        <v>1689</v>
      </c>
      <c r="G672" s="284">
        <v>1.2E-2</v>
      </c>
      <c r="I672" s="168">
        <v>44518</v>
      </c>
      <c r="J672" s="286">
        <v>3226.37</v>
      </c>
      <c r="K672" s="286">
        <v>3222.27</v>
      </c>
      <c r="L672" s="286">
        <v>3230.34</v>
      </c>
      <c r="M672" s="286">
        <v>3211.01</v>
      </c>
      <c r="N672" s="284" t="s">
        <v>1312</v>
      </c>
      <c r="P672" s="168">
        <v>44511</v>
      </c>
      <c r="Q672" s="286">
        <v>5.3989000000000003</v>
      </c>
      <c r="R672" s="286">
        <v>5.4945000000000004</v>
      </c>
      <c r="S672" s="286">
        <v>5.4945000000000004</v>
      </c>
      <c r="T672" s="286">
        <v>5.3879000000000001</v>
      </c>
      <c r="U672" s="284">
        <v>-1.6799999999999999E-2</v>
      </c>
      <c r="W672" s="168">
        <v>44473</v>
      </c>
      <c r="X672" s="288">
        <v>110393</v>
      </c>
      <c r="Y672" s="288">
        <v>112900</v>
      </c>
      <c r="Z672" s="288">
        <v>112900</v>
      </c>
      <c r="AA672" s="288">
        <v>109979</v>
      </c>
      <c r="AB672" s="284" t="s">
        <v>1688</v>
      </c>
      <c r="AC672" s="290">
        <v>-2.2200000000000001E-2</v>
      </c>
      <c r="AE672" s="168"/>
      <c r="AF672" s="286"/>
      <c r="AG672" s="286"/>
      <c r="AH672" s="286"/>
      <c r="AI672" s="286"/>
      <c r="AJ672" s="284"/>
    </row>
    <row r="673" spans="1:36" x14ac:dyDescent="0.3">
      <c r="A673" s="167">
        <v>44476</v>
      </c>
      <c r="B673" s="171">
        <v>26.7</v>
      </c>
      <c r="C673" s="171">
        <v>27.3</v>
      </c>
      <c r="D673" s="171">
        <v>27.67</v>
      </c>
      <c r="E673" s="171">
        <v>26.27</v>
      </c>
      <c r="F673" s="171" t="s">
        <v>1687</v>
      </c>
      <c r="G673" s="283">
        <v>1.7100000000000001E-2</v>
      </c>
      <c r="I673" s="167">
        <v>44517</v>
      </c>
      <c r="J673" s="285">
        <v>3221.03</v>
      </c>
      <c r="K673" s="285">
        <v>3230.04</v>
      </c>
      <c r="L673" s="285">
        <v>3230.25</v>
      </c>
      <c r="M673" s="285">
        <v>3220.06</v>
      </c>
      <c r="N673" s="283" t="s">
        <v>1686</v>
      </c>
      <c r="P673" s="167">
        <v>44510</v>
      </c>
      <c r="Q673" s="285">
        <v>5.4909999999999997</v>
      </c>
      <c r="R673" s="285">
        <v>5.5010000000000003</v>
      </c>
      <c r="S673" s="285">
        <v>5.5103</v>
      </c>
      <c r="T673" s="285">
        <v>5.4356999999999998</v>
      </c>
      <c r="U673" s="283">
        <v>1.9E-3</v>
      </c>
      <c r="W673" s="167">
        <v>44470</v>
      </c>
      <c r="X673" s="287">
        <v>112900</v>
      </c>
      <c r="Y673" s="287">
        <v>110980</v>
      </c>
      <c r="Z673" s="287">
        <v>113020</v>
      </c>
      <c r="AA673" s="287">
        <v>110980</v>
      </c>
      <c r="AB673" s="283" t="s">
        <v>1500</v>
      </c>
      <c r="AC673" s="289">
        <v>1.7299999999999999E-2</v>
      </c>
      <c r="AE673" s="167"/>
      <c r="AF673" s="285"/>
      <c r="AG673" s="285"/>
      <c r="AH673" s="285"/>
      <c r="AI673" s="285"/>
      <c r="AJ673" s="283"/>
    </row>
    <row r="674" spans="1:36" x14ac:dyDescent="0.3">
      <c r="A674" s="168">
        <v>44475</v>
      </c>
      <c r="B674" s="83">
        <v>26.25</v>
      </c>
      <c r="C674" s="83">
        <v>25.48</v>
      </c>
      <c r="D674" s="83">
        <v>26.99</v>
      </c>
      <c r="E674" s="83">
        <v>25.13</v>
      </c>
      <c r="F674" s="83" t="s">
        <v>1685</v>
      </c>
      <c r="G674" s="284">
        <v>-8.0000000000000004E-4</v>
      </c>
      <c r="I674" s="168">
        <v>44516</v>
      </c>
      <c r="J674" s="286">
        <v>3230.01</v>
      </c>
      <c r="K674" s="286">
        <v>3230.04</v>
      </c>
      <c r="L674" s="286">
        <v>3230.04</v>
      </c>
      <c r="M674" s="286">
        <v>3230.01</v>
      </c>
      <c r="N674" s="284" t="s">
        <v>1270</v>
      </c>
      <c r="P674" s="168">
        <v>44509</v>
      </c>
      <c r="Q674" s="286">
        <v>5.4804000000000004</v>
      </c>
      <c r="R674" s="286">
        <v>5.5476999999999999</v>
      </c>
      <c r="S674" s="286">
        <v>5.5495000000000001</v>
      </c>
      <c r="T674" s="286">
        <v>5.4558999999999997</v>
      </c>
      <c r="U674" s="284">
        <v>-1.15E-2</v>
      </c>
      <c r="W674" s="168">
        <v>44469</v>
      </c>
      <c r="X674" s="288">
        <v>110979</v>
      </c>
      <c r="Y674" s="288">
        <v>111117</v>
      </c>
      <c r="Z674" s="288">
        <v>112371</v>
      </c>
      <c r="AA674" s="288">
        <v>110743</v>
      </c>
      <c r="AB674" s="284" t="s">
        <v>1684</v>
      </c>
      <c r="AC674" s="290">
        <v>-1.1000000000000001E-3</v>
      </c>
      <c r="AE674" s="168"/>
      <c r="AF674" s="286"/>
      <c r="AG674" s="286"/>
      <c r="AH674" s="286"/>
      <c r="AI674" s="286"/>
      <c r="AJ674" s="284"/>
    </row>
    <row r="675" spans="1:36" x14ac:dyDescent="0.3">
      <c r="A675" s="167">
        <v>44474</v>
      </c>
      <c r="B675" s="171">
        <v>26.27</v>
      </c>
      <c r="C675" s="171">
        <v>26.79</v>
      </c>
      <c r="D675" s="171">
        <v>27.57</v>
      </c>
      <c r="E675" s="171">
        <v>26.16</v>
      </c>
      <c r="F675" s="171" t="s">
        <v>1683</v>
      </c>
      <c r="G675" s="283">
        <v>8.0999999999999996E-3</v>
      </c>
      <c r="I675" s="167">
        <v>44515</v>
      </c>
      <c r="J675" s="285">
        <v>3226.45</v>
      </c>
      <c r="K675" s="285">
        <v>3224.28</v>
      </c>
      <c r="L675" s="285">
        <v>3233.09</v>
      </c>
      <c r="M675" s="285">
        <v>3220.79</v>
      </c>
      <c r="N675" s="283" t="s">
        <v>1221</v>
      </c>
      <c r="P675" s="167">
        <v>44508</v>
      </c>
      <c r="Q675" s="285">
        <v>5.5439999999999996</v>
      </c>
      <c r="R675" s="285">
        <v>5.5667</v>
      </c>
      <c r="S675" s="285">
        <v>5.5979000000000001</v>
      </c>
      <c r="T675" s="285">
        <v>5.5327999999999999</v>
      </c>
      <c r="U675" s="283">
        <v>2.0000000000000001E-4</v>
      </c>
      <c r="W675" s="167">
        <v>44468</v>
      </c>
      <c r="X675" s="287">
        <v>111107</v>
      </c>
      <c r="Y675" s="287">
        <v>110125</v>
      </c>
      <c r="Z675" s="287">
        <v>112028</v>
      </c>
      <c r="AA675" s="287">
        <v>110125</v>
      </c>
      <c r="AB675" s="283" t="s">
        <v>1682</v>
      </c>
      <c r="AC675" s="289">
        <v>8.8999999999999999E-3</v>
      </c>
      <c r="AE675" s="167"/>
      <c r="AF675" s="285"/>
      <c r="AG675" s="285"/>
      <c r="AH675" s="285"/>
      <c r="AI675" s="285"/>
      <c r="AJ675" s="283"/>
    </row>
    <row r="676" spans="1:36" x14ac:dyDescent="0.3">
      <c r="A676" s="168">
        <v>44473</v>
      </c>
      <c r="B676" s="83">
        <v>26.06</v>
      </c>
      <c r="C676" s="83">
        <v>26.58</v>
      </c>
      <c r="D676" s="83">
        <v>26.98</v>
      </c>
      <c r="E676" s="83">
        <v>25.91</v>
      </c>
      <c r="F676" s="83" t="s">
        <v>1681</v>
      </c>
      <c r="G676" s="284">
        <v>-1.0999999999999999E-2</v>
      </c>
      <c r="I676" s="168">
        <v>44512</v>
      </c>
      <c r="J676" s="286">
        <v>3223.82</v>
      </c>
      <c r="K676" s="286">
        <v>3200.76</v>
      </c>
      <c r="L676" s="286">
        <v>3226.76</v>
      </c>
      <c r="M676" s="286">
        <v>3200.7</v>
      </c>
      <c r="N676" s="284" t="s">
        <v>1680</v>
      </c>
      <c r="P676" s="168">
        <v>44505</v>
      </c>
      <c r="Q676" s="286">
        <v>5.5427999999999997</v>
      </c>
      <c r="R676" s="286">
        <v>5.5987999999999998</v>
      </c>
      <c r="S676" s="286">
        <v>5.6074999999999999</v>
      </c>
      <c r="T676" s="286">
        <v>5.5011999999999999</v>
      </c>
      <c r="U676" s="284">
        <v>-1.06E-2</v>
      </c>
      <c r="W676" s="168">
        <v>44467</v>
      </c>
      <c r="X676" s="288">
        <v>110124</v>
      </c>
      <c r="Y676" s="288">
        <v>113584</v>
      </c>
      <c r="Z676" s="288">
        <v>113584</v>
      </c>
      <c r="AA676" s="288">
        <v>109981</v>
      </c>
      <c r="AB676" s="284" t="s">
        <v>1679</v>
      </c>
      <c r="AC676" s="290">
        <v>-3.0499999999999999E-2</v>
      </c>
      <c r="AE676" s="168"/>
      <c r="AF676" s="286"/>
      <c r="AG676" s="286"/>
      <c r="AH676" s="286"/>
      <c r="AI676" s="286"/>
      <c r="AJ676" s="284"/>
    </row>
    <row r="677" spans="1:36" x14ac:dyDescent="0.3">
      <c r="A677" s="167">
        <v>44470</v>
      </c>
      <c r="B677" s="171">
        <v>26.35</v>
      </c>
      <c r="C677" s="171">
        <v>25.02</v>
      </c>
      <c r="D677" s="171">
        <v>26.35</v>
      </c>
      <c r="E677" s="171">
        <v>25.02</v>
      </c>
      <c r="F677" s="171" t="s">
        <v>1678</v>
      </c>
      <c r="G677" s="283">
        <v>5.3199999999999997E-2</v>
      </c>
      <c r="I677" s="167">
        <v>44511</v>
      </c>
      <c r="J677" s="285">
        <v>3201.99</v>
      </c>
      <c r="K677" s="285">
        <v>3198.58</v>
      </c>
      <c r="L677" s="285">
        <v>3209.24</v>
      </c>
      <c r="M677" s="285">
        <v>3196.29</v>
      </c>
      <c r="N677" s="283" t="s">
        <v>1463</v>
      </c>
      <c r="P677" s="167">
        <v>44504</v>
      </c>
      <c r="Q677" s="285">
        <v>5.6020000000000003</v>
      </c>
      <c r="R677" s="285">
        <v>5.5880000000000001</v>
      </c>
      <c r="S677" s="285">
        <v>5.6280999999999999</v>
      </c>
      <c r="T677" s="285">
        <v>5.5627000000000004</v>
      </c>
      <c r="U677" s="283">
        <v>8.8999999999999999E-3</v>
      </c>
      <c r="W677" s="167">
        <v>44466</v>
      </c>
      <c r="X677" s="287">
        <v>113583</v>
      </c>
      <c r="Y677" s="287">
        <v>113283</v>
      </c>
      <c r="Z677" s="287">
        <v>114432</v>
      </c>
      <c r="AA677" s="287">
        <v>112360</v>
      </c>
      <c r="AB677" s="283" t="s">
        <v>1677</v>
      </c>
      <c r="AC677" s="289">
        <v>2.7000000000000001E-3</v>
      </c>
      <c r="AE677" s="167"/>
      <c r="AF677" s="285"/>
      <c r="AG677" s="285"/>
      <c r="AH677" s="285"/>
      <c r="AI677" s="285"/>
      <c r="AJ677" s="283"/>
    </row>
    <row r="678" spans="1:36" x14ac:dyDescent="0.3">
      <c r="A678" s="168">
        <v>44469</v>
      </c>
      <c r="B678" s="83">
        <v>25.02</v>
      </c>
      <c r="C678" s="83">
        <v>23.49</v>
      </c>
      <c r="D678" s="83">
        <v>25.4</v>
      </c>
      <c r="E678" s="83">
        <v>23.49</v>
      </c>
      <c r="F678" s="83" t="s">
        <v>1676</v>
      </c>
      <c r="G678" s="284">
        <v>9.5000000000000001E-2</v>
      </c>
      <c r="I678" s="168">
        <v>44510</v>
      </c>
      <c r="J678" s="286">
        <v>3201.57</v>
      </c>
      <c r="K678" s="286">
        <v>3228.62</v>
      </c>
      <c r="L678" s="286">
        <v>3229.18</v>
      </c>
      <c r="M678" s="286">
        <v>3191.78</v>
      </c>
      <c r="N678" s="284" t="s">
        <v>1675</v>
      </c>
      <c r="P678" s="168">
        <v>44503</v>
      </c>
      <c r="Q678" s="286">
        <v>5.5525000000000002</v>
      </c>
      <c r="R678" s="286">
        <v>5.6806999999999999</v>
      </c>
      <c r="S678" s="286">
        <v>5.7</v>
      </c>
      <c r="T678" s="286">
        <v>5.5446999999999997</v>
      </c>
      <c r="U678" s="284">
        <v>-2.24E-2</v>
      </c>
      <c r="W678" s="168">
        <v>44463</v>
      </c>
      <c r="X678" s="288">
        <v>113283</v>
      </c>
      <c r="Y678" s="288">
        <v>114062</v>
      </c>
      <c r="Z678" s="288">
        <v>114062</v>
      </c>
      <c r="AA678" s="288">
        <v>112505</v>
      </c>
      <c r="AB678" s="284" t="s">
        <v>1674</v>
      </c>
      <c r="AC678" s="290">
        <v>-6.8999999999999999E-3</v>
      </c>
      <c r="AE678" s="168"/>
      <c r="AF678" s="286"/>
      <c r="AG678" s="286"/>
      <c r="AH678" s="286"/>
      <c r="AI678" s="286"/>
      <c r="AJ678" s="284"/>
    </row>
    <row r="679" spans="1:36" x14ac:dyDescent="0.3">
      <c r="A679" s="167">
        <v>44468</v>
      </c>
      <c r="B679" s="171">
        <v>22.85</v>
      </c>
      <c r="C679" s="171">
        <v>22.26</v>
      </c>
      <c r="D679" s="171">
        <v>23.18</v>
      </c>
      <c r="E679" s="171">
        <v>21.76</v>
      </c>
      <c r="F679" s="171" t="s">
        <v>1673</v>
      </c>
      <c r="G679" s="283">
        <v>4.2000000000000003E-2</v>
      </c>
      <c r="I679" s="167">
        <v>44509</v>
      </c>
      <c r="J679" s="285">
        <v>3227.8</v>
      </c>
      <c r="K679" s="285">
        <v>3237.6</v>
      </c>
      <c r="L679" s="285">
        <v>3241.46</v>
      </c>
      <c r="M679" s="285">
        <v>3220.64</v>
      </c>
      <c r="N679" s="283" t="s">
        <v>1672</v>
      </c>
      <c r="P679" s="167">
        <v>44502</v>
      </c>
      <c r="Q679" s="285">
        <v>5.6795</v>
      </c>
      <c r="R679" s="285">
        <v>5.6848999999999998</v>
      </c>
      <c r="S679" s="285">
        <v>5.6848999999999998</v>
      </c>
      <c r="T679" s="285">
        <v>5.68</v>
      </c>
      <c r="U679" s="283">
        <v>-4.0000000000000002E-4</v>
      </c>
      <c r="W679" s="167">
        <v>44462</v>
      </c>
      <c r="X679" s="287">
        <v>114064</v>
      </c>
      <c r="Y679" s="287">
        <v>112282</v>
      </c>
      <c r="Z679" s="287">
        <v>114330</v>
      </c>
      <c r="AA679" s="287">
        <v>112281</v>
      </c>
      <c r="AB679" s="283" t="s">
        <v>1671</v>
      </c>
      <c r="AC679" s="289">
        <v>1.5900000000000001E-2</v>
      </c>
      <c r="AE679" s="167"/>
      <c r="AF679" s="285"/>
      <c r="AG679" s="285"/>
      <c r="AH679" s="285"/>
      <c r="AI679" s="285"/>
      <c r="AJ679" s="283"/>
    </row>
    <row r="680" spans="1:36" x14ac:dyDescent="0.3">
      <c r="A680" s="168">
        <v>44467</v>
      </c>
      <c r="B680" s="83">
        <v>21.93</v>
      </c>
      <c r="C680" s="83">
        <v>23.24</v>
      </c>
      <c r="D680" s="83">
        <v>23.64</v>
      </c>
      <c r="E680" s="83">
        <v>21.66</v>
      </c>
      <c r="F680" s="83" t="s">
        <v>1670</v>
      </c>
      <c r="G680" s="284">
        <v>-5.11E-2</v>
      </c>
      <c r="I680" s="168">
        <v>44508</v>
      </c>
      <c r="J680" s="286">
        <v>3237.44</v>
      </c>
      <c r="K680" s="286">
        <v>3237.6</v>
      </c>
      <c r="L680" s="286">
        <v>3237.62</v>
      </c>
      <c r="M680" s="286">
        <v>3237.31</v>
      </c>
      <c r="N680" s="284" t="s">
        <v>1202</v>
      </c>
      <c r="P680" s="168">
        <v>44501</v>
      </c>
      <c r="Q680" s="286">
        <v>5.6814999999999998</v>
      </c>
      <c r="R680" s="286">
        <v>5.6220999999999997</v>
      </c>
      <c r="S680" s="286">
        <v>5.6887999999999996</v>
      </c>
      <c r="T680" s="286">
        <v>5.6205999999999996</v>
      </c>
      <c r="U680" s="284">
        <v>7.9000000000000008E-3</v>
      </c>
      <c r="W680" s="168">
        <v>44461</v>
      </c>
      <c r="X680" s="288">
        <v>112282</v>
      </c>
      <c r="Y680" s="288">
        <v>110252</v>
      </c>
      <c r="Z680" s="288">
        <v>113321</v>
      </c>
      <c r="AA680" s="288">
        <v>110251</v>
      </c>
      <c r="AB680" s="284" t="s">
        <v>1669</v>
      </c>
      <c r="AC680" s="290">
        <v>1.84E-2</v>
      </c>
      <c r="AE680" s="168"/>
      <c r="AF680" s="286"/>
      <c r="AG680" s="286"/>
      <c r="AH680" s="286"/>
      <c r="AI680" s="286"/>
      <c r="AJ680" s="284"/>
    </row>
    <row r="681" spans="1:36" x14ac:dyDescent="0.3">
      <c r="A681" s="167">
        <v>44466</v>
      </c>
      <c r="B681" s="171">
        <v>23.11</v>
      </c>
      <c r="C681" s="171">
        <v>22.81</v>
      </c>
      <c r="D681" s="171">
        <v>23.85</v>
      </c>
      <c r="E681" s="171">
        <v>22.5</v>
      </c>
      <c r="F681" s="171" t="s">
        <v>1668</v>
      </c>
      <c r="G681" s="283">
        <v>5.0900000000000001E-2</v>
      </c>
      <c r="I681" s="167">
        <v>44505</v>
      </c>
      <c r="J681" s="285">
        <v>3232.26</v>
      </c>
      <c r="K681" s="285">
        <v>3224.63</v>
      </c>
      <c r="L681" s="285">
        <v>3242.9</v>
      </c>
      <c r="M681" s="285">
        <v>3222.15</v>
      </c>
      <c r="N681" s="283" t="s">
        <v>1298</v>
      </c>
      <c r="P681" s="167">
        <v>44498</v>
      </c>
      <c r="Q681" s="285">
        <v>5.6372</v>
      </c>
      <c r="R681" s="285">
        <v>5.6463999999999999</v>
      </c>
      <c r="S681" s="285">
        <v>5.6635999999999997</v>
      </c>
      <c r="T681" s="285">
        <v>5.5972</v>
      </c>
      <c r="U681" s="283">
        <v>-1.6000000000000001E-3</v>
      </c>
      <c r="W681" s="167">
        <v>44460</v>
      </c>
      <c r="X681" s="287">
        <v>110250</v>
      </c>
      <c r="Y681" s="287">
        <v>108859</v>
      </c>
      <c r="Z681" s="287">
        <v>110923</v>
      </c>
      <c r="AA681" s="287">
        <v>108859</v>
      </c>
      <c r="AB681" s="283" t="s">
        <v>1667</v>
      </c>
      <c r="AC681" s="289">
        <v>1.29E-2</v>
      </c>
      <c r="AE681" s="167"/>
      <c r="AF681" s="285"/>
      <c r="AG681" s="285"/>
      <c r="AH681" s="285"/>
      <c r="AI681" s="285"/>
      <c r="AJ681" s="283"/>
    </row>
    <row r="682" spans="1:36" x14ac:dyDescent="0.3">
      <c r="A682" s="168">
        <v>44463</v>
      </c>
      <c r="B682" s="83">
        <v>21.99</v>
      </c>
      <c r="C682" s="83">
        <v>20.7</v>
      </c>
      <c r="D682" s="83">
        <v>22.5</v>
      </c>
      <c r="E682" s="83">
        <v>20.6</v>
      </c>
      <c r="F682" s="83" t="s">
        <v>1666</v>
      </c>
      <c r="G682" s="284">
        <v>3.8699999999999998E-2</v>
      </c>
      <c r="I682" s="168">
        <v>44504</v>
      </c>
      <c r="J682" s="286">
        <v>3224.63</v>
      </c>
      <c r="K682" s="286">
        <v>3215.69</v>
      </c>
      <c r="L682" s="286">
        <v>3227.17</v>
      </c>
      <c r="M682" s="286">
        <v>3214.26</v>
      </c>
      <c r="N682" s="284" t="s">
        <v>1224</v>
      </c>
      <c r="P682" s="168">
        <v>44497</v>
      </c>
      <c r="Q682" s="286">
        <v>5.6463999999999999</v>
      </c>
      <c r="R682" s="286">
        <v>5.5373999999999999</v>
      </c>
      <c r="S682" s="286">
        <v>5.6635999999999997</v>
      </c>
      <c r="T682" s="286">
        <v>5.5366999999999997</v>
      </c>
      <c r="U682" s="284">
        <v>1.9599999999999999E-2</v>
      </c>
      <c r="W682" s="168">
        <v>44459</v>
      </c>
      <c r="X682" s="288">
        <v>108844</v>
      </c>
      <c r="Y682" s="288">
        <v>111435</v>
      </c>
      <c r="Z682" s="288">
        <v>111435</v>
      </c>
      <c r="AA682" s="288">
        <v>107520</v>
      </c>
      <c r="AB682" s="284" t="s">
        <v>1512</v>
      </c>
      <c r="AC682" s="290">
        <v>-2.3300000000000001E-2</v>
      </c>
      <c r="AE682" s="168"/>
      <c r="AF682" s="286"/>
      <c r="AG682" s="286"/>
      <c r="AH682" s="286"/>
      <c r="AI682" s="286"/>
      <c r="AJ682" s="284"/>
    </row>
    <row r="683" spans="1:36" x14ac:dyDescent="0.3">
      <c r="A683" s="167">
        <v>44462</v>
      </c>
      <c r="B683" s="171">
        <v>21.17</v>
      </c>
      <c r="C683" s="171">
        <v>20.65</v>
      </c>
      <c r="D683" s="171">
        <v>21.95</v>
      </c>
      <c r="E683" s="171">
        <v>20.62</v>
      </c>
      <c r="F683" s="171" t="s">
        <v>1665</v>
      </c>
      <c r="G683" s="283">
        <v>2.2700000000000001E-2</v>
      </c>
      <c r="I683" s="167">
        <v>44503</v>
      </c>
      <c r="J683" s="285">
        <v>3212.35</v>
      </c>
      <c r="K683" s="285">
        <v>3195.6</v>
      </c>
      <c r="L683" s="285">
        <v>3215.85</v>
      </c>
      <c r="M683" s="285">
        <v>3190.33</v>
      </c>
      <c r="N683" s="283" t="s">
        <v>1264</v>
      </c>
      <c r="P683" s="167">
        <v>44496</v>
      </c>
      <c r="Q683" s="285">
        <v>5.5380000000000003</v>
      </c>
      <c r="R683" s="285">
        <v>5.5667999999999997</v>
      </c>
      <c r="S683" s="285">
        <v>5.5923999999999996</v>
      </c>
      <c r="T683" s="285">
        <v>5.5366999999999997</v>
      </c>
      <c r="U683" s="283">
        <v>-5.1000000000000004E-3</v>
      </c>
      <c r="W683" s="167">
        <v>44456</v>
      </c>
      <c r="X683" s="287">
        <v>111439</v>
      </c>
      <c r="Y683" s="287">
        <v>113794</v>
      </c>
      <c r="Z683" s="287">
        <v>113794</v>
      </c>
      <c r="AA683" s="287">
        <v>111157</v>
      </c>
      <c r="AB683" s="283" t="s">
        <v>1646</v>
      </c>
      <c r="AC683" s="289">
        <v>-2.07E-2</v>
      </c>
      <c r="AE683" s="167"/>
      <c r="AF683" s="285"/>
      <c r="AG683" s="285"/>
      <c r="AH683" s="285"/>
      <c r="AI683" s="285"/>
      <c r="AJ683" s="283"/>
    </row>
    <row r="684" spans="1:36" x14ac:dyDescent="0.3">
      <c r="A684" s="168">
        <v>44461</v>
      </c>
      <c r="B684" s="83">
        <v>20.7</v>
      </c>
      <c r="C684" s="83">
        <v>19.95</v>
      </c>
      <c r="D684" s="83">
        <v>20.95</v>
      </c>
      <c r="E684" s="83">
        <v>19.850000000000001</v>
      </c>
      <c r="F684" s="83" t="s">
        <v>1664</v>
      </c>
      <c r="G684" s="284">
        <v>7.4800000000000005E-2</v>
      </c>
      <c r="I684" s="168">
        <v>44502</v>
      </c>
      <c r="J684" s="286">
        <v>3195.67</v>
      </c>
      <c r="K684" s="286">
        <v>3190.79</v>
      </c>
      <c r="L684" s="286">
        <v>3198.45</v>
      </c>
      <c r="M684" s="286">
        <v>3187.44</v>
      </c>
      <c r="N684" s="284" t="s">
        <v>1202</v>
      </c>
      <c r="P684" s="168">
        <v>44495</v>
      </c>
      <c r="Q684" s="286">
        <v>5.5666000000000002</v>
      </c>
      <c r="R684" s="286">
        <v>5.5556999999999999</v>
      </c>
      <c r="S684" s="286">
        <v>5.6067999999999998</v>
      </c>
      <c r="T684" s="286">
        <v>5.5465999999999998</v>
      </c>
      <c r="U684" s="284">
        <v>1.9E-3</v>
      </c>
      <c r="W684" s="168">
        <v>44455</v>
      </c>
      <c r="X684" s="288">
        <v>113794</v>
      </c>
      <c r="Y684" s="288">
        <v>115062</v>
      </c>
      <c r="Z684" s="288">
        <v>115062</v>
      </c>
      <c r="AA684" s="288">
        <v>113395</v>
      </c>
      <c r="AB684" s="284" t="s">
        <v>1663</v>
      </c>
      <c r="AC684" s="290">
        <v>-1.0999999999999999E-2</v>
      </c>
      <c r="AE684" s="168"/>
      <c r="AF684" s="286"/>
      <c r="AG684" s="286"/>
      <c r="AH684" s="286"/>
      <c r="AI684" s="286"/>
      <c r="AJ684" s="284"/>
    </row>
    <row r="685" spans="1:36" x14ac:dyDescent="0.3">
      <c r="A685" s="167">
        <v>44460</v>
      </c>
      <c r="B685" s="171">
        <v>19.260000000000002</v>
      </c>
      <c r="C685" s="171">
        <v>19.329999999999998</v>
      </c>
      <c r="D685" s="171">
        <v>19.59</v>
      </c>
      <c r="E685" s="171">
        <v>18.12</v>
      </c>
      <c r="F685" s="171" t="s">
        <v>1662</v>
      </c>
      <c r="G685" s="283">
        <v>1.7399999999999999E-2</v>
      </c>
      <c r="I685" s="167">
        <v>44501</v>
      </c>
      <c r="J685" s="285">
        <v>3190.54</v>
      </c>
      <c r="K685" s="285">
        <v>3175.13</v>
      </c>
      <c r="L685" s="285">
        <v>3191.23</v>
      </c>
      <c r="M685" s="285">
        <v>3174.69</v>
      </c>
      <c r="N685" s="283" t="s">
        <v>1315</v>
      </c>
      <c r="P685" s="167">
        <v>44494</v>
      </c>
      <c r="Q685" s="285">
        <v>5.5563000000000002</v>
      </c>
      <c r="R685" s="285">
        <v>5.6532999999999998</v>
      </c>
      <c r="S685" s="285">
        <v>5.6586999999999996</v>
      </c>
      <c r="T685" s="285">
        <v>5.5366999999999997</v>
      </c>
      <c r="U685" s="283">
        <v>-1.61E-2</v>
      </c>
      <c r="W685" s="167">
        <v>44454</v>
      </c>
      <c r="X685" s="287">
        <v>115063</v>
      </c>
      <c r="Y685" s="287">
        <v>116191</v>
      </c>
      <c r="Z685" s="287">
        <v>116312</v>
      </c>
      <c r="AA685" s="287">
        <v>114741</v>
      </c>
      <c r="AB685" s="283" t="s">
        <v>1661</v>
      </c>
      <c r="AC685" s="289">
        <v>-9.5999999999999992E-3</v>
      </c>
      <c r="AE685" s="167"/>
      <c r="AF685" s="285"/>
      <c r="AG685" s="285"/>
      <c r="AH685" s="285"/>
      <c r="AI685" s="285"/>
      <c r="AJ685" s="283"/>
    </row>
    <row r="686" spans="1:36" x14ac:dyDescent="0.3">
      <c r="A686" s="168">
        <v>44459</v>
      </c>
      <c r="B686" s="83">
        <v>18.93</v>
      </c>
      <c r="C686" s="83">
        <v>19.34</v>
      </c>
      <c r="D686" s="83">
        <v>19.399999999999999</v>
      </c>
      <c r="E686" s="83">
        <v>18.11</v>
      </c>
      <c r="F686" s="83" t="s">
        <v>1660</v>
      </c>
      <c r="G686" s="284">
        <v>-5.6800000000000003E-2</v>
      </c>
      <c r="I686" s="168">
        <v>44498</v>
      </c>
      <c r="J686" s="286">
        <v>3174.73</v>
      </c>
      <c r="K686" s="286">
        <v>3178.94</v>
      </c>
      <c r="L686" s="286">
        <v>3179.36</v>
      </c>
      <c r="M686" s="286">
        <v>3159.24</v>
      </c>
      <c r="N686" s="284" t="s">
        <v>1387</v>
      </c>
      <c r="P686" s="168">
        <v>44491</v>
      </c>
      <c r="Q686" s="286">
        <v>5.6474000000000002</v>
      </c>
      <c r="R686" s="286">
        <v>5.6584000000000003</v>
      </c>
      <c r="S686" s="286">
        <v>5.7546999999999997</v>
      </c>
      <c r="T686" s="286">
        <v>5.6214000000000004</v>
      </c>
      <c r="U686" s="284">
        <v>-1.8E-3</v>
      </c>
      <c r="W686" s="168">
        <v>44453</v>
      </c>
      <c r="X686" s="288">
        <v>116181</v>
      </c>
      <c r="Y686" s="288">
        <v>116405</v>
      </c>
      <c r="Z686" s="288">
        <v>117270</v>
      </c>
      <c r="AA686" s="288">
        <v>115809</v>
      </c>
      <c r="AB686" s="284" t="s">
        <v>1659</v>
      </c>
      <c r="AC686" s="290">
        <v>-1.9E-3</v>
      </c>
      <c r="AE686" s="168"/>
      <c r="AF686" s="286"/>
      <c r="AG686" s="286"/>
      <c r="AH686" s="286"/>
      <c r="AI686" s="286"/>
      <c r="AJ686" s="284"/>
    </row>
    <row r="687" spans="1:36" x14ac:dyDescent="0.3">
      <c r="A687" s="167">
        <v>44456</v>
      </c>
      <c r="B687" s="171">
        <v>20.07</v>
      </c>
      <c r="C687" s="171">
        <v>20.74</v>
      </c>
      <c r="D687" s="171">
        <v>20.94</v>
      </c>
      <c r="E687" s="171">
        <v>19.93</v>
      </c>
      <c r="F687" s="171" t="s">
        <v>1658</v>
      </c>
      <c r="G687" s="283">
        <v>-3.9300000000000002E-2</v>
      </c>
      <c r="I687" s="167">
        <v>44497</v>
      </c>
      <c r="J687" s="285">
        <v>3179.44</v>
      </c>
      <c r="K687" s="285">
        <v>3152.2</v>
      </c>
      <c r="L687" s="285">
        <v>3179.69</v>
      </c>
      <c r="M687" s="285">
        <v>3148.81</v>
      </c>
      <c r="N687" s="283" t="s">
        <v>1657</v>
      </c>
      <c r="P687" s="167">
        <v>44490</v>
      </c>
      <c r="Q687" s="285">
        <v>5.6577000000000002</v>
      </c>
      <c r="R687" s="285">
        <v>5.5987</v>
      </c>
      <c r="S687" s="285">
        <v>5.6906999999999996</v>
      </c>
      <c r="T687" s="285">
        <v>5.5979000000000001</v>
      </c>
      <c r="U687" s="283">
        <v>1.0800000000000001E-2</v>
      </c>
      <c r="W687" s="167">
        <v>44452</v>
      </c>
      <c r="X687" s="287">
        <v>116404</v>
      </c>
      <c r="Y687" s="287">
        <v>114300</v>
      </c>
      <c r="Z687" s="287">
        <v>117046</v>
      </c>
      <c r="AA687" s="287">
        <v>114300</v>
      </c>
      <c r="AB687" s="283" t="s">
        <v>1656</v>
      </c>
      <c r="AC687" s="289">
        <v>1.8499999999999999E-2</v>
      </c>
      <c r="AE687" s="167"/>
      <c r="AF687" s="285"/>
      <c r="AG687" s="285"/>
      <c r="AH687" s="285"/>
      <c r="AI687" s="285"/>
      <c r="AJ687" s="283"/>
    </row>
    <row r="688" spans="1:36" x14ac:dyDescent="0.3">
      <c r="A688" s="168">
        <v>44455</v>
      </c>
      <c r="B688" s="83">
        <v>20.89</v>
      </c>
      <c r="C688" s="83">
        <v>20.89</v>
      </c>
      <c r="D688" s="83">
        <v>21.28</v>
      </c>
      <c r="E688" s="83">
        <v>20.350000000000001</v>
      </c>
      <c r="F688" s="83" t="s">
        <v>1655</v>
      </c>
      <c r="G688" s="284">
        <v>-9.4999999999999998E-3</v>
      </c>
      <c r="I688" s="168">
        <v>44496</v>
      </c>
      <c r="J688" s="286">
        <v>3152.05</v>
      </c>
      <c r="K688" s="286">
        <v>3167.14</v>
      </c>
      <c r="L688" s="286">
        <v>3172.17</v>
      </c>
      <c r="M688" s="286">
        <v>3152</v>
      </c>
      <c r="N688" s="284" t="s">
        <v>1488</v>
      </c>
      <c r="P688" s="168">
        <v>44489</v>
      </c>
      <c r="Q688" s="286">
        <v>5.5975000000000001</v>
      </c>
      <c r="R688" s="286">
        <v>5.5850999999999997</v>
      </c>
      <c r="S688" s="286">
        <v>5.6025999999999998</v>
      </c>
      <c r="T688" s="286">
        <v>5.5198</v>
      </c>
      <c r="U688" s="284">
        <v>2.3E-3</v>
      </c>
      <c r="W688" s="168">
        <v>44449</v>
      </c>
      <c r="X688" s="288">
        <v>114286</v>
      </c>
      <c r="Y688" s="288">
        <v>115370</v>
      </c>
      <c r="Z688" s="288">
        <v>116896</v>
      </c>
      <c r="AA688" s="288">
        <v>114286</v>
      </c>
      <c r="AB688" s="284" t="s">
        <v>1654</v>
      </c>
      <c r="AC688" s="290">
        <v>-9.2999999999999992E-3</v>
      </c>
      <c r="AE688" s="168"/>
      <c r="AF688" s="286"/>
      <c r="AG688" s="286"/>
      <c r="AH688" s="286"/>
      <c r="AI688" s="286"/>
      <c r="AJ688" s="284"/>
    </row>
    <row r="689" spans="1:36" x14ac:dyDescent="0.3">
      <c r="A689" s="167">
        <v>44454</v>
      </c>
      <c r="B689" s="171">
        <v>21.09</v>
      </c>
      <c r="C689" s="171">
        <v>19.809999999999999</v>
      </c>
      <c r="D689" s="171">
        <v>21.35</v>
      </c>
      <c r="E689" s="171">
        <v>19.75</v>
      </c>
      <c r="F689" s="171" t="s">
        <v>1653</v>
      </c>
      <c r="G689" s="283">
        <v>7.4399999999999994E-2</v>
      </c>
      <c r="I689" s="167">
        <v>44495</v>
      </c>
      <c r="J689" s="285">
        <v>3167.44</v>
      </c>
      <c r="K689" s="285">
        <v>3159.33</v>
      </c>
      <c r="L689" s="285">
        <v>3180.72</v>
      </c>
      <c r="M689" s="285">
        <v>3159.29</v>
      </c>
      <c r="N689" s="283" t="s">
        <v>1298</v>
      </c>
      <c r="P689" s="167">
        <v>44488</v>
      </c>
      <c r="Q689" s="285">
        <v>5.5843999999999996</v>
      </c>
      <c r="R689" s="285">
        <v>5.5128000000000004</v>
      </c>
      <c r="S689" s="285">
        <v>5.6124999999999998</v>
      </c>
      <c r="T689" s="285">
        <v>5.5128000000000004</v>
      </c>
      <c r="U689" s="283">
        <v>1.32E-2</v>
      </c>
      <c r="W689" s="167">
        <v>44448</v>
      </c>
      <c r="X689" s="287">
        <v>115361</v>
      </c>
      <c r="Y689" s="287">
        <v>113413</v>
      </c>
      <c r="Z689" s="287">
        <v>116354</v>
      </c>
      <c r="AA689" s="287">
        <v>112435</v>
      </c>
      <c r="AB689" s="283" t="s">
        <v>1652</v>
      </c>
      <c r="AC689" s="289">
        <v>1.72E-2</v>
      </c>
      <c r="AE689" s="167"/>
      <c r="AF689" s="285"/>
      <c r="AG689" s="285"/>
      <c r="AH689" s="285"/>
      <c r="AI689" s="285"/>
      <c r="AJ689" s="283"/>
    </row>
    <row r="690" spans="1:36" x14ac:dyDescent="0.3">
      <c r="A690" s="168">
        <v>44453</v>
      </c>
      <c r="B690" s="83">
        <v>19.63</v>
      </c>
      <c r="C690" s="83">
        <v>19.510000000000002</v>
      </c>
      <c r="D690" s="83">
        <v>20.2</v>
      </c>
      <c r="E690" s="83">
        <v>19.260000000000002</v>
      </c>
      <c r="F690" s="83" t="s">
        <v>1651</v>
      </c>
      <c r="G690" s="284">
        <v>5.5999999999999999E-3</v>
      </c>
      <c r="I690" s="168">
        <v>44494</v>
      </c>
      <c r="J690" s="286">
        <v>3159.88</v>
      </c>
      <c r="K690" s="286">
        <v>3150.76</v>
      </c>
      <c r="L690" s="286">
        <v>3163.14</v>
      </c>
      <c r="M690" s="286">
        <v>3144.34</v>
      </c>
      <c r="N690" s="284" t="s">
        <v>1286</v>
      </c>
      <c r="P690" s="168">
        <v>44487</v>
      </c>
      <c r="Q690" s="286">
        <v>5.5117000000000003</v>
      </c>
      <c r="R690" s="286">
        <v>5.4576000000000002</v>
      </c>
      <c r="S690" s="286">
        <v>5.5434000000000001</v>
      </c>
      <c r="T690" s="286">
        <v>5.4576000000000002</v>
      </c>
      <c r="U690" s="284">
        <v>9.2999999999999992E-3</v>
      </c>
      <c r="W690" s="168">
        <v>44447</v>
      </c>
      <c r="X690" s="288">
        <v>113413</v>
      </c>
      <c r="Y690" s="288">
        <v>117866</v>
      </c>
      <c r="Z690" s="288">
        <v>117866</v>
      </c>
      <c r="AA690" s="288">
        <v>113172</v>
      </c>
      <c r="AB690" s="284" t="s">
        <v>1650</v>
      </c>
      <c r="AC690" s="290">
        <v>-3.78E-2</v>
      </c>
      <c r="AE690" s="168"/>
      <c r="AF690" s="286"/>
      <c r="AG690" s="286"/>
      <c r="AH690" s="286"/>
      <c r="AI690" s="286"/>
      <c r="AJ690" s="284"/>
    </row>
    <row r="691" spans="1:36" x14ac:dyDescent="0.3">
      <c r="A691" s="167">
        <v>44452</v>
      </c>
      <c r="B691" s="171">
        <v>19.52</v>
      </c>
      <c r="C691" s="171">
        <v>19.5</v>
      </c>
      <c r="D691" s="171">
        <v>20.12</v>
      </c>
      <c r="E691" s="171">
        <v>19.38</v>
      </c>
      <c r="F691" s="171" t="s">
        <v>1649</v>
      </c>
      <c r="G691" s="283">
        <v>2.1999999999999999E-2</v>
      </c>
      <c r="I691" s="167">
        <v>44491</v>
      </c>
      <c r="J691" s="285">
        <v>3151.16</v>
      </c>
      <c r="K691" s="285">
        <v>3150.4</v>
      </c>
      <c r="L691" s="285">
        <v>3161.16</v>
      </c>
      <c r="M691" s="285">
        <v>3140.16</v>
      </c>
      <c r="N691" s="283" t="s">
        <v>1648</v>
      </c>
      <c r="P691" s="167">
        <v>44484</v>
      </c>
      <c r="Q691" s="285">
        <v>5.4611000000000001</v>
      </c>
      <c r="R691" s="285">
        <v>5.5138999999999996</v>
      </c>
      <c r="S691" s="285">
        <v>5.5138999999999996</v>
      </c>
      <c r="T691" s="285">
        <v>5.4337</v>
      </c>
      <c r="U691" s="283">
        <v>-9.4000000000000004E-3</v>
      </c>
      <c r="W691" s="167">
        <v>44445</v>
      </c>
      <c r="X691" s="287">
        <v>117869</v>
      </c>
      <c r="Y691" s="287">
        <v>116926</v>
      </c>
      <c r="Z691" s="287">
        <v>117981</v>
      </c>
      <c r="AA691" s="287">
        <v>116156</v>
      </c>
      <c r="AB691" s="283" t="s">
        <v>1647</v>
      </c>
      <c r="AC691" s="289">
        <v>8.0000000000000002E-3</v>
      </c>
      <c r="AE691" s="167"/>
      <c r="AF691" s="285"/>
      <c r="AG691" s="285"/>
      <c r="AH691" s="285"/>
      <c r="AI691" s="285"/>
      <c r="AJ691" s="283"/>
    </row>
    <row r="692" spans="1:36" x14ac:dyDescent="0.3">
      <c r="A692" s="168">
        <v>44449</v>
      </c>
      <c r="B692" s="83">
        <v>19.100000000000001</v>
      </c>
      <c r="C692" s="83">
        <v>19.97</v>
      </c>
      <c r="D692" s="83">
        <v>20.149999999999999</v>
      </c>
      <c r="E692" s="83">
        <v>19.010000000000002</v>
      </c>
      <c r="F692" s="83" t="s">
        <v>1646</v>
      </c>
      <c r="G692" s="284">
        <v>-3.44E-2</v>
      </c>
      <c r="I692" s="168">
        <v>44490</v>
      </c>
      <c r="J692" s="286">
        <v>3152.33</v>
      </c>
      <c r="K692" s="286">
        <v>3147.95</v>
      </c>
      <c r="L692" s="286">
        <v>3152.33</v>
      </c>
      <c r="M692" s="286">
        <v>3140.38</v>
      </c>
      <c r="N692" s="284" t="s">
        <v>1208</v>
      </c>
      <c r="P692" s="168">
        <v>44483</v>
      </c>
      <c r="Q692" s="286">
        <v>5.5132000000000003</v>
      </c>
      <c r="R692" s="286">
        <v>5.5138999999999996</v>
      </c>
      <c r="S692" s="286">
        <v>5.5308000000000002</v>
      </c>
      <c r="T692" s="286">
        <v>5.4669999999999996</v>
      </c>
      <c r="U692" s="284">
        <v>0</v>
      </c>
      <c r="W692" s="168">
        <v>44442</v>
      </c>
      <c r="X692" s="288">
        <v>116933</v>
      </c>
      <c r="Y692" s="288">
        <v>116679</v>
      </c>
      <c r="Z692" s="288">
        <v>117396</v>
      </c>
      <c r="AA692" s="288">
        <v>115583</v>
      </c>
      <c r="AB692" s="284" t="s">
        <v>1645</v>
      </c>
      <c r="AC692" s="290">
        <v>2.2000000000000001E-3</v>
      </c>
      <c r="AE692" s="168"/>
      <c r="AF692" s="286"/>
      <c r="AG692" s="286"/>
      <c r="AH692" s="286"/>
      <c r="AI692" s="286"/>
      <c r="AJ692" s="284"/>
    </row>
    <row r="693" spans="1:36" x14ac:dyDescent="0.3">
      <c r="A693" s="167">
        <v>44448</v>
      </c>
      <c r="B693" s="171">
        <v>19.78</v>
      </c>
      <c r="C693" s="171">
        <v>18.36</v>
      </c>
      <c r="D693" s="171">
        <v>20.05</v>
      </c>
      <c r="E693" s="171">
        <v>18.32</v>
      </c>
      <c r="F693" s="171" t="s">
        <v>1644</v>
      </c>
      <c r="G693" s="283">
        <v>8.3199999999999996E-2</v>
      </c>
      <c r="I693" s="167">
        <v>44489</v>
      </c>
      <c r="J693" s="285">
        <v>3147.7</v>
      </c>
      <c r="K693" s="285">
        <v>3136.61</v>
      </c>
      <c r="L693" s="285">
        <v>3149.94</v>
      </c>
      <c r="M693" s="285">
        <v>3134.68</v>
      </c>
      <c r="N693" s="283" t="s">
        <v>1588</v>
      </c>
      <c r="P693" s="167">
        <v>44482</v>
      </c>
      <c r="Q693" s="285">
        <v>5.5133000000000001</v>
      </c>
      <c r="R693" s="285">
        <v>5.5368000000000004</v>
      </c>
      <c r="S693" s="285">
        <v>5.5736999999999997</v>
      </c>
      <c r="T693" s="285">
        <v>5.4988000000000001</v>
      </c>
      <c r="U693" s="283">
        <v>-3.5000000000000001E-3</v>
      </c>
      <c r="W693" s="167">
        <v>44441</v>
      </c>
      <c r="X693" s="287">
        <v>116677</v>
      </c>
      <c r="Y693" s="287">
        <v>119394</v>
      </c>
      <c r="Z693" s="287">
        <v>119397</v>
      </c>
      <c r="AA693" s="287">
        <v>116534</v>
      </c>
      <c r="AB693" s="283" t="s">
        <v>1643</v>
      </c>
      <c r="AC693" s="289">
        <v>-2.2800000000000001E-2</v>
      </c>
      <c r="AE693" s="167"/>
      <c r="AF693" s="285"/>
      <c r="AG693" s="285"/>
      <c r="AH693" s="285"/>
      <c r="AI693" s="285"/>
      <c r="AJ693" s="283"/>
    </row>
    <row r="694" spans="1:36" x14ac:dyDescent="0.3">
      <c r="A694" s="168">
        <v>44447</v>
      </c>
      <c r="B694" s="83">
        <v>18.260000000000002</v>
      </c>
      <c r="C694" s="83">
        <v>18.37</v>
      </c>
      <c r="D694" s="83">
        <v>18.649999999999999</v>
      </c>
      <c r="E694" s="83">
        <v>17.78</v>
      </c>
      <c r="F694" s="83" t="s">
        <v>1642</v>
      </c>
      <c r="G694" s="284">
        <v>-1.46E-2</v>
      </c>
      <c r="I694" s="168">
        <v>44488</v>
      </c>
      <c r="J694" s="286">
        <v>3136.19</v>
      </c>
      <c r="K694" s="286">
        <v>3115.04</v>
      </c>
      <c r="L694" s="286">
        <v>3136.26</v>
      </c>
      <c r="M694" s="286">
        <v>3114.9</v>
      </c>
      <c r="N694" s="284" t="s">
        <v>1641</v>
      </c>
      <c r="P694" s="168">
        <v>44481</v>
      </c>
      <c r="Q694" s="286">
        <v>5.5324999999999998</v>
      </c>
      <c r="R694" s="286">
        <v>5.5369999999999999</v>
      </c>
      <c r="S694" s="286">
        <v>5.5372000000000003</v>
      </c>
      <c r="T694" s="286">
        <v>5.5327999999999999</v>
      </c>
      <c r="U694" s="284">
        <v>-8.0000000000000004E-4</v>
      </c>
      <c r="W694" s="168">
        <v>44440</v>
      </c>
      <c r="X694" s="288">
        <v>119396</v>
      </c>
      <c r="Y694" s="288">
        <v>118793</v>
      </c>
      <c r="Z694" s="288">
        <v>119942</v>
      </c>
      <c r="AA694" s="288">
        <v>118067</v>
      </c>
      <c r="AB694" s="284" t="s">
        <v>1640</v>
      </c>
      <c r="AC694" s="290">
        <v>5.1999999999999998E-3</v>
      </c>
      <c r="AE694" s="168"/>
      <c r="AF694" s="286"/>
      <c r="AG694" s="286"/>
      <c r="AH694" s="286"/>
      <c r="AI694" s="286"/>
      <c r="AJ694" s="284"/>
    </row>
    <row r="695" spans="1:36" x14ac:dyDescent="0.3">
      <c r="A695" s="167">
        <v>44445</v>
      </c>
      <c r="B695" s="171">
        <v>18.53</v>
      </c>
      <c r="C695" s="171">
        <v>18.09</v>
      </c>
      <c r="D695" s="171">
        <v>18.78</v>
      </c>
      <c r="E695" s="171">
        <v>17.8</v>
      </c>
      <c r="F695" s="171" t="s">
        <v>1639</v>
      </c>
      <c r="G695" s="283">
        <v>2.0899999999999998E-2</v>
      </c>
      <c r="I695" s="167">
        <v>44487</v>
      </c>
      <c r="J695" s="285">
        <v>3114.01</v>
      </c>
      <c r="K695" s="285">
        <v>3108.62</v>
      </c>
      <c r="L695" s="285">
        <v>3114.88</v>
      </c>
      <c r="M695" s="285">
        <v>3092.42</v>
      </c>
      <c r="N695" s="283" t="s">
        <v>1208</v>
      </c>
      <c r="P695" s="167">
        <v>44480</v>
      </c>
      <c r="Q695" s="285">
        <v>5.5366999999999997</v>
      </c>
      <c r="R695" s="285">
        <v>5.5072999999999999</v>
      </c>
      <c r="S695" s="285">
        <v>5.5445000000000002</v>
      </c>
      <c r="T695" s="285">
        <v>5.4946000000000002</v>
      </c>
      <c r="U695" s="283">
        <v>5.1999999999999998E-3</v>
      </c>
      <c r="W695" s="167">
        <v>44439</v>
      </c>
      <c r="X695" s="287">
        <v>118781</v>
      </c>
      <c r="Y695" s="287">
        <v>119738</v>
      </c>
      <c r="Z695" s="287">
        <v>120157</v>
      </c>
      <c r="AA695" s="287">
        <v>117911</v>
      </c>
      <c r="AB695" s="283" t="s">
        <v>1638</v>
      </c>
      <c r="AC695" s="289">
        <v>-8.0000000000000002E-3</v>
      </c>
      <c r="AE695" s="167"/>
      <c r="AF695" s="285"/>
      <c r="AG695" s="285"/>
      <c r="AH695" s="285"/>
      <c r="AI695" s="285"/>
      <c r="AJ695" s="283"/>
    </row>
    <row r="696" spans="1:36" x14ac:dyDescent="0.3">
      <c r="A696" s="168">
        <v>44442</v>
      </c>
      <c r="B696" s="83">
        <v>18.149999999999999</v>
      </c>
      <c r="C696" s="83">
        <v>19.03</v>
      </c>
      <c r="D696" s="83">
        <v>19.14</v>
      </c>
      <c r="E696" s="83">
        <v>17.670000000000002</v>
      </c>
      <c r="F696" s="83" t="s">
        <v>1637</v>
      </c>
      <c r="G696" s="284">
        <v>-3.3000000000000002E-2</v>
      </c>
      <c r="I696" s="168">
        <v>44484</v>
      </c>
      <c r="J696" s="286">
        <v>3109.47</v>
      </c>
      <c r="K696" s="286">
        <v>3084.71</v>
      </c>
      <c r="L696" s="286">
        <v>3110.37</v>
      </c>
      <c r="M696" s="286">
        <v>3084.37</v>
      </c>
      <c r="N696" s="284" t="s">
        <v>1219</v>
      </c>
      <c r="P696" s="168">
        <v>44477</v>
      </c>
      <c r="Q696" s="286">
        <v>5.5082000000000004</v>
      </c>
      <c r="R696" s="286">
        <v>5.5186999999999999</v>
      </c>
      <c r="S696" s="286">
        <v>5.5324</v>
      </c>
      <c r="T696" s="286">
        <v>5.4767999999999999</v>
      </c>
      <c r="U696" s="284">
        <v>-1.9E-3</v>
      </c>
      <c r="W696" s="168">
        <v>44438</v>
      </c>
      <c r="X696" s="288">
        <v>119740</v>
      </c>
      <c r="Y696" s="288">
        <v>120677</v>
      </c>
      <c r="Z696" s="288">
        <v>120684</v>
      </c>
      <c r="AA696" s="288">
        <v>119354</v>
      </c>
      <c r="AB696" s="284" t="s">
        <v>1636</v>
      </c>
      <c r="AC696" s="290">
        <v>-7.7999999999999996E-3</v>
      </c>
      <c r="AE696" s="168"/>
      <c r="AF696" s="286"/>
      <c r="AG696" s="286"/>
      <c r="AH696" s="286"/>
      <c r="AI696" s="286"/>
      <c r="AJ696" s="284"/>
    </row>
    <row r="697" spans="1:36" x14ac:dyDescent="0.3">
      <c r="A697" s="167">
        <v>44441</v>
      </c>
      <c r="B697" s="171">
        <v>18.77</v>
      </c>
      <c r="C697" s="171">
        <v>18.79</v>
      </c>
      <c r="D697" s="171">
        <v>19.22</v>
      </c>
      <c r="E697" s="171">
        <v>18.45</v>
      </c>
      <c r="F697" s="171" t="s">
        <v>1635</v>
      </c>
      <c r="G697" s="283">
        <v>7.4999999999999997E-3</v>
      </c>
      <c r="I697" s="167">
        <v>44483</v>
      </c>
      <c r="J697" s="285">
        <v>3084.59</v>
      </c>
      <c r="K697" s="285">
        <v>3040.66</v>
      </c>
      <c r="L697" s="285">
        <v>3085.62</v>
      </c>
      <c r="M697" s="285">
        <v>3040.66</v>
      </c>
      <c r="N697" s="283" t="s">
        <v>1634</v>
      </c>
      <c r="P697" s="167">
        <v>44476</v>
      </c>
      <c r="Q697" s="285">
        <v>5.5187999999999997</v>
      </c>
      <c r="R697" s="285">
        <v>5.4936999999999996</v>
      </c>
      <c r="S697" s="285">
        <v>5.5294999999999996</v>
      </c>
      <c r="T697" s="285">
        <v>5.4667000000000003</v>
      </c>
      <c r="U697" s="283">
        <v>5.0000000000000001E-3</v>
      </c>
      <c r="W697" s="167">
        <v>44435</v>
      </c>
      <c r="X697" s="287">
        <v>120678</v>
      </c>
      <c r="Y697" s="287">
        <v>118725</v>
      </c>
      <c r="Z697" s="287">
        <v>120678</v>
      </c>
      <c r="AA697" s="287">
        <v>118721</v>
      </c>
      <c r="AB697" s="283" t="s">
        <v>1633</v>
      </c>
      <c r="AC697" s="289">
        <v>1.6500000000000001E-2</v>
      </c>
      <c r="AE697" s="167"/>
      <c r="AF697" s="285"/>
      <c r="AG697" s="285"/>
      <c r="AH697" s="285"/>
      <c r="AI697" s="285"/>
      <c r="AJ697" s="283"/>
    </row>
    <row r="698" spans="1:36" x14ac:dyDescent="0.3">
      <c r="A698" s="168">
        <v>44440</v>
      </c>
      <c r="B698" s="83">
        <v>18.63</v>
      </c>
      <c r="C698" s="83">
        <v>19.23</v>
      </c>
      <c r="D698" s="83">
        <v>19.260000000000002</v>
      </c>
      <c r="E698" s="83">
        <v>18.54</v>
      </c>
      <c r="F698" s="83" t="s">
        <v>1632</v>
      </c>
      <c r="G698" s="284">
        <v>-2.8199999999999999E-2</v>
      </c>
      <c r="I698" s="168">
        <v>44482</v>
      </c>
      <c r="J698" s="286">
        <v>3039.01</v>
      </c>
      <c r="K698" s="286">
        <v>3023.04</v>
      </c>
      <c r="L698" s="286">
        <v>3043.46</v>
      </c>
      <c r="M698" s="286">
        <v>3019.78</v>
      </c>
      <c r="N698" s="284" t="s">
        <v>1229</v>
      </c>
      <c r="P698" s="168">
        <v>44475</v>
      </c>
      <c r="Q698" s="286">
        <v>5.4912000000000001</v>
      </c>
      <c r="R698" s="286">
        <v>5.4770000000000003</v>
      </c>
      <c r="S698" s="286">
        <v>5.5381</v>
      </c>
      <c r="T698" s="286">
        <v>5.4755000000000003</v>
      </c>
      <c r="U698" s="284">
        <v>3.0000000000000001E-3</v>
      </c>
      <c r="W698" s="168">
        <v>44434</v>
      </c>
      <c r="X698" s="288">
        <v>118724</v>
      </c>
      <c r="Y698" s="288">
        <v>120817</v>
      </c>
      <c r="Z698" s="288">
        <v>120833</v>
      </c>
      <c r="AA698" s="288">
        <v>118719</v>
      </c>
      <c r="AB698" s="284" t="s">
        <v>1631</v>
      </c>
      <c r="AC698" s="290">
        <v>-1.7299999999999999E-2</v>
      </c>
      <c r="AE698" s="168"/>
      <c r="AF698" s="286"/>
      <c r="AG698" s="286"/>
      <c r="AH698" s="286"/>
      <c r="AI698" s="286"/>
      <c r="AJ698" s="284"/>
    </row>
    <row r="699" spans="1:36" x14ac:dyDescent="0.3">
      <c r="A699" s="167">
        <v>44439</v>
      </c>
      <c r="B699" s="171">
        <v>19.170000000000002</v>
      </c>
      <c r="C699" s="171">
        <v>19.170000000000002</v>
      </c>
      <c r="D699" s="171">
        <v>19.43</v>
      </c>
      <c r="E699" s="171">
        <v>18.899999999999999</v>
      </c>
      <c r="F699" s="171" t="s">
        <v>1630</v>
      </c>
      <c r="G699" s="283">
        <v>-6.7000000000000002E-3</v>
      </c>
      <c r="I699" s="167">
        <v>44481</v>
      </c>
      <c r="J699" s="285">
        <v>3024.72</v>
      </c>
      <c r="K699" s="285">
        <v>3030.26</v>
      </c>
      <c r="L699" s="285">
        <v>3035.06</v>
      </c>
      <c r="M699" s="285">
        <v>3020.1</v>
      </c>
      <c r="N699" s="283" t="s">
        <v>1295</v>
      </c>
      <c r="P699" s="167">
        <v>44474</v>
      </c>
      <c r="Q699" s="285">
        <v>5.4748000000000001</v>
      </c>
      <c r="R699" s="285">
        <v>5.4546000000000001</v>
      </c>
      <c r="S699" s="285">
        <v>5.4878999999999998</v>
      </c>
      <c r="T699" s="285">
        <v>5.4240000000000004</v>
      </c>
      <c r="U699" s="283">
        <v>3.8999999999999998E-3</v>
      </c>
      <c r="W699" s="167">
        <v>44433</v>
      </c>
      <c r="X699" s="287">
        <v>120818</v>
      </c>
      <c r="Y699" s="287">
        <v>120210</v>
      </c>
      <c r="Z699" s="287">
        <v>120818</v>
      </c>
      <c r="AA699" s="287">
        <v>119226</v>
      </c>
      <c r="AB699" s="283" t="s">
        <v>1629</v>
      </c>
      <c r="AC699" s="289">
        <v>5.0000000000000001E-3</v>
      </c>
      <c r="AE699" s="167"/>
      <c r="AF699" s="285"/>
      <c r="AG699" s="285"/>
      <c r="AH699" s="285"/>
      <c r="AI699" s="285"/>
      <c r="AJ699" s="283"/>
    </row>
    <row r="700" spans="1:36" x14ac:dyDescent="0.3">
      <c r="A700" s="168">
        <v>44438</v>
      </c>
      <c r="B700" s="83">
        <v>19.3</v>
      </c>
      <c r="C700" s="83">
        <v>19.63</v>
      </c>
      <c r="D700" s="83">
        <v>19.899999999999999</v>
      </c>
      <c r="E700" s="83">
        <v>19.100000000000001</v>
      </c>
      <c r="F700" s="83" t="s">
        <v>1628</v>
      </c>
      <c r="G700" s="284">
        <v>-5.1999999999999998E-3</v>
      </c>
      <c r="I700" s="168">
        <v>44480</v>
      </c>
      <c r="J700" s="286">
        <v>3031.57</v>
      </c>
      <c r="K700" s="286">
        <v>3042.6</v>
      </c>
      <c r="L700" s="286">
        <v>3057.69</v>
      </c>
      <c r="M700" s="286">
        <v>3029.57</v>
      </c>
      <c r="N700" s="284" t="s">
        <v>1446</v>
      </c>
      <c r="P700" s="168">
        <v>44473</v>
      </c>
      <c r="Q700" s="286">
        <v>5.4535</v>
      </c>
      <c r="R700" s="286">
        <v>5.3613999999999997</v>
      </c>
      <c r="S700" s="286">
        <v>5.4592999999999998</v>
      </c>
      <c r="T700" s="286">
        <v>5.3613999999999997</v>
      </c>
      <c r="U700" s="284">
        <v>1.6899999999999998E-2</v>
      </c>
      <c r="W700" s="168">
        <v>44432</v>
      </c>
      <c r="X700" s="288">
        <v>120211</v>
      </c>
      <c r="Y700" s="288">
        <v>117474</v>
      </c>
      <c r="Z700" s="288">
        <v>120463</v>
      </c>
      <c r="AA700" s="288">
        <v>117474</v>
      </c>
      <c r="AB700" s="284" t="s">
        <v>1627</v>
      </c>
      <c r="AC700" s="290">
        <v>2.3300000000000001E-2</v>
      </c>
      <c r="AE700" s="168"/>
      <c r="AF700" s="286"/>
      <c r="AG700" s="286"/>
      <c r="AH700" s="286"/>
      <c r="AI700" s="286"/>
      <c r="AJ700" s="284"/>
    </row>
    <row r="701" spans="1:36" x14ac:dyDescent="0.3">
      <c r="A701" s="167">
        <v>44435</v>
      </c>
      <c r="B701" s="171">
        <v>19.399999999999999</v>
      </c>
      <c r="C701" s="171">
        <v>18.34</v>
      </c>
      <c r="D701" s="171">
        <v>19.57</v>
      </c>
      <c r="E701" s="171">
        <v>18.329999999999998</v>
      </c>
      <c r="F701" s="171" t="s">
        <v>1626</v>
      </c>
      <c r="G701" s="283">
        <v>7.4200000000000002E-2</v>
      </c>
      <c r="I701" s="167">
        <v>44477</v>
      </c>
      <c r="J701" s="285">
        <v>3043.74</v>
      </c>
      <c r="K701" s="285">
        <v>3046.03</v>
      </c>
      <c r="L701" s="285">
        <v>3055.86</v>
      </c>
      <c r="M701" s="285">
        <v>3040.55</v>
      </c>
      <c r="N701" s="283" t="s">
        <v>1440</v>
      </c>
      <c r="P701" s="167">
        <v>44470</v>
      </c>
      <c r="Q701" s="285">
        <v>5.3628</v>
      </c>
      <c r="R701" s="285">
        <v>5.4432</v>
      </c>
      <c r="S701" s="285">
        <v>5.4432</v>
      </c>
      <c r="T701" s="285">
        <v>5.3526999999999996</v>
      </c>
      <c r="U701" s="283">
        <v>-1.47E-2</v>
      </c>
      <c r="W701" s="167">
        <v>44431</v>
      </c>
      <c r="X701" s="287">
        <v>117472</v>
      </c>
      <c r="Y701" s="287">
        <v>118053</v>
      </c>
      <c r="Z701" s="287">
        <v>118445</v>
      </c>
      <c r="AA701" s="287">
        <v>117062</v>
      </c>
      <c r="AB701" s="283" t="s">
        <v>1625</v>
      </c>
      <c r="AC701" s="289">
        <v>-4.8999999999999998E-3</v>
      </c>
      <c r="AE701" s="167"/>
      <c r="AF701" s="285"/>
      <c r="AG701" s="285"/>
      <c r="AH701" s="285"/>
      <c r="AI701" s="285"/>
      <c r="AJ701" s="283"/>
    </row>
    <row r="702" spans="1:36" x14ac:dyDescent="0.3">
      <c r="A702" s="168">
        <v>44434</v>
      </c>
      <c r="B702" s="83">
        <v>18.059999999999999</v>
      </c>
      <c r="C702" s="83">
        <v>18.75</v>
      </c>
      <c r="D702" s="83">
        <v>19</v>
      </c>
      <c r="E702" s="83">
        <v>17.96</v>
      </c>
      <c r="F702" s="83" t="s">
        <v>1624</v>
      </c>
      <c r="G702" s="284">
        <v>-4.5499999999999999E-2</v>
      </c>
      <c r="I702" s="168">
        <v>44476</v>
      </c>
      <c r="J702" s="286">
        <v>3046.57</v>
      </c>
      <c r="K702" s="286">
        <v>3017.59</v>
      </c>
      <c r="L702" s="286">
        <v>3061.25</v>
      </c>
      <c r="M702" s="286">
        <v>3016.75</v>
      </c>
      <c r="N702" s="284" t="s">
        <v>1480</v>
      </c>
      <c r="P702" s="168">
        <v>44469</v>
      </c>
      <c r="Q702" s="286">
        <v>5.4428000000000001</v>
      </c>
      <c r="R702" s="286">
        <v>5.4119999999999999</v>
      </c>
      <c r="S702" s="286">
        <v>5.4767000000000001</v>
      </c>
      <c r="T702" s="286">
        <v>5.3667999999999996</v>
      </c>
      <c r="U702" s="284">
        <v>5.1000000000000004E-3</v>
      </c>
      <c r="W702" s="168">
        <v>44428</v>
      </c>
      <c r="X702" s="288">
        <v>118053</v>
      </c>
      <c r="Y702" s="288">
        <v>117163</v>
      </c>
      <c r="Z702" s="288">
        <v>118308</v>
      </c>
      <c r="AA702" s="288">
        <v>116040</v>
      </c>
      <c r="AB702" s="284" t="s">
        <v>1623</v>
      </c>
      <c r="AC702" s="290">
        <v>7.6E-3</v>
      </c>
      <c r="AE702" s="168"/>
      <c r="AF702" s="286"/>
      <c r="AG702" s="286"/>
      <c r="AH702" s="286"/>
      <c r="AI702" s="286"/>
      <c r="AJ702" s="284"/>
    </row>
    <row r="703" spans="1:36" x14ac:dyDescent="0.3">
      <c r="A703" s="167">
        <v>44433</v>
      </c>
      <c r="B703" s="171">
        <v>18.920000000000002</v>
      </c>
      <c r="C703" s="171">
        <v>19.12</v>
      </c>
      <c r="D703" s="171">
        <v>19.29</v>
      </c>
      <c r="E703" s="171">
        <v>18.73</v>
      </c>
      <c r="F703" s="171" t="s">
        <v>1622</v>
      </c>
      <c r="G703" s="283">
        <v>-8.3999999999999995E-3</v>
      </c>
      <c r="I703" s="167">
        <v>44475</v>
      </c>
      <c r="J703" s="285">
        <v>3015.95</v>
      </c>
      <c r="K703" s="285">
        <v>3016.59</v>
      </c>
      <c r="L703" s="285">
        <v>3019.2</v>
      </c>
      <c r="M703" s="285">
        <v>2978.07</v>
      </c>
      <c r="N703" s="283" t="s">
        <v>1621</v>
      </c>
      <c r="P703" s="167">
        <v>44468</v>
      </c>
      <c r="Q703" s="285">
        <v>5.4151999999999996</v>
      </c>
      <c r="R703" s="285">
        <v>5.4291999999999998</v>
      </c>
      <c r="S703" s="285">
        <v>5.4470999999999998</v>
      </c>
      <c r="T703" s="285">
        <v>5.3913000000000002</v>
      </c>
      <c r="U703" s="283">
        <v>-2.5999999999999999E-3</v>
      </c>
      <c r="W703" s="167">
        <v>44427</v>
      </c>
      <c r="X703" s="287">
        <v>117165</v>
      </c>
      <c r="Y703" s="287">
        <v>116641</v>
      </c>
      <c r="Z703" s="287">
        <v>117453</v>
      </c>
      <c r="AA703" s="287">
        <v>114801</v>
      </c>
      <c r="AB703" s="283" t="s">
        <v>1620</v>
      </c>
      <c r="AC703" s="289">
        <v>4.4999999999999997E-3</v>
      </c>
      <c r="AE703" s="167"/>
      <c r="AF703" s="285"/>
      <c r="AG703" s="285"/>
      <c r="AH703" s="285"/>
      <c r="AI703" s="285"/>
      <c r="AJ703" s="283"/>
    </row>
    <row r="704" spans="1:36" x14ac:dyDescent="0.3">
      <c r="A704" s="168">
        <v>44432</v>
      </c>
      <c r="B704" s="83">
        <v>19.079999999999998</v>
      </c>
      <c r="C704" s="83">
        <v>18.77</v>
      </c>
      <c r="D704" s="83">
        <v>19.420000000000002</v>
      </c>
      <c r="E704" s="83">
        <v>18.75</v>
      </c>
      <c r="F704" s="83" t="s">
        <v>1619</v>
      </c>
      <c r="G704" s="284">
        <v>2.1399999999999999E-2</v>
      </c>
      <c r="I704" s="168">
        <v>44474</v>
      </c>
      <c r="J704" s="286">
        <v>3016.19</v>
      </c>
      <c r="K704" s="286">
        <v>2992.24</v>
      </c>
      <c r="L704" s="286">
        <v>3027.41</v>
      </c>
      <c r="M704" s="286">
        <v>2985.5</v>
      </c>
      <c r="N704" s="284" t="s">
        <v>1618</v>
      </c>
      <c r="P704" s="168">
        <v>44467</v>
      </c>
      <c r="Q704" s="286">
        <v>5.4292999999999996</v>
      </c>
      <c r="R704" s="286">
        <v>5.3920000000000003</v>
      </c>
      <c r="S704" s="286">
        <v>5.4520999999999997</v>
      </c>
      <c r="T704" s="286">
        <v>5.3863000000000003</v>
      </c>
      <c r="U704" s="284">
        <v>7.0000000000000001E-3</v>
      </c>
      <c r="W704" s="168">
        <v>44426</v>
      </c>
      <c r="X704" s="288">
        <v>116643</v>
      </c>
      <c r="Y704" s="288">
        <v>117904</v>
      </c>
      <c r="Z704" s="288">
        <v>118739</v>
      </c>
      <c r="AA704" s="288">
        <v>116489</v>
      </c>
      <c r="AB704" s="284" t="s">
        <v>1617</v>
      </c>
      <c r="AC704" s="290">
        <v>-1.0699999999999999E-2</v>
      </c>
      <c r="AE704" s="168"/>
      <c r="AF704" s="286"/>
      <c r="AG704" s="286"/>
      <c r="AH704" s="286"/>
      <c r="AI704" s="286"/>
      <c r="AJ704" s="284"/>
    </row>
    <row r="705" spans="1:36" x14ac:dyDescent="0.3">
      <c r="A705" s="167">
        <v>44431</v>
      </c>
      <c r="B705" s="171">
        <v>18.68</v>
      </c>
      <c r="C705" s="171">
        <v>18.23</v>
      </c>
      <c r="D705" s="171">
        <v>18.88</v>
      </c>
      <c r="E705" s="171">
        <v>18.23</v>
      </c>
      <c r="F705" s="171" t="s">
        <v>1616</v>
      </c>
      <c r="G705" s="283">
        <v>3.61E-2</v>
      </c>
      <c r="I705" s="167">
        <v>44473</v>
      </c>
      <c r="J705" s="285">
        <v>2992.89</v>
      </c>
      <c r="K705" s="285">
        <v>3024.21</v>
      </c>
      <c r="L705" s="285">
        <v>3026.94</v>
      </c>
      <c r="M705" s="285">
        <v>2981.95</v>
      </c>
      <c r="N705" s="283" t="s">
        <v>1615</v>
      </c>
      <c r="P705" s="167">
        <v>44466</v>
      </c>
      <c r="Q705" s="285">
        <v>5.3914</v>
      </c>
      <c r="R705" s="285">
        <v>5.3384</v>
      </c>
      <c r="S705" s="285">
        <v>5.3944999999999999</v>
      </c>
      <c r="T705" s="285">
        <v>5.3067000000000002</v>
      </c>
      <c r="U705" s="283">
        <v>1.0699999999999999E-2</v>
      </c>
      <c r="W705" s="167">
        <v>44425</v>
      </c>
      <c r="X705" s="287">
        <v>117904</v>
      </c>
      <c r="Y705" s="287">
        <v>119179</v>
      </c>
      <c r="Z705" s="287">
        <v>119179</v>
      </c>
      <c r="AA705" s="287">
        <v>116248</v>
      </c>
      <c r="AB705" s="283" t="s">
        <v>1614</v>
      </c>
      <c r="AC705" s="289">
        <v>-1.0699999999999999E-2</v>
      </c>
      <c r="AE705" s="167"/>
      <c r="AF705" s="285"/>
      <c r="AG705" s="285"/>
      <c r="AH705" s="285"/>
      <c r="AI705" s="285"/>
      <c r="AJ705" s="283"/>
    </row>
    <row r="706" spans="1:36" x14ac:dyDescent="0.3">
      <c r="A706" s="168">
        <v>44428</v>
      </c>
      <c r="B706" s="83">
        <v>18.03</v>
      </c>
      <c r="C706" s="83">
        <v>17.91</v>
      </c>
      <c r="D706" s="83">
        <v>18.39</v>
      </c>
      <c r="E706" s="83">
        <v>17.57</v>
      </c>
      <c r="F706" s="83" t="s">
        <v>1613</v>
      </c>
      <c r="G706" s="284">
        <v>-3.8999999999999998E-3</v>
      </c>
      <c r="I706" s="168">
        <v>44470</v>
      </c>
      <c r="J706" s="286">
        <v>3022.83</v>
      </c>
      <c r="K706" s="286">
        <v>3006.75</v>
      </c>
      <c r="L706" s="286">
        <v>3031.64</v>
      </c>
      <c r="M706" s="286">
        <v>2988.36</v>
      </c>
      <c r="N706" s="284" t="s">
        <v>1612</v>
      </c>
      <c r="P706" s="168">
        <v>44463</v>
      </c>
      <c r="Q706" s="286">
        <v>5.3343999999999996</v>
      </c>
      <c r="R706" s="286">
        <v>5.3038999999999996</v>
      </c>
      <c r="S706" s="286">
        <v>5.3548999999999998</v>
      </c>
      <c r="T706" s="286">
        <v>5.3022999999999998</v>
      </c>
      <c r="U706" s="284">
        <v>5.8999999999999999E-3</v>
      </c>
      <c r="W706" s="168">
        <v>44424</v>
      </c>
      <c r="X706" s="288">
        <v>119180</v>
      </c>
      <c r="Y706" s="288">
        <v>121191</v>
      </c>
      <c r="Z706" s="288">
        <v>121191</v>
      </c>
      <c r="AA706" s="288">
        <v>118684</v>
      </c>
      <c r="AB706" s="284" t="s">
        <v>1611</v>
      </c>
      <c r="AC706" s="290">
        <v>-1.66E-2</v>
      </c>
      <c r="AE706" s="168"/>
      <c r="AF706" s="286"/>
      <c r="AG706" s="286"/>
      <c r="AH706" s="286"/>
      <c r="AI706" s="286"/>
      <c r="AJ706" s="284"/>
    </row>
    <row r="707" spans="1:36" x14ac:dyDescent="0.3">
      <c r="A707" s="167">
        <v>44427</v>
      </c>
      <c r="B707" s="171">
        <v>18.100000000000001</v>
      </c>
      <c r="C707" s="171">
        <v>16.649999999999999</v>
      </c>
      <c r="D707" s="171">
        <v>18.309999999999999</v>
      </c>
      <c r="E707" s="171">
        <v>16.649999999999999</v>
      </c>
      <c r="F707" s="171" t="s">
        <v>1610</v>
      </c>
      <c r="G707" s="283">
        <v>4.7500000000000001E-2</v>
      </c>
      <c r="I707" s="167">
        <v>44469</v>
      </c>
      <c r="J707" s="285">
        <v>3006.6</v>
      </c>
      <c r="K707" s="285">
        <v>3027.8</v>
      </c>
      <c r="L707" s="285">
        <v>3041.81</v>
      </c>
      <c r="M707" s="285">
        <v>3006.6</v>
      </c>
      <c r="N707" s="283" t="s">
        <v>1609</v>
      </c>
      <c r="P707" s="167">
        <v>44462</v>
      </c>
      <c r="Q707" s="285">
        <v>5.3029999999999999</v>
      </c>
      <c r="R707" s="285">
        <v>5.2618</v>
      </c>
      <c r="S707" s="285">
        <v>5.3124000000000002</v>
      </c>
      <c r="T707" s="285">
        <v>5.2561</v>
      </c>
      <c r="U707" s="283">
        <v>2.7000000000000001E-3</v>
      </c>
      <c r="W707" s="167">
        <v>44421</v>
      </c>
      <c r="X707" s="287">
        <v>121194</v>
      </c>
      <c r="Y707" s="287">
        <v>120701</v>
      </c>
      <c r="Z707" s="287">
        <v>121275</v>
      </c>
      <c r="AA707" s="287">
        <v>120045</v>
      </c>
      <c r="AB707" s="283" t="s">
        <v>1608</v>
      </c>
      <c r="AC707" s="289">
        <v>4.1000000000000003E-3</v>
      </c>
      <c r="AE707" s="167"/>
      <c r="AF707" s="285"/>
      <c r="AG707" s="285"/>
      <c r="AH707" s="285"/>
      <c r="AI707" s="285"/>
      <c r="AJ707" s="283"/>
    </row>
    <row r="708" spans="1:36" x14ac:dyDescent="0.3">
      <c r="A708" s="168">
        <v>44426</v>
      </c>
      <c r="B708" s="83">
        <v>17.28</v>
      </c>
      <c r="C708" s="83">
        <v>16.79</v>
      </c>
      <c r="D708" s="83">
        <v>17.97</v>
      </c>
      <c r="E708" s="83">
        <v>16.32</v>
      </c>
      <c r="F708" s="83" t="s">
        <v>1607</v>
      </c>
      <c r="G708" s="284">
        <v>3.1600000000000003E-2</v>
      </c>
      <c r="I708" s="168">
        <v>44468</v>
      </c>
      <c r="J708" s="286">
        <v>3028.75</v>
      </c>
      <c r="K708" s="286">
        <v>3032.95</v>
      </c>
      <c r="L708" s="286">
        <v>3044.51</v>
      </c>
      <c r="M708" s="286">
        <v>3025.57</v>
      </c>
      <c r="N708" s="284" t="s">
        <v>1528</v>
      </c>
      <c r="P708" s="168">
        <v>44461</v>
      </c>
      <c r="Q708" s="286">
        <v>5.2888000000000002</v>
      </c>
      <c r="R708" s="286">
        <v>5.2706</v>
      </c>
      <c r="S708" s="286">
        <v>5.3190999999999997</v>
      </c>
      <c r="T708" s="286">
        <v>5.2495000000000003</v>
      </c>
      <c r="U708" s="284">
        <v>3.5999999999999999E-3</v>
      </c>
      <c r="W708" s="168">
        <v>44420</v>
      </c>
      <c r="X708" s="288">
        <v>120701</v>
      </c>
      <c r="Y708" s="288">
        <v>122056</v>
      </c>
      <c r="Z708" s="288">
        <v>122095</v>
      </c>
      <c r="AA708" s="288">
        <v>120534</v>
      </c>
      <c r="AB708" s="284" t="s">
        <v>1606</v>
      </c>
      <c r="AC708" s="290">
        <v>-1.11E-2</v>
      </c>
      <c r="AE708" s="168"/>
      <c r="AF708" s="286"/>
      <c r="AG708" s="286"/>
      <c r="AH708" s="286"/>
      <c r="AI708" s="286"/>
      <c r="AJ708" s="284"/>
    </row>
    <row r="709" spans="1:36" x14ac:dyDescent="0.3">
      <c r="A709" s="167">
        <v>44425</v>
      </c>
      <c r="B709" s="171">
        <v>16.75</v>
      </c>
      <c r="C709" s="171">
        <v>16.690000000000001</v>
      </c>
      <c r="D709" s="171">
        <v>16.850000000000001</v>
      </c>
      <c r="E709" s="171">
        <v>16.22</v>
      </c>
      <c r="F709" s="171" t="s">
        <v>1596</v>
      </c>
      <c r="G709" s="283">
        <v>-1.1999999999999999E-3</v>
      </c>
      <c r="I709" s="167">
        <v>44467</v>
      </c>
      <c r="J709" s="285">
        <v>3032.7</v>
      </c>
      <c r="K709" s="285">
        <v>3095.52</v>
      </c>
      <c r="L709" s="285">
        <v>3095.57</v>
      </c>
      <c r="M709" s="285">
        <v>3030.01</v>
      </c>
      <c r="N709" s="283" t="s">
        <v>1605</v>
      </c>
      <c r="P709" s="167">
        <v>44460</v>
      </c>
      <c r="Q709" s="285">
        <v>5.2698999999999998</v>
      </c>
      <c r="R709" s="285">
        <v>5.3251999999999997</v>
      </c>
      <c r="S709" s="285">
        <v>5.3373999999999997</v>
      </c>
      <c r="T709" s="285">
        <v>5.2625999999999999</v>
      </c>
      <c r="U709" s="283">
        <v>-1.0200000000000001E-2</v>
      </c>
      <c r="W709" s="167">
        <v>44419</v>
      </c>
      <c r="X709" s="287">
        <v>122056</v>
      </c>
      <c r="Y709" s="287">
        <v>122203</v>
      </c>
      <c r="Z709" s="287">
        <v>122756</v>
      </c>
      <c r="AA709" s="287">
        <v>120827</v>
      </c>
      <c r="AB709" s="283" t="s">
        <v>1604</v>
      </c>
      <c r="AC709" s="289">
        <v>-1.1999999999999999E-3</v>
      </c>
      <c r="AE709" s="167"/>
      <c r="AF709" s="285"/>
      <c r="AG709" s="285"/>
      <c r="AH709" s="285"/>
      <c r="AI709" s="285"/>
      <c r="AJ709" s="283"/>
    </row>
    <row r="710" spans="1:36" x14ac:dyDescent="0.3">
      <c r="A710" s="168">
        <v>44424</v>
      </c>
      <c r="B710" s="83">
        <v>16.77</v>
      </c>
      <c r="C710" s="83">
        <v>17.21</v>
      </c>
      <c r="D710" s="83">
        <v>17.25</v>
      </c>
      <c r="E710" s="83">
        <v>16.7</v>
      </c>
      <c r="F710" s="83" t="s">
        <v>1603</v>
      </c>
      <c r="G710" s="284">
        <v>-3.73E-2</v>
      </c>
      <c r="I710" s="168">
        <v>44466</v>
      </c>
      <c r="J710" s="286">
        <v>3095.56</v>
      </c>
      <c r="K710" s="286">
        <v>3104.03</v>
      </c>
      <c r="L710" s="286">
        <v>3108.56</v>
      </c>
      <c r="M710" s="286">
        <v>3090.68</v>
      </c>
      <c r="N710" s="284" t="s">
        <v>1602</v>
      </c>
      <c r="P710" s="168">
        <v>44459</v>
      </c>
      <c r="Q710" s="286">
        <v>5.3239999999999998</v>
      </c>
      <c r="R710" s="286">
        <v>5.2850999999999999</v>
      </c>
      <c r="S710" s="286">
        <v>5.3779000000000003</v>
      </c>
      <c r="T710" s="286">
        <v>5.2849000000000004</v>
      </c>
      <c r="U710" s="284">
        <v>6.7999999999999996E-3</v>
      </c>
      <c r="W710" s="168">
        <v>44418</v>
      </c>
      <c r="X710" s="288">
        <v>122202</v>
      </c>
      <c r="Y710" s="288">
        <v>123021</v>
      </c>
      <c r="Z710" s="288">
        <v>123513</v>
      </c>
      <c r="AA710" s="288">
        <v>122061</v>
      </c>
      <c r="AB710" s="284" t="s">
        <v>1383</v>
      </c>
      <c r="AC710" s="290">
        <v>-6.6E-3</v>
      </c>
      <c r="AE710" s="168"/>
      <c r="AF710" s="286"/>
      <c r="AG710" s="286"/>
      <c r="AH710" s="286"/>
      <c r="AI710" s="286"/>
      <c r="AJ710" s="284"/>
    </row>
    <row r="711" spans="1:36" x14ac:dyDescent="0.3">
      <c r="A711" s="167">
        <v>44421</v>
      </c>
      <c r="B711" s="171">
        <v>17.420000000000002</v>
      </c>
      <c r="C711" s="171">
        <v>17.920000000000002</v>
      </c>
      <c r="D711" s="171">
        <v>18.010000000000002</v>
      </c>
      <c r="E711" s="171">
        <v>17.2</v>
      </c>
      <c r="F711" s="171" t="s">
        <v>1601</v>
      </c>
      <c r="G711" s="283">
        <v>-1.8599999999999998E-2</v>
      </c>
      <c r="I711" s="167">
        <v>44463</v>
      </c>
      <c r="J711" s="285">
        <v>3103.53</v>
      </c>
      <c r="K711" s="285">
        <v>3106.61</v>
      </c>
      <c r="L711" s="285">
        <v>3109.83</v>
      </c>
      <c r="M711" s="285">
        <v>3093.64</v>
      </c>
      <c r="N711" s="283" t="s">
        <v>1440</v>
      </c>
      <c r="P711" s="167">
        <v>44456</v>
      </c>
      <c r="Q711" s="285">
        <v>5.2882999999999996</v>
      </c>
      <c r="R711" s="285">
        <v>5.2568000000000001</v>
      </c>
      <c r="S711" s="285">
        <v>5.3472</v>
      </c>
      <c r="T711" s="285">
        <v>5.2508999999999997</v>
      </c>
      <c r="U711" s="283">
        <v>6.6E-3</v>
      </c>
      <c r="W711" s="167">
        <v>44417</v>
      </c>
      <c r="X711" s="287">
        <v>123019</v>
      </c>
      <c r="Y711" s="287">
        <v>122809</v>
      </c>
      <c r="Z711" s="287">
        <v>123597</v>
      </c>
      <c r="AA711" s="287">
        <v>122258</v>
      </c>
      <c r="AB711" s="283" t="s">
        <v>1600</v>
      </c>
      <c r="AC711" s="289">
        <v>1.6999999999999999E-3</v>
      </c>
      <c r="AE711" s="167"/>
      <c r="AF711" s="285"/>
      <c r="AG711" s="285"/>
      <c r="AH711" s="285"/>
      <c r="AI711" s="285"/>
      <c r="AJ711" s="283"/>
    </row>
    <row r="712" spans="1:36" x14ac:dyDescent="0.3">
      <c r="A712" s="168">
        <v>44420</v>
      </c>
      <c r="B712" s="83">
        <v>17.75</v>
      </c>
      <c r="C712" s="83">
        <v>18.350000000000001</v>
      </c>
      <c r="D712" s="83">
        <v>18.36</v>
      </c>
      <c r="E712" s="83">
        <v>17.690000000000001</v>
      </c>
      <c r="F712" s="83" t="s">
        <v>1599</v>
      </c>
      <c r="G712" s="284">
        <v>-3.0099999999999998E-2</v>
      </c>
      <c r="I712" s="168">
        <v>44462</v>
      </c>
      <c r="J712" s="286">
        <v>3106.42</v>
      </c>
      <c r="K712" s="286">
        <v>3071.5</v>
      </c>
      <c r="L712" s="286">
        <v>3114.02</v>
      </c>
      <c r="M712" s="286">
        <v>3071.38</v>
      </c>
      <c r="N712" s="284" t="s">
        <v>1598</v>
      </c>
      <c r="P712" s="168">
        <v>44455</v>
      </c>
      <c r="Q712" s="286">
        <v>5.2534999999999998</v>
      </c>
      <c r="R712" s="286">
        <v>5.2374999999999998</v>
      </c>
      <c r="S712" s="286">
        <v>5.2801</v>
      </c>
      <c r="T712" s="286">
        <v>5.2314999999999996</v>
      </c>
      <c r="U712" s="284">
        <v>6.1000000000000004E-3</v>
      </c>
      <c r="W712" s="168">
        <v>44414</v>
      </c>
      <c r="X712" s="288">
        <v>122810</v>
      </c>
      <c r="Y712" s="288">
        <v>121633</v>
      </c>
      <c r="Z712" s="288">
        <v>123287</v>
      </c>
      <c r="AA712" s="288">
        <v>121568</v>
      </c>
      <c r="AB712" s="284" t="s">
        <v>1597</v>
      </c>
      <c r="AC712" s="290">
        <v>9.7000000000000003E-3</v>
      </c>
      <c r="AE712" s="168"/>
      <c r="AF712" s="286"/>
      <c r="AG712" s="286"/>
      <c r="AH712" s="286"/>
      <c r="AI712" s="286"/>
      <c r="AJ712" s="284"/>
    </row>
    <row r="713" spans="1:36" x14ac:dyDescent="0.3">
      <c r="A713" s="167">
        <v>44419</v>
      </c>
      <c r="B713" s="171">
        <v>18.3</v>
      </c>
      <c r="C713" s="171">
        <v>18.62</v>
      </c>
      <c r="D713" s="171">
        <v>18.649999999999999</v>
      </c>
      <c r="E713" s="171">
        <v>18.25</v>
      </c>
      <c r="F713" s="171" t="s">
        <v>1596</v>
      </c>
      <c r="G713" s="283">
        <v>-2.24E-2</v>
      </c>
      <c r="I713" s="167">
        <v>44461</v>
      </c>
      <c r="J713" s="285">
        <v>3074.35</v>
      </c>
      <c r="K713" s="285">
        <v>3049.14</v>
      </c>
      <c r="L713" s="285">
        <v>3086.18</v>
      </c>
      <c r="M713" s="285">
        <v>3047.18</v>
      </c>
      <c r="N713" s="283" t="s">
        <v>1219</v>
      </c>
      <c r="P713" s="167">
        <v>44454</v>
      </c>
      <c r="Q713" s="285">
        <v>5.2218999999999998</v>
      </c>
      <c r="R713" s="285">
        <v>5.2408000000000001</v>
      </c>
      <c r="S713" s="285">
        <v>5.2721999999999998</v>
      </c>
      <c r="T713" s="285">
        <v>5.2148000000000003</v>
      </c>
      <c r="U713" s="283">
        <v>-3.3999999999999998E-3</v>
      </c>
      <c r="W713" s="167">
        <v>44413</v>
      </c>
      <c r="X713" s="287">
        <v>121633</v>
      </c>
      <c r="Y713" s="287">
        <v>121801</v>
      </c>
      <c r="Z713" s="287">
        <v>123541</v>
      </c>
      <c r="AA713" s="287">
        <v>121128</v>
      </c>
      <c r="AB713" s="283" t="s">
        <v>1595</v>
      </c>
      <c r="AC713" s="289">
        <v>-1.4E-3</v>
      </c>
      <c r="AE713" s="167"/>
      <c r="AF713" s="285"/>
      <c r="AG713" s="285"/>
      <c r="AH713" s="285"/>
      <c r="AI713" s="285"/>
      <c r="AJ713" s="283"/>
    </row>
    <row r="714" spans="1:36" x14ac:dyDescent="0.3">
      <c r="A714" s="168">
        <v>44418</v>
      </c>
      <c r="B714" s="83">
        <v>18.72</v>
      </c>
      <c r="C714" s="83">
        <v>17.7</v>
      </c>
      <c r="D714" s="83">
        <v>18.78</v>
      </c>
      <c r="E714" s="83">
        <v>17.7</v>
      </c>
      <c r="F714" s="83" t="s">
        <v>1594</v>
      </c>
      <c r="G714" s="284">
        <v>6.4799999999999996E-2</v>
      </c>
      <c r="I714" s="168">
        <v>44460</v>
      </c>
      <c r="J714" s="286">
        <v>3049.68</v>
      </c>
      <c r="K714" s="286">
        <v>3044.93</v>
      </c>
      <c r="L714" s="286">
        <v>3070.99</v>
      </c>
      <c r="M714" s="286">
        <v>3041.49</v>
      </c>
      <c r="N714" s="284" t="s">
        <v>1270</v>
      </c>
      <c r="P714" s="168">
        <v>44453</v>
      </c>
      <c r="Q714" s="286">
        <v>5.2397999999999998</v>
      </c>
      <c r="R714" s="286">
        <v>5.2393000000000001</v>
      </c>
      <c r="S714" s="286">
        <v>5.2641999999999998</v>
      </c>
      <c r="T714" s="286">
        <v>5.1980000000000004</v>
      </c>
      <c r="U714" s="284">
        <v>4.8999999999999998E-3</v>
      </c>
      <c r="W714" s="168">
        <v>44412</v>
      </c>
      <c r="X714" s="288">
        <v>121801</v>
      </c>
      <c r="Y714" s="288">
        <v>123577</v>
      </c>
      <c r="Z714" s="288">
        <v>123587</v>
      </c>
      <c r="AA714" s="288">
        <v>121072</v>
      </c>
      <c r="AB714" s="284" t="s">
        <v>1533</v>
      </c>
      <c r="AC714" s="290">
        <v>-1.44E-2</v>
      </c>
      <c r="AE714" s="168"/>
      <c r="AF714" s="286"/>
      <c r="AG714" s="286"/>
      <c r="AH714" s="286"/>
      <c r="AI714" s="286"/>
      <c r="AJ714" s="284"/>
    </row>
    <row r="715" spans="1:36" x14ac:dyDescent="0.3">
      <c r="A715" s="167">
        <v>44417</v>
      </c>
      <c r="B715" s="171">
        <v>17.579999999999998</v>
      </c>
      <c r="C715" s="171">
        <v>17.18</v>
      </c>
      <c r="D715" s="171">
        <v>17.75</v>
      </c>
      <c r="E715" s="171">
        <v>16.809999999999999</v>
      </c>
      <c r="F715" s="171" t="s">
        <v>1593</v>
      </c>
      <c r="G715" s="283">
        <v>6.3E-3</v>
      </c>
      <c r="I715" s="167">
        <v>44459</v>
      </c>
      <c r="J715" s="285">
        <v>3046.2</v>
      </c>
      <c r="K715" s="285">
        <v>3095.74</v>
      </c>
      <c r="L715" s="285">
        <v>3095.74</v>
      </c>
      <c r="M715" s="285">
        <v>3020.61</v>
      </c>
      <c r="N715" s="283" t="s">
        <v>1592</v>
      </c>
      <c r="P715" s="167">
        <v>44452</v>
      </c>
      <c r="Q715" s="285">
        <v>5.2144000000000004</v>
      </c>
      <c r="R715" s="285">
        <v>5.2489999999999997</v>
      </c>
      <c r="S715" s="285">
        <v>5.2659000000000002</v>
      </c>
      <c r="T715" s="285">
        <v>5.2008000000000001</v>
      </c>
      <c r="U715" s="283">
        <v>-5.8999999999999999E-3</v>
      </c>
      <c r="W715" s="167">
        <v>44411</v>
      </c>
      <c r="X715" s="287">
        <v>123577</v>
      </c>
      <c r="Y715" s="287">
        <v>122516</v>
      </c>
      <c r="Z715" s="287">
        <v>123765</v>
      </c>
      <c r="AA715" s="287">
        <v>120807</v>
      </c>
      <c r="AB715" s="283" t="s">
        <v>1263</v>
      </c>
      <c r="AC715" s="289">
        <v>8.6999999999999994E-3</v>
      </c>
      <c r="AE715" s="167"/>
      <c r="AF715" s="285"/>
      <c r="AG715" s="285"/>
      <c r="AH715" s="285"/>
      <c r="AI715" s="285"/>
      <c r="AJ715" s="283"/>
    </row>
    <row r="716" spans="1:36" x14ac:dyDescent="0.3">
      <c r="A716" s="168">
        <v>44414</v>
      </c>
      <c r="B716" s="83">
        <v>17.47</v>
      </c>
      <c r="C716" s="83">
        <v>17.36</v>
      </c>
      <c r="D716" s="83">
        <v>17.670000000000002</v>
      </c>
      <c r="E716" s="83">
        <v>17.09</v>
      </c>
      <c r="F716" s="83" t="s">
        <v>1372</v>
      </c>
      <c r="G716" s="284">
        <v>1.1599999999999999E-2</v>
      </c>
      <c r="I716" s="168">
        <v>44456</v>
      </c>
      <c r="J716" s="286">
        <v>3096.61</v>
      </c>
      <c r="K716" s="286">
        <v>3123.06</v>
      </c>
      <c r="L716" s="286">
        <v>3128.62</v>
      </c>
      <c r="M716" s="286">
        <v>3093.43</v>
      </c>
      <c r="N716" s="284" t="s">
        <v>1356</v>
      </c>
      <c r="P716" s="168">
        <v>44449</v>
      </c>
      <c r="Q716" s="286">
        <v>5.2454000000000001</v>
      </c>
      <c r="R716" s="286">
        <v>5.1677</v>
      </c>
      <c r="S716" s="286">
        <v>5.2712000000000003</v>
      </c>
      <c r="T716" s="286">
        <v>5.1637000000000004</v>
      </c>
      <c r="U716" s="284">
        <v>9.1999999999999998E-3</v>
      </c>
      <c r="W716" s="168">
        <v>44410</v>
      </c>
      <c r="X716" s="288">
        <v>122516</v>
      </c>
      <c r="Y716" s="288">
        <v>121803</v>
      </c>
      <c r="Z716" s="288">
        <v>124536</v>
      </c>
      <c r="AA716" s="288">
        <v>121797</v>
      </c>
      <c r="AB716" s="284" t="s">
        <v>1275</v>
      </c>
      <c r="AC716" s="290">
        <v>5.8999999999999999E-3</v>
      </c>
      <c r="AE716" s="168"/>
      <c r="AF716" s="286"/>
      <c r="AG716" s="286"/>
      <c r="AH716" s="286"/>
      <c r="AI716" s="286"/>
      <c r="AJ716" s="284"/>
    </row>
    <row r="717" spans="1:36" x14ac:dyDescent="0.3">
      <c r="A717" s="167">
        <v>44413</v>
      </c>
      <c r="B717" s="171">
        <v>17.27</v>
      </c>
      <c r="C717" s="171">
        <v>17.7</v>
      </c>
      <c r="D717" s="171">
        <v>18.22</v>
      </c>
      <c r="E717" s="171">
        <v>17.25</v>
      </c>
      <c r="F717" s="171" t="s">
        <v>1591</v>
      </c>
      <c r="G717" s="283">
        <v>-1.6999999999999999E-3</v>
      </c>
      <c r="I717" s="167">
        <v>44455</v>
      </c>
      <c r="J717" s="285">
        <v>3122.57</v>
      </c>
      <c r="K717" s="285">
        <v>3128.46</v>
      </c>
      <c r="L717" s="285">
        <v>3129.38</v>
      </c>
      <c r="M717" s="285">
        <v>3108.43</v>
      </c>
      <c r="N717" s="283" t="s">
        <v>1324</v>
      </c>
      <c r="P717" s="167">
        <v>44448</v>
      </c>
      <c r="Q717" s="285">
        <v>5.1976000000000004</v>
      </c>
      <c r="R717" s="285">
        <v>5.3251999999999997</v>
      </c>
      <c r="S717" s="285">
        <v>5.3346999999999998</v>
      </c>
      <c r="T717" s="285">
        <v>5.1929999999999996</v>
      </c>
      <c r="U717" s="283">
        <v>-2.3300000000000001E-2</v>
      </c>
      <c r="W717" s="167">
        <v>44407</v>
      </c>
      <c r="X717" s="287">
        <v>121801</v>
      </c>
      <c r="Y717" s="287">
        <v>125672</v>
      </c>
      <c r="Z717" s="287">
        <v>125673</v>
      </c>
      <c r="AA717" s="287">
        <v>121748</v>
      </c>
      <c r="AB717" s="283" t="s">
        <v>1590</v>
      </c>
      <c r="AC717" s="289">
        <v>-3.0800000000000001E-2</v>
      </c>
      <c r="AE717" s="167"/>
      <c r="AF717" s="285"/>
      <c r="AG717" s="285"/>
      <c r="AH717" s="285"/>
      <c r="AI717" s="285"/>
      <c r="AJ717" s="283"/>
    </row>
    <row r="718" spans="1:36" x14ac:dyDescent="0.3">
      <c r="A718" s="168">
        <v>44412</v>
      </c>
      <c r="B718" s="83">
        <v>17.3</v>
      </c>
      <c r="C718" s="83">
        <v>17.7</v>
      </c>
      <c r="D718" s="83">
        <v>17.7</v>
      </c>
      <c r="E718" s="83">
        <v>17.21</v>
      </c>
      <c r="F718" s="83" t="s">
        <v>1589</v>
      </c>
      <c r="G718" s="284">
        <v>-3.3500000000000002E-2</v>
      </c>
      <c r="I718" s="168">
        <v>44454</v>
      </c>
      <c r="J718" s="286">
        <v>3127.71</v>
      </c>
      <c r="K718" s="286">
        <v>3113.16</v>
      </c>
      <c r="L718" s="286">
        <v>3130.65</v>
      </c>
      <c r="M718" s="286">
        <v>3107.8</v>
      </c>
      <c r="N718" s="284" t="s">
        <v>1588</v>
      </c>
      <c r="P718" s="168">
        <v>44447</v>
      </c>
      <c r="Q718" s="286">
        <v>5.3213999999999997</v>
      </c>
      <c r="R718" s="286">
        <v>5.2016</v>
      </c>
      <c r="S718" s="286">
        <v>5.3343999999999996</v>
      </c>
      <c r="T718" s="286">
        <v>5.1955</v>
      </c>
      <c r="U718" s="284">
        <v>2.9399999999999999E-2</v>
      </c>
      <c r="W718" s="168">
        <v>44406</v>
      </c>
      <c r="X718" s="288">
        <v>125675</v>
      </c>
      <c r="Y718" s="288">
        <v>126285</v>
      </c>
      <c r="Z718" s="288">
        <v>126476</v>
      </c>
      <c r="AA718" s="288">
        <v>124917</v>
      </c>
      <c r="AB718" s="284" t="s">
        <v>1587</v>
      </c>
      <c r="AC718" s="290">
        <v>-4.7999999999999996E-3</v>
      </c>
      <c r="AE718" s="168"/>
      <c r="AF718" s="286"/>
      <c r="AG718" s="286"/>
      <c r="AH718" s="286"/>
      <c r="AI718" s="286"/>
      <c r="AJ718" s="284"/>
    </row>
    <row r="719" spans="1:36" x14ac:dyDescent="0.3">
      <c r="A719" s="167">
        <v>44411</v>
      </c>
      <c r="B719" s="171">
        <v>17.899999999999999</v>
      </c>
      <c r="C719" s="171">
        <v>17.61</v>
      </c>
      <c r="D719" s="171">
        <v>18</v>
      </c>
      <c r="E719" s="171">
        <v>17.170000000000002</v>
      </c>
      <c r="F719" s="171" t="s">
        <v>1504</v>
      </c>
      <c r="G719" s="283">
        <v>1.7600000000000001E-2</v>
      </c>
      <c r="I719" s="167">
        <v>44453</v>
      </c>
      <c r="J719" s="285">
        <v>3116.08</v>
      </c>
      <c r="K719" s="285">
        <v>3126.4</v>
      </c>
      <c r="L719" s="285">
        <v>3138.88</v>
      </c>
      <c r="M719" s="285">
        <v>3111.43</v>
      </c>
      <c r="N719" s="283" t="s">
        <v>1586</v>
      </c>
      <c r="P719" s="167">
        <v>44446</v>
      </c>
      <c r="Q719" s="285">
        <v>5.1692</v>
      </c>
      <c r="R719" s="285">
        <v>5.1704999999999997</v>
      </c>
      <c r="S719" s="285">
        <v>5.1707999999999998</v>
      </c>
      <c r="T719" s="285">
        <v>5.1703999999999999</v>
      </c>
      <c r="U719" s="283">
        <v>0</v>
      </c>
      <c r="W719" s="167">
        <v>44405</v>
      </c>
      <c r="X719" s="287">
        <v>126286</v>
      </c>
      <c r="Y719" s="287">
        <v>124615</v>
      </c>
      <c r="Z719" s="287">
        <v>126712</v>
      </c>
      <c r="AA719" s="287">
        <v>124542</v>
      </c>
      <c r="AB719" s="283" t="s">
        <v>1585</v>
      </c>
      <c r="AC719" s="289">
        <v>1.34E-2</v>
      </c>
      <c r="AE719" s="167"/>
      <c r="AF719" s="285"/>
      <c r="AG719" s="285"/>
      <c r="AH719" s="285"/>
      <c r="AI719" s="285"/>
      <c r="AJ719" s="283"/>
    </row>
    <row r="720" spans="1:36" x14ac:dyDescent="0.3">
      <c r="A720" s="168">
        <v>44410</v>
      </c>
      <c r="B720" s="83">
        <v>17.59</v>
      </c>
      <c r="C720" s="83">
        <v>18.059999999999999</v>
      </c>
      <c r="D720" s="83">
        <v>18.350000000000001</v>
      </c>
      <c r="E720" s="83">
        <v>17.59</v>
      </c>
      <c r="F720" s="83" t="s">
        <v>1584</v>
      </c>
      <c r="G720" s="284">
        <v>-1.46E-2</v>
      </c>
      <c r="I720" s="168">
        <v>44452</v>
      </c>
      <c r="J720" s="286">
        <v>3126.1</v>
      </c>
      <c r="K720" s="286">
        <v>3119.75</v>
      </c>
      <c r="L720" s="286">
        <v>3139.85</v>
      </c>
      <c r="M720" s="286">
        <v>3114.46</v>
      </c>
      <c r="N720" s="284" t="s">
        <v>1227</v>
      </c>
      <c r="P720" s="168">
        <v>44445</v>
      </c>
      <c r="Q720" s="286">
        <v>5.1692999999999998</v>
      </c>
      <c r="R720" s="286">
        <v>5.1920000000000002</v>
      </c>
      <c r="S720" s="286">
        <v>5.2126000000000001</v>
      </c>
      <c r="T720" s="286">
        <v>5.1547000000000001</v>
      </c>
      <c r="U720" s="284">
        <v>-4.1000000000000003E-3</v>
      </c>
      <c r="W720" s="168">
        <v>44404</v>
      </c>
      <c r="X720" s="288">
        <v>124612</v>
      </c>
      <c r="Y720" s="288">
        <v>126004</v>
      </c>
      <c r="Z720" s="288">
        <v>126026</v>
      </c>
      <c r="AA720" s="288">
        <v>123670</v>
      </c>
      <c r="AB720" s="284" t="s">
        <v>1583</v>
      </c>
      <c r="AC720" s="290">
        <v>-1.0999999999999999E-2</v>
      </c>
      <c r="AE720" s="168"/>
      <c r="AF720" s="286"/>
      <c r="AG720" s="286"/>
      <c r="AH720" s="286"/>
      <c r="AI720" s="286"/>
      <c r="AJ720" s="284"/>
    </row>
    <row r="721" spans="1:36" x14ac:dyDescent="0.3">
      <c r="A721" s="167">
        <v>44407</v>
      </c>
      <c r="B721" s="171">
        <v>17.850000000000001</v>
      </c>
      <c r="C721" s="171">
        <v>18.2</v>
      </c>
      <c r="D721" s="171">
        <v>18.28</v>
      </c>
      <c r="E721" s="171">
        <v>17.559999999999999</v>
      </c>
      <c r="F721" s="171" t="s">
        <v>1582</v>
      </c>
      <c r="G721" s="283">
        <v>-2.8799999999999999E-2</v>
      </c>
      <c r="I721" s="167">
        <v>44449</v>
      </c>
      <c r="J721" s="285">
        <v>3122.07</v>
      </c>
      <c r="K721" s="285">
        <v>3136.58</v>
      </c>
      <c r="L721" s="285">
        <v>3154.81</v>
      </c>
      <c r="M721" s="285">
        <v>3120</v>
      </c>
      <c r="N721" s="283" t="s">
        <v>1581</v>
      </c>
      <c r="P721" s="167">
        <v>44442</v>
      </c>
      <c r="Q721" s="285">
        <v>5.1908000000000003</v>
      </c>
      <c r="R721" s="285">
        <v>5.1829999999999998</v>
      </c>
      <c r="S721" s="285">
        <v>5.2016999999999998</v>
      </c>
      <c r="T721" s="285">
        <v>5.1310000000000002</v>
      </c>
      <c r="U721" s="283">
        <v>1.6999999999999999E-3</v>
      </c>
      <c r="W721" s="167">
        <v>44403</v>
      </c>
      <c r="X721" s="287">
        <v>126004</v>
      </c>
      <c r="Y721" s="287">
        <v>125058</v>
      </c>
      <c r="Z721" s="287">
        <v>126214</v>
      </c>
      <c r="AA721" s="287">
        <v>125006</v>
      </c>
      <c r="AB721" s="283" t="s">
        <v>1580</v>
      </c>
      <c r="AC721" s="289">
        <v>7.6E-3</v>
      </c>
      <c r="AE721" s="167"/>
      <c r="AF721" s="285"/>
      <c r="AG721" s="285"/>
      <c r="AH721" s="285"/>
      <c r="AI721" s="285"/>
      <c r="AJ721" s="283"/>
    </row>
    <row r="722" spans="1:36" x14ac:dyDescent="0.3">
      <c r="A722" s="168">
        <v>44406</v>
      </c>
      <c r="B722" s="83">
        <v>18.38</v>
      </c>
      <c r="C722" s="83">
        <v>18.149999999999999</v>
      </c>
      <c r="D722" s="83">
        <v>18.54</v>
      </c>
      <c r="E722" s="83">
        <v>18.04</v>
      </c>
      <c r="F722" s="83" t="s">
        <v>1579</v>
      </c>
      <c r="G722" s="284">
        <v>2.1100000000000001E-2</v>
      </c>
      <c r="I722" s="168">
        <v>44448</v>
      </c>
      <c r="J722" s="286">
        <v>3136.04</v>
      </c>
      <c r="K722" s="286">
        <v>3146.63</v>
      </c>
      <c r="L722" s="286">
        <v>3154.99</v>
      </c>
      <c r="M722" s="286">
        <v>3136.04</v>
      </c>
      <c r="N722" s="284" t="s">
        <v>1578</v>
      </c>
      <c r="P722" s="168">
        <v>44441</v>
      </c>
      <c r="Q722" s="286">
        <v>5.1818999999999997</v>
      </c>
      <c r="R722" s="286">
        <v>5.1863999999999999</v>
      </c>
      <c r="S722" s="286">
        <v>5.2012999999999998</v>
      </c>
      <c r="T722" s="286">
        <v>5.1420000000000003</v>
      </c>
      <c r="U722" s="284">
        <v>-8.0000000000000004E-4</v>
      </c>
      <c r="W722" s="168">
        <v>44400</v>
      </c>
      <c r="X722" s="288">
        <v>125053</v>
      </c>
      <c r="Y722" s="288">
        <v>126140</v>
      </c>
      <c r="Z722" s="288">
        <v>126204</v>
      </c>
      <c r="AA722" s="288">
        <v>124422</v>
      </c>
      <c r="AB722" s="284" t="s">
        <v>1577</v>
      </c>
      <c r="AC722" s="290">
        <v>-8.6999999999999994E-3</v>
      </c>
      <c r="AE722" s="168"/>
      <c r="AF722" s="286"/>
      <c r="AG722" s="286"/>
      <c r="AH722" s="286"/>
      <c r="AI722" s="286"/>
      <c r="AJ722" s="284"/>
    </row>
    <row r="723" spans="1:36" x14ac:dyDescent="0.3">
      <c r="A723" s="167">
        <v>44405</v>
      </c>
      <c r="B723" s="171">
        <v>18</v>
      </c>
      <c r="C723" s="171">
        <v>18.12</v>
      </c>
      <c r="D723" s="171">
        <v>18.489999999999998</v>
      </c>
      <c r="E723" s="171">
        <v>17.64</v>
      </c>
      <c r="F723" s="171" t="s">
        <v>1326</v>
      </c>
      <c r="G723" s="283">
        <v>2.8E-3</v>
      </c>
      <c r="I723" s="167">
        <v>44447</v>
      </c>
      <c r="J723" s="285">
        <v>3146.96</v>
      </c>
      <c r="K723" s="285">
        <v>3157.76</v>
      </c>
      <c r="L723" s="285">
        <v>3160.38</v>
      </c>
      <c r="M723" s="285">
        <v>3136.53</v>
      </c>
      <c r="N723" s="283" t="s">
        <v>1576</v>
      </c>
      <c r="P723" s="167">
        <v>44440</v>
      </c>
      <c r="Q723" s="285">
        <v>5.1858000000000004</v>
      </c>
      <c r="R723" s="285">
        <v>5.1694000000000004</v>
      </c>
      <c r="S723" s="285">
        <v>5.1984000000000004</v>
      </c>
      <c r="T723" s="285">
        <v>5.1417000000000002</v>
      </c>
      <c r="U723" s="283">
        <v>7.1000000000000004E-3</v>
      </c>
      <c r="W723" s="167">
        <v>44399</v>
      </c>
      <c r="X723" s="287">
        <v>126147</v>
      </c>
      <c r="Y723" s="287">
        <v>125930</v>
      </c>
      <c r="Z723" s="287">
        <v>126428</v>
      </c>
      <c r="AA723" s="287">
        <v>125416</v>
      </c>
      <c r="AB723" s="283" t="s">
        <v>1575</v>
      </c>
      <c r="AC723" s="289">
        <v>1.6999999999999999E-3</v>
      </c>
      <c r="AE723" s="167"/>
      <c r="AF723" s="285"/>
      <c r="AG723" s="285"/>
      <c r="AH723" s="285"/>
      <c r="AI723" s="285"/>
      <c r="AJ723" s="283"/>
    </row>
    <row r="724" spans="1:36" x14ac:dyDescent="0.3">
      <c r="A724" s="168">
        <v>44404</v>
      </c>
      <c r="B724" s="83">
        <v>17.95</v>
      </c>
      <c r="C724" s="83">
        <v>18.7</v>
      </c>
      <c r="D724" s="83">
        <v>18.7</v>
      </c>
      <c r="E724" s="83">
        <v>17.809999999999999</v>
      </c>
      <c r="F724" s="83" t="s">
        <v>1574</v>
      </c>
      <c r="G724" s="284">
        <v>-4.2700000000000002E-2</v>
      </c>
      <c r="I724" s="168">
        <v>44446</v>
      </c>
      <c r="J724" s="286">
        <v>3158.94</v>
      </c>
      <c r="K724" s="286">
        <v>3171.7</v>
      </c>
      <c r="L724" s="286">
        <v>3174.13</v>
      </c>
      <c r="M724" s="286">
        <v>3155.92</v>
      </c>
      <c r="N724" s="284" t="s">
        <v>1573</v>
      </c>
      <c r="P724" s="168">
        <v>44439</v>
      </c>
      <c r="Q724" s="286">
        <v>5.1492000000000004</v>
      </c>
      <c r="R724" s="286">
        <v>5.1844999999999999</v>
      </c>
      <c r="S724" s="286">
        <v>5.1973000000000003</v>
      </c>
      <c r="T724" s="286">
        <v>5.1154000000000002</v>
      </c>
      <c r="U724" s="284">
        <v>-6.7000000000000002E-3</v>
      </c>
      <c r="W724" s="168">
        <v>44398</v>
      </c>
      <c r="X724" s="288">
        <v>125929</v>
      </c>
      <c r="Y724" s="288">
        <v>125404</v>
      </c>
      <c r="Z724" s="288">
        <v>126112</v>
      </c>
      <c r="AA724" s="288">
        <v>125247</v>
      </c>
      <c r="AB724" s="284" t="s">
        <v>1563</v>
      </c>
      <c r="AC724" s="290">
        <v>4.1999999999999997E-3</v>
      </c>
      <c r="AE724" s="168"/>
      <c r="AF724" s="286"/>
      <c r="AG724" s="286"/>
      <c r="AH724" s="286"/>
      <c r="AI724" s="286"/>
      <c r="AJ724" s="284"/>
    </row>
    <row r="725" spans="1:36" x14ac:dyDescent="0.3">
      <c r="A725" s="167">
        <v>44403</v>
      </c>
      <c r="B725" s="171">
        <v>18.75</v>
      </c>
      <c r="C725" s="171">
        <v>18.8</v>
      </c>
      <c r="D725" s="171">
        <v>19.170000000000002</v>
      </c>
      <c r="E725" s="171">
        <v>18.739999999999998</v>
      </c>
      <c r="F725" s="171" t="s">
        <v>1303</v>
      </c>
      <c r="G725" s="283">
        <v>-1.06E-2</v>
      </c>
      <c r="I725" s="167">
        <v>44445</v>
      </c>
      <c r="J725" s="285">
        <v>3169.64</v>
      </c>
      <c r="K725" s="285">
        <v>3165.01</v>
      </c>
      <c r="L725" s="285">
        <v>3170.85</v>
      </c>
      <c r="M725" s="285">
        <v>3164.54</v>
      </c>
      <c r="N725" s="283" t="s">
        <v>1572</v>
      </c>
      <c r="P725" s="167">
        <v>44438</v>
      </c>
      <c r="Q725" s="285">
        <v>5.1840000000000002</v>
      </c>
      <c r="R725" s="285">
        <v>5.1999000000000004</v>
      </c>
      <c r="S725" s="285">
        <v>5.2266000000000004</v>
      </c>
      <c r="T725" s="285">
        <v>5.1817000000000002</v>
      </c>
      <c r="U725" s="283">
        <v>-3.0000000000000001E-3</v>
      </c>
      <c r="W725" s="167">
        <v>44397</v>
      </c>
      <c r="X725" s="287">
        <v>125401</v>
      </c>
      <c r="Y725" s="287">
        <v>124395</v>
      </c>
      <c r="Z725" s="287">
        <v>125631</v>
      </c>
      <c r="AA725" s="287">
        <v>123631</v>
      </c>
      <c r="AB725" s="283" t="s">
        <v>1571</v>
      </c>
      <c r="AC725" s="289">
        <v>8.0999999999999996E-3</v>
      </c>
      <c r="AE725" s="167"/>
      <c r="AF725" s="285"/>
      <c r="AG725" s="285"/>
      <c r="AH725" s="285"/>
      <c r="AI725" s="285"/>
      <c r="AJ725" s="283"/>
    </row>
    <row r="726" spans="1:36" x14ac:dyDescent="0.3">
      <c r="A726" s="168">
        <v>44400</v>
      </c>
      <c r="B726" s="83">
        <v>18.95</v>
      </c>
      <c r="C726" s="83">
        <v>19</v>
      </c>
      <c r="D726" s="83">
        <v>19.07</v>
      </c>
      <c r="E726" s="83">
        <v>18.72</v>
      </c>
      <c r="F726" s="83" t="s">
        <v>1439</v>
      </c>
      <c r="G726" s="284">
        <v>-5.7999999999999996E-3</v>
      </c>
      <c r="I726" s="168">
        <v>44442</v>
      </c>
      <c r="J726" s="286">
        <v>3163.99</v>
      </c>
      <c r="K726" s="286">
        <v>3162.12</v>
      </c>
      <c r="L726" s="286">
        <v>3167.17</v>
      </c>
      <c r="M726" s="286">
        <v>3154.95</v>
      </c>
      <c r="N726" s="284" t="s">
        <v>1221</v>
      </c>
      <c r="P726" s="168">
        <v>44435</v>
      </c>
      <c r="Q726" s="286">
        <v>5.1996000000000002</v>
      </c>
      <c r="R726" s="286">
        <v>5.2576999999999998</v>
      </c>
      <c r="S726" s="286">
        <v>5.2614999999999998</v>
      </c>
      <c r="T726" s="286">
        <v>5.1868999999999996</v>
      </c>
      <c r="U726" s="284">
        <v>-0.01</v>
      </c>
      <c r="W726" s="168">
        <v>44396</v>
      </c>
      <c r="X726" s="288">
        <v>124395</v>
      </c>
      <c r="Y726" s="288">
        <v>125958</v>
      </c>
      <c r="Z726" s="288">
        <v>125958</v>
      </c>
      <c r="AA726" s="288">
        <v>123317</v>
      </c>
      <c r="AB726" s="284" t="s">
        <v>1566</v>
      </c>
      <c r="AC726" s="290">
        <v>-1.24E-2</v>
      </c>
      <c r="AE726" s="168"/>
      <c r="AF726" s="286"/>
      <c r="AG726" s="286"/>
      <c r="AH726" s="286"/>
      <c r="AI726" s="286"/>
      <c r="AJ726" s="284"/>
    </row>
    <row r="727" spans="1:36" x14ac:dyDescent="0.3">
      <c r="A727" s="167">
        <v>44399</v>
      </c>
      <c r="B727" s="171">
        <v>19.059999999999999</v>
      </c>
      <c r="C727" s="171">
        <v>18.93</v>
      </c>
      <c r="D727" s="171">
        <v>19.11</v>
      </c>
      <c r="E727" s="171">
        <v>18.68</v>
      </c>
      <c r="F727" s="171" t="s">
        <v>1570</v>
      </c>
      <c r="G727" s="283">
        <v>3.2000000000000002E-3</v>
      </c>
      <c r="I727" s="167">
        <v>44441</v>
      </c>
      <c r="J727" s="285">
        <v>3161.46</v>
      </c>
      <c r="K727" s="285">
        <v>3150.63</v>
      </c>
      <c r="L727" s="285">
        <v>3164.34</v>
      </c>
      <c r="M727" s="285">
        <v>3149.33</v>
      </c>
      <c r="N727" s="283" t="s">
        <v>1569</v>
      </c>
      <c r="P727" s="167">
        <v>44434</v>
      </c>
      <c r="Q727" s="285">
        <v>5.2522000000000002</v>
      </c>
      <c r="R727" s="285">
        <v>5.2096999999999998</v>
      </c>
      <c r="S727" s="285">
        <v>5.2675999999999998</v>
      </c>
      <c r="T727" s="285">
        <v>5.2096999999999998</v>
      </c>
      <c r="U727" s="283">
        <v>7.7999999999999996E-3</v>
      </c>
      <c r="W727" s="167">
        <v>44393</v>
      </c>
      <c r="X727" s="287">
        <v>125960</v>
      </c>
      <c r="Y727" s="287">
        <v>127468</v>
      </c>
      <c r="Z727" s="287">
        <v>128010</v>
      </c>
      <c r="AA727" s="287">
        <v>125808</v>
      </c>
      <c r="AB727" s="283" t="s">
        <v>1568</v>
      </c>
      <c r="AC727" s="289">
        <v>-1.18E-2</v>
      </c>
      <c r="AE727" s="167"/>
      <c r="AF727" s="285"/>
      <c r="AG727" s="285"/>
      <c r="AH727" s="285"/>
      <c r="AI727" s="285"/>
      <c r="AJ727" s="283"/>
    </row>
    <row r="728" spans="1:36" x14ac:dyDescent="0.3">
      <c r="A728" s="168">
        <v>44398</v>
      </c>
      <c r="B728" s="83">
        <v>19</v>
      </c>
      <c r="C728" s="83">
        <v>19.010000000000002</v>
      </c>
      <c r="D728" s="83">
        <v>19.23</v>
      </c>
      <c r="E728" s="83">
        <v>18.829999999999998</v>
      </c>
      <c r="F728" s="83" t="s">
        <v>1567</v>
      </c>
      <c r="G728" s="284">
        <v>1.06E-2</v>
      </c>
      <c r="I728" s="168">
        <v>44440</v>
      </c>
      <c r="J728" s="286">
        <v>3151.66</v>
      </c>
      <c r="K728" s="286">
        <v>3141.95</v>
      </c>
      <c r="L728" s="286">
        <v>3160.6</v>
      </c>
      <c r="M728" s="286">
        <v>3141.16</v>
      </c>
      <c r="N728" s="284" t="s">
        <v>1502</v>
      </c>
      <c r="P728" s="168">
        <v>44433</v>
      </c>
      <c r="Q728" s="286">
        <v>5.2117000000000004</v>
      </c>
      <c r="R728" s="286">
        <v>5.2481999999999998</v>
      </c>
      <c r="S728" s="286">
        <v>5.2709000000000001</v>
      </c>
      <c r="T728" s="286">
        <v>5.2058</v>
      </c>
      <c r="U728" s="284">
        <v>-6.6E-3</v>
      </c>
      <c r="W728" s="168">
        <v>44392</v>
      </c>
      <c r="X728" s="288">
        <v>127468</v>
      </c>
      <c r="Y728" s="288">
        <v>128407</v>
      </c>
      <c r="Z728" s="288">
        <v>128976</v>
      </c>
      <c r="AA728" s="288">
        <v>126922</v>
      </c>
      <c r="AB728" s="284" t="s">
        <v>1560</v>
      </c>
      <c r="AC728" s="290">
        <v>-7.3000000000000001E-3</v>
      </c>
      <c r="AE728" s="168"/>
      <c r="AF728" s="286"/>
      <c r="AG728" s="286"/>
      <c r="AH728" s="286"/>
      <c r="AI728" s="286"/>
      <c r="AJ728" s="284"/>
    </row>
    <row r="729" spans="1:36" x14ac:dyDescent="0.3">
      <c r="A729" s="167">
        <v>44397</v>
      </c>
      <c r="B729" s="171">
        <v>18.8</v>
      </c>
      <c r="C729" s="171">
        <v>18.27</v>
      </c>
      <c r="D729" s="171">
        <v>18.809999999999999</v>
      </c>
      <c r="E729" s="171">
        <v>17.95</v>
      </c>
      <c r="F729" s="171" t="s">
        <v>1283</v>
      </c>
      <c r="G729" s="283">
        <v>3.3000000000000002E-2</v>
      </c>
      <c r="I729" s="167">
        <v>44439</v>
      </c>
      <c r="J729" s="285">
        <v>3141.35</v>
      </c>
      <c r="K729" s="285">
        <v>3145.48</v>
      </c>
      <c r="L729" s="285">
        <v>3151.34</v>
      </c>
      <c r="M729" s="285">
        <v>3139.52</v>
      </c>
      <c r="N729" s="283" t="s">
        <v>1430</v>
      </c>
      <c r="P729" s="167">
        <v>44432</v>
      </c>
      <c r="Q729" s="285">
        <v>5.2462999999999997</v>
      </c>
      <c r="R729" s="285">
        <v>5.3800999999999997</v>
      </c>
      <c r="S729" s="285">
        <v>5.3827999999999996</v>
      </c>
      <c r="T729" s="285">
        <v>5.2451999999999996</v>
      </c>
      <c r="U729" s="283">
        <v>-2.4899999999999999E-2</v>
      </c>
      <c r="W729" s="167">
        <v>44391</v>
      </c>
      <c r="X729" s="287">
        <v>128407</v>
      </c>
      <c r="Y729" s="287">
        <v>128169</v>
      </c>
      <c r="Z729" s="287">
        <v>129620</v>
      </c>
      <c r="AA729" s="287">
        <v>128085</v>
      </c>
      <c r="AB729" s="283" t="s">
        <v>1566</v>
      </c>
      <c r="AC729" s="289">
        <v>1.9E-3</v>
      </c>
      <c r="AE729" s="167"/>
      <c r="AF729" s="285"/>
      <c r="AG729" s="285"/>
      <c r="AH729" s="285"/>
      <c r="AI729" s="285"/>
      <c r="AJ729" s="283"/>
    </row>
    <row r="730" spans="1:36" x14ac:dyDescent="0.3">
      <c r="A730" s="168">
        <v>44396</v>
      </c>
      <c r="B730" s="83">
        <v>18.2</v>
      </c>
      <c r="C730" s="83">
        <v>18.39</v>
      </c>
      <c r="D730" s="83">
        <v>18.39</v>
      </c>
      <c r="E730" s="83">
        <v>17.760000000000002</v>
      </c>
      <c r="F730" s="83" t="s">
        <v>1565</v>
      </c>
      <c r="G730" s="284">
        <v>-3.4500000000000003E-2</v>
      </c>
      <c r="I730" s="168">
        <v>44438</v>
      </c>
      <c r="J730" s="286">
        <v>3146.63</v>
      </c>
      <c r="K730" s="286">
        <v>3136.41</v>
      </c>
      <c r="L730" s="286">
        <v>3150.82</v>
      </c>
      <c r="M730" s="286">
        <v>3135.69</v>
      </c>
      <c r="N730" s="284" t="s">
        <v>1564</v>
      </c>
      <c r="P730" s="168">
        <v>44431</v>
      </c>
      <c r="Q730" s="286">
        <v>5.3802000000000003</v>
      </c>
      <c r="R730" s="286">
        <v>5.3795000000000002</v>
      </c>
      <c r="S730" s="286">
        <v>5.4023000000000003</v>
      </c>
      <c r="T730" s="286">
        <v>5.3440000000000003</v>
      </c>
      <c r="U730" s="284">
        <v>5.9999999999999995E-4</v>
      </c>
      <c r="W730" s="168">
        <v>44390</v>
      </c>
      <c r="X730" s="288">
        <v>128168</v>
      </c>
      <c r="Y730" s="288">
        <v>127594</v>
      </c>
      <c r="Z730" s="288">
        <v>128420</v>
      </c>
      <c r="AA730" s="288">
        <v>126441</v>
      </c>
      <c r="AB730" s="284" t="s">
        <v>1563</v>
      </c>
      <c r="AC730" s="290">
        <v>4.4999999999999997E-3</v>
      </c>
      <c r="AE730" s="168"/>
      <c r="AF730" s="286"/>
      <c r="AG730" s="286"/>
      <c r="AH730" s="286"/>
      <c r="AI730" s="286"/>
      <c r="AJ730" s="284"/>
    </row>
    <row r="731" spans="1:36" x14ac:dyDescent="0.3">
      <c r="A731" s="167">
        <v>44393</v>
      </c>
      <c r="B731" s="171">
        <v>18.850000000000001</v>
      </c>
      <c r="C731" s="171">
        <v>19.100000000000001</v>
      </c>
      <c r="D731" s="171">
        <v>19.16</v>
      </c>
      <c r="E731" s="171">
        <v>18.739999999999998</v>
      </c>
      <c r="F731" s="171" t="s">
        <v>1562</v>
      </c>
      <c r="G731" s="283">
        <v>-5.3E-3</v>
      </c>
      <c r="I731" s="167">
        <v>44435</v>
      </c>
      <c r="J731" s="285">
        <v>3133.67</v>
      </c>
      <c r="K731" s="285">
        <v>3108.8</v>
      </c>
      <c r="L731" s="285">
        <v>3136.85</v>
      </c>
      <c r="M731" s="285">
        <v>3107.25</v>
      </c>
      <c r="N731" s="283" t="s">
        <v>1561</v>
      </c>
      <c r="P731" s="167">
        <v>44428</v>
      </c>
      <c r="Q731" s="285">
        <v>5.3769999999999998</v>
      </c>
      <c r="R731" s="285">
        <v>5.4154999999999998</v>
      </c>
      <c r="S731" s="285">
        <v>5.4756999999999998</v>
      </c>
      <c r="T731" s="285">
        <v>5.3655999999999997</v>
      </c>
      <c r="U731" s="283">
        <v>-6.8999999999999999E-3</v>
      </c>
      <c r="W731" s="167">
        <v>44389</v>
      </c>
      <c r="X731" s="287">
        <v>127594</v>
      </c>
      <c r="Y731" s="287">
        <v>125428</v>
      </c>
      <c r="Z731" s="287">
        <v>127782</v>
      </c>
      <c r="AA731" s="287">
        <v>125428</v>
      </c>
      <c r="AB731" s="283" t="s">
        <v>1560</v>
      </c>
      <c r="AC731" s="289">
        <v>1.7299999999999999E-2</v>
      </c>
      <c r="AE731" s="167"/>
      <c r="AF731" s="285"/>
      <c r="AG731" s="285"/>
      <c r="AH731" s="285"/>
      <c r="AI731" s="285"/>
      <c r="AJ731" s="283"/>
    </row>
    <row r="732" spans="1:36" x14ac:dyDescent="0.3">
      <c r="A732" s="168">
        <v>44392</v>
      </c>
      <c r="B732" s="83">
        <v>18.95</v>
      </c>
      <c r="C732" s="83">
        <v>19.39</v>
      </c>
      <c r="D732" s="83">
        <v>19.52</v>
      </c>
      <c r="E732" s="83">
        <v>18.87</v>
      </c>
      <c r="F732" s="83" t="s">
        <v>1559</v>
      </c>
      <c r="G732" s="284">
        <v>-2.07E-2</v>
      </c>
      <c r="I732" s="168">
        <v>44434</v>
      </c>
      <c r="J732" s="286">
        <v>3110.27</v>
      </c>
      <c r="K732" s="286">
        <v>3127.85</v>
      </c>
      <c r="L732" s="286">
        <v>3127.98</v>
      </c>
      <c r="M732" s="286">
        <v>3109.18</v>
      </c>
      <c r="N732" s="284" t="s">
        <v>1558</v>
      </c>
      <c r="P732" s="168">
        <v>44427</v>
      </c>
      <c r="Q732" s="286">
        <v>5.4142000000000001</v>
      </c>
      <c r="R732" s="286">
        <v>5.4187000000000003</v>
      </c>
      <c r="S732" s="286">
        <v>5.4560000000000004</v>
      </c>
      <c r="T732" s="286">
        <v>5.3795000000000002</v>
      </c>
      <c r="U732" s="284">
        <v>6.4999999999999997E-3</v>
      </c>
      <c r="W732" s="168">
        <v>44385</v>
      </c>
      <c r="X732" s="288">
        <v>125428</v>
      </c>
      <c r="Y732" s="288">
        <v>127013</v>
      </c>
      <c r="Z732" s="288">
        <v>127013</v>
      </c>
      <c r="AA732" s="288">
        <v>124310</v>
      </c>
      <c r="AB732" s="284" t="s">
        <v>1557</v>
      </c>
      <c r="AC732" s="290">
        <v>-1.2500000000000001E-2</v>
      </c>
      <c r="AE732" s="168"/>
      <c r="AF732" s="286"/>
      <c r="AG732" s="286"/>
      <c r="AH732" s="286"/>
      <c r="AI732" s="286"/>
      <c r="AJ732" s="284"/>
    </row>
    <row r="733" spans="1:36" x14ac:dyDescent="0.3">
      <c r="A733" s="167">
        <v>44391</v>
      </c>
      <c r="B733" s="171">
        <v>19.350000000000001</v>
      </c>
      <c r="C733" s="171">
        <v>19.75</v>
      </c>
      <c r="D733" s="171">
        <v>19.88</v>
      </c>
      <c r="E733" s="171">
        <v>19.350000000000001</v>
      </c>
      <c r="F733" s="171" t="s">
        <v>1556</v>
      </c>
      <c r="G733" s="283">
        <v>-1.12E-2</v>
      </c>
      <c r="I733" s="167">
        <v>44433</v>
      </c>
      <c r="J733" s="285">
        <v>3125.83</v>
      </c>
      <c r="K733" s="285">
        <v>3121.47</v>
      </c>
      <c r="L733" s="285">
        <v>3129.74</v>
      </c>
      <c r="M733" s="285">
        <v>3119.57</v>
      </c>
      <c r="N733" s="283" t="s">
        <v>1426</v>
      </c>
      <c r="P733" s="167">
        <v>44426</v>
      </c>
      <c r="Q733" s="285">
        <v>5.3794000000000004</v>
      </c>
      <c r="R733" s="285">
        <v>5.2839</v>
      </c>
      <c r="S733" s="285">
        <v>5.3974000000000002</v>
      </c>
      <c r="T733" s="285">
        <v>5.2625000000000002</v>
      </c>
      <c r="U733" s="283">
        <v>1.6E-2</v>
      </c>
      <c r="W733" s="167">
        <v>44384</v>
      </c>
      <c r="X733" s="287">
        <v>127019</v>
      </c>
      <c r="Y733" s="287">
        <v>125096</v>
      </c>
      <c r="Z733" s="287">
        <v>127249</v>
      </c>
      <c r="AA733" s="287">
        <v>125094</v>
      </c>
      <c r="AB733" s="283" t="s">
        <v>1555</v>
      </c>
      <c r="AC733" s="289">
        <v>1.54E-2</v>
      </c>
      <c r="AE733" s="167"/>
      <c r="AF733" s="285"/>
      <c r="AG733" s="285"/>
      <c r="AH733" s="285"/>
      <c r="AI733" s="285"/>
      <c r="AJ733" s="283"/>
    </row>
    <row r="734" spans="1:36" x14ac:dyDescent="0.3">
      <c r="A734" s="168">
        <v>44390</v>
      </c>
      <c r="B734" s="83">
        <v>19.57</v>
      </c>
      <c r="C734" s="83">
        <v>19.399999999999999</v>
      </c>
      <c r="D734" s="83">
        <v>19.649999999999999</v>
      </c>
      <c r="E734" s="83">
        <v>18.97</v>
      </c>
      <c r="F734" s="83" t="s">
        <v>1554</v>
      </c>
      <c r="G734" s="284">
        <v>6.7000000000000002E-3</v>
      </c>
      <c r="I734" s="168">
        <v>44432</v>
      </c>
      <c r="J734" s="286">
        <v>3122</v>
      </c>
      <c r="K734" s="286">
        <v>3114.11</v>
      </c>
      <c r="L734" s="286">
        <v>3124.56</v>
      </c>
      <c r="M734" s="286">
        <v>3114.04</v>
      </c>
      <c r="N734" s="284" t="s">
        <v>1537</v>
      </c>
      <c r="P734" s="168">
        <v>44425</v>
      </c>
      <c r="Q734" s="286">
        <v>5.2948000000000004</v>
      </c>
      <c r="R734" s="286">
        <v>5.282</v>
      </c>
      <c r="S734" s="286">
        <v>5.3045999999999998</v>
      </c>
      <c r="T734" s="286">
        <v>5.2358000000000002</v>
      </c>
      <c r="U734" s="284">
        <v>6.7000000000000002E-3</v>
      </c>
      <c r="W734" s="168">
        <v>44383</v>
      </c>
      <c r="X734" s="288">
        <v>125095</v>
      </c>
      <c r="Y734" s="288">
        <v>126919</v>
      </c>
      <c r="Z734" s="288">
        <v>126919</v>
      </c>
      <c r="AA734" s="288">
        <v>124866</v>
      </c>
      <c r="AB734" s="284" t="s">
        <v>1553</v>
      </c>
      <c r="AC734" s="290">
        <v>-1.44E-2</v>
      </c>
      <c r="AE734" s="168"/>
      <c r="AF734" s="286"/>
      <c r="AG734" s="286"/>
      <c r="AH734" s="286"/>
      <c r="AI734" s="286"/>
      <c r="AJ734" s="284"/>
    </row>
    <row r="735" spans="1:36" x14ac:dyDescent="0.3">
      <c r="A735" s="167">
        <v>44389</v>
      </c>
      <c r="B735" s="171">
        <v>19.440000000000001</v>
      </c>
      <c r="C735" s="171">
        <v>19.670000000000002</v>
      </c>
      <c r="D735" s="171">
        <v>19.78</v>
      </c>
      <c r="E735" s="171">
        <v>19.22</v>
      </c>
      <c r="F735" s="171" t="s">
        <v>1552</v>
      </c>
      <c r="G735" s="283">
        <v>-7.1999999999999998E-3</v>
      </c>
      <c r="I735" s="167">
        <v>44431</v>
      </c>
      <c r="J735" s="285">
        <v>3112.57</v>
      </c>
      <c r="K735" s="285">
        <v>3082.83</v>
      </c>
      <c r="L735" s="285">
        <v>3117.6</v>
      </c>
      <c r="M735" s="285">
        <v>3082.83</v>
      </c>
      <c r="N735" s="283" t="s">
        <v>1207</v>
      </c>
      <c r="P735" s="167">
        <v>44424</v>
      </c>
      <c r="Q735" s="285">
        <v>5.2595000000000001</v>
      </c>
      <c r="R735" s="285">
        <v>5.2439</v>
      </c>
      <c r="S735" s="285">
        <v>5.2971000000000004</v>
      </c>
      <c r="T735" s="285">
        <v>5.2285000000000004</v>
      </c>
      <c r="U735" s="283">
        <v>2.5000000000000001E-3</v>
      </c>
      <c r="W735" s="167">
        <v>44382</v>
      </c>
      <c r="X735" s="287">
        <v>126920</v>
      </c>
      <c r="Y735" s="287">
        <v>127622</v>
      </c>
      <c r="Z735" s="287">
        <v>127633</v>
      </c>
      <c r="AA735" s="287">
        <v>126531</v>
      </c>
      <c r="AB735" s="283" t="s">
        <v>1551</v>
      </c>
      <c r="AC735" s="289">
        <v>-5.4999999999999997E-3</v>
      </c>
      <c r="AE735" s="167"/>
      <c r="AF735" s="285"/>
      <c r="AG735" s="285"/>
      <c r="AH735" s="285"/>
      <c r="AI735" s="285"/>
      <c r="AJ735" s="283"/>
    </row>
    <row r="736" spans="1:36" x14ac:dyDescent="0.3">
      <c r="A736" s="168">
        <v>44385</v>
      </c>
      <c r="B736" s="83">
        <v>19.579999999999998</v>
      </c>
      <c r="C736" s="83">
        <v>19.45</v>
      </c>
      <c r="D736" s="83">
        <v>19.899999999999999</v>
      </c>
      <c r="E736" s="83">
        <v>19.100000000000001</v>
      </c>
      <c r="F736" s="83" t="s">
        <v>1550</v>
      </c>
      <c r="G736" s="284">
        <v>-1.3100000000000001E-2</v>
      </c>
      <c r="I736" s="168">
        <v>44428</v>
      </c>
      <c r="J736" s="286">
        <v>3080.02</v>
      </c>
      <c r="K736" s="286">
        <v>3061.97</v>
      </c>
      <c r="L736" s="286">
        <v>3082.38</v>
      </c>
      <c r="M736" s="286">
        <v>3057.18</v>
      </c>
      <c r="N736" s="284" t="s">
        <v>1381</v>
      </c>
      <c r="P736" s="168">
        <v>44421</v>
      </c>
      <c r="Q736" s="286">
        <v>5.2465999999999999</v>
      </c>
      <c r="R736" s="286">
        <v>5.2531999999999996</v>
      </c>
      <c r="S736" s="286">
        <v>5.2816000000000001</v>
      </c>
      <c r="T736" s="286">
        <v>5.2198000000000002</v>
      </c>
      <c r="U736" s="284">
        <v>-1.1000000000000001E-3</v>
      </c>
      <c r="W736" s="168">
        <v>44379</v>
      </c>
      <c r="X736" s="288">
        <v>127622</v>
      </c>
      <c r="Y736" s="288">
        <v>125667</v>
      </c>
      <c r="Z736" s="288">
        <v>127672</v>
      </c>
      <c r="AA736" s="288">
        <v>125667</v>
      </c>
      <c r="AB736" s="284" t="s">
        <v>1549</v>
      </c>
      <c r="AC736" s="290">
        <v>1.5599999999999999E-2</v>
      </c>
      <c r="AE736" s="168"/>
      <c r="AF736" s="286"/>
      <c r="AG736" s="286"/>
      <c r="AH736" s="286"/>
      <c r="AI736" s="286"/>
      <c r="AJ736" s="284"/>
    </row>
    <row r="737" spans="1:36" x14ac:dyDescent="0.3">
      <c r="A737" s="167">
        <v>44384</v>
      </c>
      <c r="B737" s="171">
        <v>19.84</v>
      </c>
      <c r="C737" s="171">
        <v>20.62</v>
      </c>
      <c r="D737" s="171">
        <v>20.7</v>
      </c>
      <c r="E737" s="171">
        <v>19.55</v>
      </c>
      <c r="F737" s="171" t="s">
        <v>1548</v>
      </c>
      <c r="G737" s="283">
        <v>-1.9800000000000002E-2</v>
      </c>
      <c r="I737" s="167">
        <v>44427</v>
      </c>
      <c r="J737" s="285">
        <v>3063.22</v>
      </c>
      <c r="K737" s="285">
        <v>3075.83</v>
      </c>
      <c r="L737" s="285">
        <v>3076.04</v>
      </c>
      <c r="M737" s="285">
        <v>3047.6</v>
      </c>
      <c r="N737" s="283" t="s">
        <v>1547</v>
      </c>
      <c r="P737" s="167">
        <v>44420</v>
      </c>
      <c r="Q737" s="285">
        <v>5.2523999999999997</v>
      </c>
      <c r="R737" s="285">
        <v>5.2192999999999996</v>
      </c>
      <c r="S737" s="285">
        <v>5.2618</v>
      </c>
      <c r="T737" s="285">
        <v>5.2088999999999999</v>
      </c>
      <c r="U737" s="283">
        <v>6.4999999999999997E-3</v>
      </c>
      <c r="W737" s="167">
        <v>44378</v>
      </c>
      <c r="X737" s="287">
        <v>125666</v>
      </c>
      <c r="Y737" s="287">
        <v>126802</v>
      </c>
      <c r="Z737" s="287">
        <v>127204</v>
      </c>
      <c r="AA737" s="287">
        <v>124994</v>
      </c>
      <c r="AB737" s="283" t="s">
        <v>1546</v>
      </c>
      <c r="AC737" s="289">
        <v>-8.9999999999999993E-3</v>
      </c>
      <c r="AE737" s="167"/>
      <c r="AF737" s="285"/>
      <c r="AG737" s="285"/>
      <c r="AH737" s="285"/>
      <c r="AI737" s="285"/>
      <c r="AJ737" s="283"/>
    </row>
    <row r="738" spans="1:36" x14ac:dyDescent="0.3">
      <c r="A738" s="168">
        <v>44383</v>
      </c>
      <c r="B738" s="83">
        <v>20.239999999999998</v>
      </c>
      <c r="C738" s="83">
        <v>21.43</v>
      </c>
      <c r="D738" s="83">
        <v>21.71</v>
      </c>
      <c r="E738" s="83">
        <v>20.05</v>
      </c>
      <c r="F738" s="83" t="s">
        <v>1545</v>
      </c>
      <c r="G738" s="284">
        <v>-5.8200000000000002E-2</v>
      </c>
      <c r="I738" s="168">
        <v>44426</v>
      </c>
      <c r="J738" s="286">
        <v>3078.01</v>
      </c>
      <c r="K738" s="286">
        <v>3099.55</v>
      </c>
      <c r="L738" s="286">
        <v>3103.1</v>
      </c>
      <c r="M738" s="286">
        <v>3077.05</v>
      </c>
      <c r="N738" s="284" t="s">
        <v>1544</v>
      </c>
      <c r="P738" s="168">
        <v>44419</v>
      </c>
      <c r="Q738" s="286">
        <v>5.2184999999999997</v>
      </c>
      <c r="R738" s="286">
        <v>5.1898</v>
      </c>
      <c r="S738" s="286">
        <v>5.2347000000000001</v>
      </c>
      <c r="T738" s="286">
        <v>5.1635999999999997</v>
      </c>
      <c r="U738" s="284">
        <v>5.5999999999999999E-3</v>
      </c>
      <c r="W738" s="168">
        <v>44377</v>
      </c>
      <c r="X738" s="288">
        <v>126802</v>
      </c>
      <c r="Y738" s="288">
        <v>127323</v>
      </c>
      <c r="Z738" s="288">
        <v>127323</v>
      </c>
      <c r="AA738" s="288">
        <v>126199</v>
      </c>
      <c r="AB738" s="284" t="s">
        <v>1543</v>
      </c>
      <c r="AC738" s="290">
        <v>-4.1000000000000003E-3</v>
      </c>
      <c r="AE738" s="168"/>
      <c r="AF738" s="286"/>
      <c r="AG738" s="286"/>
      <c r="AH738" s="286"/>
      <c r="AI738" s="286"/>
      <c r="AJ738" s="284"/>
    </row>
    <row r="739" spans="1:36" x14ac:dyDescent="0.3">
      <c r="A739" s="167">
        <v>44382</v>
      </c>
      <c r="B739" s="171">
        <v>21.49</v>
      </c>
      <c r="C739" s="171">
        <v>21.36</v>
      </c>
      <c r="D739" s="171">
        <v>21.99</v>
      </c>
      <c r="E739" s="171">
        <v>21.19</v>
      </c>
      <c r="F739" s="171" t="s">
        <v>1542</v>
      </c>
      <c r="G739" s="283">
        <v>1.0800000000000001E-2</v>
      </c>
      <c r="I739" s="167">
        <v>44425</v>
      </c>
      <c r="J739" s="285">
        <v>3100.12</v>
      </c>
      <c r="K739" s="285">
        <v>3121.79</v>
      </c>
      <c r="L739" s="285">
        <v>3122.06</v>
      </c>
      <c r="M739" s="285">
        <v>3084.9</v>
      </c>
      <c r="N739" s="283" t="s">
        <v>1541</v>
      </c>
      <c r="P739" s="167">
        <v>44418</v>
      </c>
      <c r="Q739" s="285">
        <v>5.1894999999999998</v>
      </c>
      <c r="R739" s="285">
        <v>5.2333999999999996</v>
      </c>
      <c r="S739" s="285">
        <v>5.2630999999999997</v>
      </c>
      <c r="T739" s="285">
        <v>5.1847000000000003</v>
      </c>
      <c r="U739" s="283">
        <v>-8.3000000000000001E-3</v>
      </c>
      <c r="W739" s="167">
        <v>44376</v>
      </c>
      <c r="X739" s="287">
        <v>127327</v>
      </c>
      <c r="Y739" s="287">
        <v>127429</v>
      </c>
      <c r="Z739" s="287">
        <v>127507</v>
      </c>
      <c r="AA739" s="287">
        <v>126184</v>
      </c>
      <c r="AB739" s="283" t="s">
        <v>1540</v>
      </c>
      <c r="AC739" s="289">
        <v>-8.0000000000000004E-4</v>
      </c>
      <c r="AE739" s="167"/>
      <c r="AF739" s="285"/>
      <c r="AG739" s="285"/>
      <c r="AH739" s="285"/>
      <c r="AI739" s="285"/>
      <c r="AJ739" s="283"/>
    </row>
    <row r="740" spans="1:36" x14ac:dyDescent="0.3">
      <c r="A740" s="168">
        <v>44379</v>
      </c>
      <c r="B740" s="83">
        <v>21.26</v>
      </c>
      <c r="C740" s="83">
        <v>20.54</v>
      </c>
      <c r="D740" s="83">
        <v>21.5</v>
      </c>
      <c r="E740" s="83">
        <v>20.32</v>
      </c>
      <c r="F740" s="83" t="s">
        <v>1539</v>
      </c>
      <c r="G740" s="284">
        <v>3.5099999999999999E-2</v>
      </c>
      <c r="I740" s="168">
        <v>44424</v>
      </c>
      <c r="J740" s="286">
        <v>3121.99</v>
      </c>
      <c r="K740" s="286">
        <v>3124.7</v>
      </c>
      <c r="L740" s="286">
        <v>3124.88</v>
      </c>
      <c r="M740" s="286">
        <v>3099.81</v>
      </c>
      <c r="N740" s="284" t="s">
        <v>1211</v>
      </c>
      <c r="P740" s="168">
        <v>44417</v>
      </c>
      <c r="Q740" s="286">
        <v>5.2331000000000003</v>
      </c>
      <c r="R740" s="286">
        <v>5.2324999999999999</v>
      </c>
      <c r="S740" s="286">
        <v>5.2992999999999997</v>
      </c>
      <c r="T740" s="286">
        <v>5.2145999999999999</v>
      </c>
      <c r="U740" s="284">
        <v>5.9999999999999995E-4</v>
      </c>
      <c r="W740" s="168">
        <v>44375</v>
      </c>
      <c r="X740" s="288">
        <v>127429</v>
      </c>
      <c r="Y740" s="288">
        <v>127255</v>
      </c>
      <c r="Z740" s="288">
        <v>128067</v>
      </c>
      <c r="AA740" s="288">
        <v>126629</v>
      </c>
      <c r="AB740" s="284" t="s">
        <v>1380</v>
      </c>
      <c r="AC740" s="290">
        <v>1.4E-3</v>
      </c>
      <c r="AE740" s="168"/>
      <c r="AF740" s="286"/>
      <c r="AG740" s="286"/>
      <c r="AH740" s="286"/>
      <c r="AI740" s="286"/>
      <c r="AJ740" s="284"/>
    </row>
    <row r="741" spans="1:36" x14ac:dyDescent="0.3">
      <c r="A741" s="167">
        <v>44378</v>
      </c>
      <c r="B741" s="171">
        <v>20.54</v>
      </c>
      <c r="C741" s="171">
        <v>19.8</v>
      </c>
      <c r="D741" s="171">
        <v>20.55</v>
      </c>
      <c r="E741" s="171">
        <v>19.7</v>
      </c>
      <c r="F741" s="171" t="s">
        <v>1538</v>
      </c>
      <c r="G741" s="283">
        <v>5.3900000000000003E-2</v>
      </c>
      <c r="I741" s="167">
        <v>44421</v>
      </c>
      <c r="J741" s="285">
        <v>3125.12</v>
      </c>
      <c r="K741" s="285">
        <v>3115.97</v>
      </c>
      <c r="L741" s="285">
        <v>3126.19</v>
      </c>
      <c r="M741" s="285">
        <v>3115.38</v>
      </c>
      <c r="N741" s="283" t="s">
        <v>1537</v>
      </c>
      <c r="P741" s="167">
        <v>44414</v>
      </c>
      <c r="Q741" s="285">
        <v>5.2301000000000002</v>
      </c>
      <c r="R741" s="285">
        <v>5.2466999999999997</v>
      </c>
      <c r="S741" s="285">
        <v>5.2756999999999996</v>
      </c>
      <c r="T741" s="285">
        <v>5.2049000000000003</v>
      </c>
      <c r="U741" s="283">
        <v>-3.5999999999999999E-3</v>
      </c>
      <c r="W741" s="167">
        <v>44372</v>
      </c>
      <c r="X741" s="287">
        <v>127256</v>
      </c>
      <c r="Y741" s="287">
        <v>129513</v>
      </c>
      <c r="Z741" s="287">
        <v>129748</v>
      </c>
      <c r="AA741" s="287">
        <v>126697</v>
      </c>
      <c r="AB741" s="283" t="s">
        <v>1471</v>
      </c>
      <c r="AC741" s="289">
        <v>-1.7399999999999999E-2</v>
      </c>
      <c r="AE741" s="167"/>
      <c r="AF741" s="285"/>
      <c r="AG741" s="285"/>
      <c r="AH741" s="285"/>
      <c r="AI741" s="285"/>
      <c r="AJ741" s="283"/>
    </row>
    <row r="742" spans="1:36" x14ac:dyDescent="0.3">
      <c r="A742" s="168">
        <v>44377</v>
      </c>
      <c r="B742" s="83">
        <v>19.489999999999998</v>
      </c>
      <c r="C742" s="83">
        <v>19.14</v>
      </c>
      <c r="D742" s="83">
        <v>19.8</v>
      </c>
      <c r="E742" s="83">
        <v>18.95</v>
      </c>
      <c r="F742" s="83" t="s">
        <v>1441</v>
      </c>
      <c r="G742" s="284">
        <v>2.69E-2</v>
      </c>
      <c r="I742" s="168">
        <v>44420</v>
      </c>
      <c r="J742" s="286">
        <v>3115.74</v>
      </c>
      <c r="K742" s="286">
        <v>3110.84</v>
      </c>
      <c r="L742" s="286">
        <v>3115.95</v>
      </c>
      <c r="M742" s="286">
        <v>3103.13</v>
      </c>
      <c r="N742" s="284" t="s">
        <v>1536</v>
      </c>
      <c r="P742" s="168">
        <v>44413</v>
      </c>
      <c r="Q742" s="286">
        <v>5.2488000000000001</v>
      </c>
      <c r="R742" s="286">
        <v>5.17</v>
      </c>
      <c r="S742" s="286">
        <v>5.2586000000000004</v>
      </c>
      <c r="T742" s="286">
        <v>5.1101000000000001</v>
      </c>
      <c r="U742" s="284">
        <v>1.55E-2</v>
      </c>
      <c r="W742" s="168">
        <v>44371</v>
      </c>
      <c r="X742" s="288">
        <v>129514</v>
      </c>
      <c r="Y742" s="288">
        <v>128433</v>
      </c>
      <c r="Z742" s="288">
        <v>129541</v>
      </c>
      <c r="AA742" s="288">
        <v>128428</v>
      </c>
      <c r="AB742" s="284" t="s">
        <v>1535</v>
      </c>
      <c r="AC742" s="290">
        <v>8.5000000000000006E-3</v>
      </c>
      <c r="AE742" s="168"/>
      <c r="AF742" s="286"/>
      <c r="AG742" s="286"/>
      <c r="AH742" s="286"/>
      <c r="AI742" s="286"/>
      <c r="AJ742" s="284"/>
    </row>
    <row r="743" spans="1:36" x14ac:dyDescent="0.3">
      <c r="A743" s="167">
        <v>44376</v>
      </c>
      <c r="B743" s="171">
        <v>18.98</v>
      </c>
      <c r="C743" s="171">
        <v>18.88</v>
      </c>
      <c r="D743" s="171">
        <v>19.170000000000002</v>
      </c>
      <c r="E743" s="171">
        <v>18.55</v>
      </c>
      <c r="F743" s="171" t="s">
        <v>1534</v>
      </c>
      <c r="G743" s="283">
        <v>1.12E-2</v>
      </c>
      <c r="I743" s="167">
        <v>44419</v>
      </c>
      <c r="J743" s="285">
        <v>3109.97</v>
      </c>
      <c r="K743" s="285">
        <v>3100.3</v>
      </c>
      <c r="L743" s="285">
        <v>3112.3</v>
      </c>
      <c r="M743" s="285">
        <v>3100.22</v>
      </c>
      <c r="N743" s="283" t="s">
        <v>1346</v>
      </c>
      <c r="P743" s="167">
        <v>44412</v>
      </c>
      <c r="Q743" s="285">
        <v>5.1684999999999999</v>
      </c>
      <c r="R743" s="285">
        <v>5.1974999999999998</v>
      </c>
      <c r="S743" s="285">
        <v>5.2462999999999997</v>
      </c>
      <c r="T743" s="285">
        <v>5.1649000000000003</v>
      </c>
      <c r="U743" s="283">
        <v>-5.4000000000000003E-3</v>
      </c>
      <c r="W743" s="167">
        <v>44370</v>
      </c>
      <c r="X743" s="287">
        <v>128428</v>
      </c>
      <c r="Y743" s="287">
        <v>128769</v>
      </c>
      <c r="Z743" s="287">
        <v>129901</v>
      </c>
      <c r="AA743" s="287">
        <v>128182</v>
      </c>
      <c r="AB743" s="283" t="s">
        <v>1466</v>
      </c>
      <c r="AC743" s="289">
        <v>-2.5999999999999999E-3</v>
      </c>
      <c r="AE743" s="167"/>
      <c r="AF743" s="285"/>
      <c r="AG743" s="285"/>
      <c r="AH743" s="285"/>
      <c r="AI743" s="285"/>
      <c r="AJ743" s="283"/>
    </row>
    <row r="744" spans="1:36" x14ac:dyDescent="0.3">
      <c r="A744" s="168">
        <v>44375</v>
      </c>
      <c r="B744" s="83">
        <v>18.77</v>
      </c>
      <c r="C744" s="83">
        <v>19.12</v>
      </c>
      <c r="D744" s="83">
        <v>19.32</v>
      </c>
      <c r="E744" s="83">
        <v>18.66</v>
      </c>
      <c r="F744" s="83" t="s">
        <v>1533</v>
      </c>
      <c r="G744" s="284">
        <v>-1.6199999999999999E-2</v>
      </c>
      <c r="I744" s="168">
        <v>44418</v>
      </c>
      <c r="J744" s="286">
        <v>3099.49</v>
      </c>
      <c r="K744" s="286">
        <v>3097.11</v>
      </c>
      <c r="L744" s="286">
        <v>3105.24</v>
      </c>
      <c r="M744" s="286">
        <v>3096.56</v>
      </c>
      <c r="N744" s="284" t="s">
        <v>1221</v>
      </c>
      <c r="P744" s="168">
        <v>44411</v>
      </c>
      <c r="Q744" s="286">
        <v>5.1966999999999999</v>
      </c>
      <c r="R744" s="286">
        <v>5.1707999999999998</v>
      </c>
      <c r="S744" s="286">
        <v>5.2750000000000004</v>
      </c>
      <c r="T744" s="286">
        <v>5.1650999999999998</v>
      </c>
      <c r="U744" s="284">
        <v>4.3E-3</v>
      </c>
      <c r="W744" s="168">
        <v>44369</v>
      </c>
      <c r="X744" s="288">
        <v>128767</v>
      </c>
      <c r="Y744" s="288">
        <v>129242</v>
      </c>
      <c r="Z744" s="288">
        <v>129259</v>
      </c>
      <c r="AA744" s="288">
        <v>127803</v>
      </c>
      <c r="AB744" s="284" t="s">
        <v>1532</v>
      </c>
      <c r="AC744" s="290">
        <v>-3.8E-3</v>
      </c>
      <c r="AE744" s="168"/>
      <c r="AF744" s="286"/>
      <c r="AG744" s="286"/>
      <c r="AH744" s="286"/>
      <c r="AI744" s="286"/>
      <c r="AJ744" s="284"/>
    </row>
    <row r="745" spans="1:36" x14ac:dyDescent="0.3">
      <c r="A745" s="167">
        <v>44372</v>
      </c>
      <c r="B745" s="171">
        <v>19.079999999999998</v>
      </c>
      <c r="C745" s="171">
        <v>19.600000000000001</v>
      </c>
      <c r="D745" s="171">
        <v>20</v>
      </c>
      <c r="E745" s="171">
        <v>18.87</v>
      </c>
      <c r="F745" s="171" t="s">
        <v>1531</v>
      </c>
      <c r="G745" s="283">
        <v>-1.9E-2</v>
      </c>
      <c r="I745" s="167">
        <v>44417</v>
      </c>
      <c r="J745" s="285">
        <v>3097.06</v>
      </c>
      <c r="K745" s="285">
        <v>3097.64</v>
      </c>
      <c r="L745" s="285">
        <v>3100.56</v>
      </c>
      <c r="M745" s="285">
        <v>3093.2</v>
      </c>
      <c r="N745" s="283" t="s">
        <v>1405</v>
      </c>
      <c r="P745" s="167">
        <v>44410</v>
      </c>
      <c r="Q745" s="285">
        <v>5.1746999999999996</v>
      </c>
      <c r="R745" s="285">
        <v>5.2157999999999998</v>
      </c>
      <c r="S745" s="285">
        <v>5.2192999999999996</v>
      </c>
      <c r="T745" s="285">
        <v>5.1135999999999999</v>
      </c>
      <c r="U745" s="283">
        <v>-7.1999999999999998E-3</v>
      </c>
      <c r="W745" s="167">
        <v>44368</v>
      </c>
      <c r="X745" s="287">
        <v>129265</v>
      </c>
      <c r="Y745" s="287">
        <v>128405</v>
      </c>
      <c r="Z745" s="287">
        <v>129412</v>
      </c>
      <c r="AA745" s="287">
        <v>128048</v>
      </c>
      <c r="AB745" s="283" t="s">
        <v>1530</v>
      </c>
      <c r="AC745" s="289">
        <v>6.7000000000000002E-3</v>
      </c>
      <c r="AE745" s="167"/>
      <c r="AF745" s="285"/>
      <c r="AG745" s="285"/>
      <c r="AH745" s="285"/>
      <c r="AI745" s="285"/>
      <c r="AJ745" s="283"/>
    </row>
    <row r="746" spans="1:36" x14ac:dyDescent="0.3">
      <c r="A746" s="168">
        <v>44371</v>
      </c>
      <c r="B746" s="83">
        <v>19.45</v>
      </c>
      <c r="C746" s="83">
        <v>19.54</v>
      </c>
      <c r="D746" s="83">
        <v>19.649999999999999</v>
      </c>
      <c r="E746" s="83">
        <v>19.21</v>
      </c>
      <c r="F746" s="83" t="s">
        <v>1529</v>
      </c>
      <c r="G746" s="284">
        <v>-2.0999999999999999E-3</v>
      </c>
      <c r="I746" s="168">
        <v>44414</v>
      </c>
      <c r="J746" s="286">
        <v>3098.06</v>
      </c>
      <c r="K746" s="286">
        <v>3101.28</v>
      </c>
      <c r="L746" s="286">
        <v>3104.41</v>
      </c>
      <c r="M746" s="286">
        <v>3094.82</v>
      </c>
      <c r="N746" s="284" t="s">
        <v>1528</v>
      </c>
      <c r="P746" s="168">
        <v>44407</v>
      </c>
      <c r="Q746" s="286">
        <v>5.2122999999999999</v>
      </c>
      <c r="R746" s="286">
        <v>5.0773000000000001</v>
      </c>
      <c r="S746" s="286">
        <v>5.2286999999999999</v>
      </c>
      <c r="T746" s="286">
        <v>5.0754000000000001</v>
      </c>
      <c r="U746" s="284">
        <v>2.58E-2</v>
      </c>
      <c r="W746" s="168">
        <v>44365</v>
      </c>
      <c r="X746" s="288">
        <v>128405</v>
      </c>
      <c r="Y746" s="288">
        <v>128050</v>
      </c>
      <c r="Z746" s="288">
        <v>128796</v>
      </c>
      <c r="AA746" s="288">
        <v>127595</v>
      </c>
      <c r="AB746" s="284" t="s">
        <v>1522</v>
      </c>
      <c r="AC746" s="290">
        <v>2.7000000000000001E-3</v>
      </c>
      <c r="AE746" s="168"/>
      <c r="AF746" s="286"/>
      <c r="AG746" s="286"/>
      <c r="AH746" s="286"/>
      <c r="AI746" s="286"/>
      <c r="AJ746" s="284"/>
    </row>
    <row r="747" spans="1:36" x14ac:dyDescent="0.3">
      <c r="A747" s="167">
        <v>44370</v>
      </c>
      <c r="B747" s="171">
        <v>19.489999999999998</v>
      </c>
      <c r="C747" s="171">
        <v>19.399999999999999</v>
      </c>
      <c r="D747" s="171">
        <v>19.73</v>
      </c>
      <c r="E747" s="171">
        <v>19.29</v>
      </c>
      <c r="F747" s="171" t="s">
        <v>1527</v>
      </c>
      <c r="G747" s="283">
        <v>8.3000000000000001E-3</v>
      </c>
      <c r="I747" s="167">
        <v>44413</v>
      </c>
      <c r="J747" s="285">
        <v>3102.23</v>
      </c>
      <c r="K747" s="285">
        <v>3085.18</v>
      </c>
      <c r="L747" s="285">
        <v>3102.23</v>
      </c>
      <c r="M747" s="285">
        <v>3085.18</v>
      </c>
      <c r="N747" s="283" t="s">
        <v>1197</v>
      </c>
      <c r="P747" s="167">
        <v>44406</v>
      </c>
      <c r="Q747" s="285">
        <v>5.0811999999999999</v>
      </c>
      <c r="R747" s="285">
        <v>5.1165000000000003</v>
      </c>
      <c r="S747" s="285">
        <v>5.1165000000000003</v>
      </c>
      <c r="T747" s="285">
        <v>5.0406000000000004</v>
      </c>
      <c r="U747" s="283">
        <v>-6.7000000000000002E-3</v>
      </c>
      <c r="W747" s="167">
        <v>44364</v>
      </c>
      <c r="X747" s="287">
        <v>128057</v>
      </c>
      <c r="Y747" s="287">
        <v>129259</v>
      </c>
      <c r="Z747" s="287">
        <v>129919</v>
      </c>
      <c r="AA747" s="287">
        <v>127576</v>
      </c>
      <c r="AB747" s="283" t="s">
        <v>1507</v>
      </c>
      <c r="AC747" s="289">
        <v>-9.2999999999999992E-3</v>
      </c>
      <c r="AE747" s="167"/>
      <c r="AF747" s="285"/>
      <c r="AG747" s="285"/>
      <c r="AH747" s="285"/>
      <c r="AI747" s="285"/>
      <c r="AJ747" s="283"/>
    </row>
    <row r="748" spans="1:36" x14ac:dyDescent="0.3">
      <c r="A748" s="168">
        <v>44369</v>
      </c>
      <c r="B748" s="83">
        <v>19.329999999999998</v>
      </c>
      <c r="C748" s="83">
        <v>19.23</v>
      </c>
      <c r="D748" s="83">
        <v>19.38</v>
      </c>
      <c r="E748" s="83">
        <v>19.010000000000002</v>
      </c>
      <c r="F748" s="83" t="s">
        <v>1526</v>
      </c>
      <c r="G748" s="284">
        <v>-4.5999999999999999E-3</v>
      </c>
      <c r="I748" s="168">
        <v>44412</v>
      </c>
      <c r="J748" s="286">
        <v>3085.83</v>
      </c>
      <c r="K748" s="286">
        <v>3093.42</v>
      </c>
      <c r="L748" s="286">
        <v>3096.86</v>
      </c>
      <c r="M748" s="286">
        <v>3083.53</v>
      </c>
      <c r="N748" s="284" t="s">
        <v>1250</v>
      </c>
      <c r="P748" s="168">
        <v>44405</v>
      </c>
      <c r="Q748" s="286">
        <v>5.1157000000000004</v>
      </c>
      <c r="R748" s="286">
        <v>5.1710000000000003</v>
      </c>
      <c r="S748" s="286">
        <v>5.1925999999999997</v>
      </c>
      <c r="T748" s="286">
        <v>5.1040000000000001</v>
      </c>
      <c r="U748" s="284">
        <v>-1.03E-2</v>
      </c>
      <c r="W748" s="168">
        <v>44363</v>
      </c>
      <c r="X748" s="288">
        <v>129259</v>
      </c>
      <c r="Y748" s="288">
        <v>130091</v>
      </c>
      <c r="Z748" s="288">
        <v>130283</v>
      </c>
      <c r="AA748" s="288">
        <v>128345</v>
      </c>
      <c r="AB748" s="284" t="s">
        <v>1525</v>
      </c>
      <c r="AC748" s="290">
        <v>-6.4000000000000003E-3</v>
      </c>
      <c r="AE748" s="168"/>
      <c r="AF748" s="286"/>
      <c r="AG748" s="286"/>
      <c r="AH748" s="286"/>
      <c r="AI748" s="286"/>
      <c r="AJ748" s="284"/>
    </row>
    <row r="749" spans="1:36" x14ac:dyDescent="0.3">
      <c r="A749" s="167">
        <v>44368</v>
      </c>
      <c r="B749" s="171">
        <v>19.420000000000002</v>
      </c>
      <c r="C749" s="171">
        <v>19.13</v>
      </c>
      <c r="D749" s="171">
        <v>19.489999999999998</v>
      </c>
      <c r="E749" s="171">
        <v>19.05</v>
      </c>
      <c r="F749" s="171" t="s">
        <v>1524</v>
      </c>
      <c r="G749" s="283">
        <v>2.2100000000000002E-2</v>
      </c>
      <c r="I749" s="167">
        <v>44411</v>
      </c>
      <c r="J749" s="285">
        <v>3092.51</v>
      </c>
      <c r="K749" s="285">
        <v>3075.28</v>
      </c>
      <c r="L749" s="285">
        <v>3093.31</v>
      </c>
      <c r="M749" s="285">
        <v>3067.54</v>
      </c>
      <c r="N749" s="283" t="s">
        <v>1315</v>
      </c>
      <c r="P749" s="167">
        <v>44404</v>
      </c>
      <c r="Q749" s="285">
        <v>5.1689999999999996</v>
      </c>
      <c r="R749" s="285">
        <v>5.1768999999999998</v>
      </c>
      <c r="S749" s="285">
        <v>5.2061000000000002</v>
      </c>
      <c r="T749" s="285">
        <v>5.1486000000000001</v>
      </c>
      <c r="U749" s="283">
        <v>-1.4E-3</v>
      </c>
      <c r="W749" s="167">
        <v>44362</v>
      </c>
      <c r="X749" s="287">
        <v>130091</v>
      </c>
      <c r="Y749" s="287">
        <v>130208</v>
      </c>
      <c r="Z749" s="287">
        <v>130436</v>
      </c>
      <c r="AA749" s="287">
        <v>129304</v>
      </c>
      <c r="AB749" s="283" t="s">
        <v>1523</v>
      </c>
      <c r="AC749" s="289">
        <v>-8.9999999999999998E-4</v>
      </c>
      <c r="AE749" s="167"/>
      <c r="AF749" s="285"/>
      <c r="AG749" s="285"/>
      <c r="AH749" s="285"/>
      <c r="AI749" s="285"/>
      <c r="AJ749" s="283"/>
    </row>
    <row r="750" spans="1:36" x14ac:dyDescent="0.3">
      <c r="A750" s="168">
        <v>44365</v>
      </c>
      <c r="B750" s="83">
        <v>19</v>
      </c>
      <c r="C750" s="83">
        <v>19.11</v>
      </c>
      <c r="D750" s="83">
        <v>19.2</v>
      </c>
      <c r="E750" s="83">
        <v>18.48</v>
      </c>
      <c r="F750" s="83" t="s">
        <v>1522</v>
      </c>
      <c r="G750" s="284">
        <v>-7.3000000000000001E-3</v>
      </c>
      <c r="I750" s="168">
        <v>44410</v>
      </c>
      <c r="J750" s="286">
        <v>3077.11</v>
      </c>
      <c r="K750" s="286">
        <v>3071.08</v>
      </c>
      <c r="L750" s="286">
        <v>3091.26</v>
      </c>
      <c r="M750" s="286">
        <v>3070.87</v>
      </c>
      <c r="N750" s="284" t="s">
        <v>1508</v>
      </c>
      <c r="P750" s="168">
        <v>44403</v>
      </c>
      <c r="Q750" s="286">
        <v>5.1760999999999999</v>
      </c>
      <c r="R750" s="286">
        <v>5.2050999999999998</v>
      </c>
      <c r="S750" s="286">
        <v>5.2304000000000004</v>
      </c>
      <c r="T750" s="286">
        <v>5.1516000000000002</v>
      </c>
      <c r="U750" s="284">
        <v>-4.7000000000000002E-3</v>
      </c>
      <c r="W750" s="168">
        <v>44361</v>
      </c>
      <c r="X750" s="288">
        <v>130208</v>
      </c>
      <c r="Y750" s="288">
        <v>129441</v>
      </c>
      <c r="Z750" s="288">
        <v>131084</v>
      </c>
      <c r="AA750" s="288">
        <v>129441</v>
      </c>
      <c r="AB750" s="284" t="s">
        <v>1380</v>
      </c>
      <c r="AC750" s="290">
        <v>5.8999999999999999E-3</v>
      </c>
      <c r="AE750" s="168"/>
      <c r="AF750" s="286"/>
      <c r="AG750" s="286"/>
      <c r="AH750" s="286"/>
      <c r="AI750" s="286"/>
      <c r="AJ750" s="284"/>
    </row>
    <row r="751" spans="1:36" x14ac:dyDescent="0.3">
      <c r="A751" s="167">
        <v>44364</v>
      </c>
      <c r="B751" s="171">
        <v>19.14</v>
      </c>
      <c r="C751" s="171">
        <v>19.98</v>
      </c>
      <c r="D751" s="171">
        <v>20.079999999999998</v>
      </c>
      <c r="E751" s="171">
        <v>19</v>
      </c>
      <c r="F751" s="171" t="s">
        <v>1521</v>
      </c>
      <c r="G751" s="283">
        <v>-4.5400000000000003E-2</v>
      </c>
      <c r="I751" s="167">
        <v>44407</v>
      </c>
      <c r="J751" s="285">
        <v>3069.25</v>
      </c>
      <c r="K751" s="285">
        <v>3089.79</v>
      </c>
      <c r="L751" s="285">
        <v>3089.99</v>
      </c>
      <c r="M751" s="285">
        <v>3066.11</v>
      </c>
      <c r="N751" s="283" t="s">
        <v>1520</v>
      </c>
      <c r="P751" s="167">
        <v>44400</v>
      </c>
      <c r="Q751" s="285">
        <v>5.2005999999999997</v>
      </c>
      <c r="R751" s="285">
        <v>5.1858000000000004</v>
      </c>
      <c r="S751" s="285">
        <v>5.2332000000000001</v>
      </c>
      <c r="T751" s="285">
        <v>5.1582999999999997</v>
      </c>
      <c r="U751" s="283">
        <v>1E-4</v>
      </c>
      <c r="W751" s="167">
        <v>44358</v>
      </c>
      <c r="X751" s="287">
        <v>129441</v>
      </c>
      <c r="Y751" s="287">
        <v>130076</v>
      </c>
      <c r="Z751" s="287">
        <v>130294</v>
      </c>
      <c r="AA751" s="287">
        <v>128678</v>
      </c>
      <c r="AB751" s="283" t="s">
        <v>1519</v>
      </c>
      <c r="AC751" s="289">
        <v>-4.8999999999999998E-3</v>
      </c>
      <c r="AE751" s="167"/>
      <c r="AF751" s="285"/>
      <c r="AG751" s="285"/>
      <c r="AH751" s="285"/>
      <c r="AI751" s="285"/>
      <c r="AJ751" s="283"/>
    </row>
    <row r="752" spans="1:36" x14ac:dyDescent="0.3">
      <c r="A752" s="168">
        <v>44363</v>
      </c>
      <c r="B752" s="83">
        <v>20.05</v>
      </c>
      <c r="C752" s="83">
        <v>20.12</v>
      </c>
      <c r="D752" s="83">
        <v>20.350000000000001</v>
      </c>
      <c r="E752" s="83">
        <v>19.71</v>
      </c>
      <c r="F752" s="83" t="s">
        <v>1518</v>
      </c>
      <c r="G752" s="284">
        <v>-1.5E-3</v>
      </c>
      <c r="I752" s="168">
        <v>44406</v>
      </c>
      <c r="J752" s="286">
        <v>3089.82</v>
      </c>
      <c r="K752" s="286">
        <v>3073.87</v>
      </c>
      <c r="L752" s="286">
        <v>3095.57</v>
      </c>
      <c r="M752" s="286">
        <v>3073.68</v>
      </c>
      <c r="N752" s="284" t="s">
        <v>1517</v>
      </c>
      <c r="P752" s="168">
        <v>44399</v>
      </c>
      <c r="Q752" s="286">
        <v>5.2003000000000004</v>
      </c>
      <c r="R752" s="286">
        <v>5.1886999999999999</v>
      </c>
      <c r="S752" s="286">
        <v>5.2248999999999999</v>
      </c>
      <c r="T752" s="286">
        <v>5.1669999999999998</v>
      </c>
      <c r="U752" s="284">
        <v>2.5000000000000001E-3</v>
      </c>
      <c r="W752" s="168">
        <v>44357</v>
      </c>
      <c r="X752" s="288">
        <v>130076</v>
      </c>
      <c r="Y752" s="288">
        <v>129911</v>
      </c>
      <c r="Z752" s="288">
        <v>130527</v>
      </c>
      <c r="AA752" s="288">
        <v>129526</v>
      </c>
      <c r="AB752" s="284" t="s">
        <v>1516</v>
      </c>
      <c r="AC752" s="290">
        <v>1.2999999999999999E-3</v>
      </c>
      <c r="AE752" s="168"/>
      <c r="AF752" s="286"/>
      <c r="AG752" s="286"/>
      <c r="AH752" s="286"/>
      <c r="AI752" s="286"/>
      <c r="AJ752" s="284"/>
    </row>
    <row r="753" spans="1:36" x14ac:dyDescent="0.3">
      <c r="A753" s="167">
        <v>44362</v>
      </c>
      <c r="B753" s="171">
        <v>20.079999999999998</v>
      </c>
      <c r="C753" s="171">
        <v>19.45</v>
      </c>
      <c r="D753" s="171">
        <v>20.37</v>
      </c>
      <c r="E753" s="171">
        <v>19.45</v>
      </c>
      <c r="F753" s="171" t="s">
        <v>1515</v>
      </c>
      <c r="G753" s="283">
        <v>3.61E-2</v>
      </c>
      <c r="I753" s="167">
        <v>44405</v>
      </c>
      <c r="J753" s="285">
        <v>3069.49</v>
      </c>
      <c r="K753" s="285">
        <v>3067.07</v>
      </c>
      <c r="L753" s="285">
        <v>3078.92</v>
      </c>
      <c r="M753" s="285">
        <v>3062.13</v>
      </c>
      <c r="N753" s="283" t="s">
        <v>1514</v>
      </c>
      <c r="P753" s="167">
        <v>44398</v>
      </c>
      <c r="Q753" s="285">
        <v>5.1874000000000002</v>
      </c>
      <c r="R753" s="285">
        <v>5.2412999999999998</v>
      </c>
      <c r="S753" s="285">
        <v>5.2782</v>
      </c>
      <c r="T753" s="285">
        <v>5.1806000000000001</v>
      </c>
      <c r="U753" s="283">
        <v>-6.3E-3</v>
      </c>
      <c r="W753" s="167">
        <v>44356</v>
      </c>
      <c r="X753" s="287">
        <v>129907</v>
      </c>
      <c r="Y753" s="287">
        <v>129800</v>
      </c>
      <c r="Z753" s="287">
        <v>130882</v>
      </c>
      <c r="AA753" s="287">
        <v>129281</v>
      </c>
      <c r="AB753" s="283" t="s">
        <v>1513</v>
      </c>
      <c r="AC753" s="289">
        <v>8.9999999999999998E-4</v>
      </c>
      <c r="AE753" s="167"/>
      <c r="AF753" s="285"/>
      <c r="AG753" s="285"/>
      <c r="AH753" s="285"/>
      <c r="AI753" s="285"/>
      <c r="AJ753" s="283"/>
    </row>
    <row r="754" spans="1:36" x14ac:dyDescent="0.3">
      <c r="A754" s="168">
        <v>44361</v>
      </c>
      <c r="B754" s="83">
        <v>19.38</v>
      </c>
      <c r="C754" s="83">
        <v>19.850000000000001</v>
      </c>
      <c r="D754" s="83">
        <v>20.260000000000002</v>
      </c>
      <c r="E754" s="83">
        <v>19.309999999999999</v>
      </c>
      <c r="F754" s="83" t="s">
        <v>1512</v>
      </c>
      <c r="G754" s="284">
        <v>-1.5699999999999999E-2</v>
      </c>
      <c r="I754" s="168">
        <v>44404</v>
      </c>
      <c r="J754" s="286">
        <v>3068.87</v>
      </c>
      <c r="K754" s="286">
        <v>3081.26</v>
      </c>
      <c r="L754" s="286">
        <v>3082.45</v>
      </c>
      <c r="M754" s="286">
        <v>3054.54</v>
      </c>
      <c r="N754" s="284" t="s">
        <v>1511</v>
      </c>
      <c r="P754" s="168">
        <v>44397</v>
      </c>
      <c r="Q754" s="286">
        <v>5.2205000000000004</v>
      </c>
      <c r="R754" s="286">
        <v>5.2526000000000002</v>
      </c>
      <c r="S754" s="286">
        <v>5.2949999999999999</v>
      </c>
      <c r="T754" s="286">
        <v>5.2016999999999998</v>
      </c>
      <c r="U754" s="284">
        <v>-6.0000000000000001E-3</v>
      </c>
      <c r="W754" s="168">
        <v>44355</v>
      </c>
      <c r="X754" s="288">
        <v>129787</v>
      </c>
      <c r="Y754" s="288">
        <v>130776</v>
      </c>
      <c r="Z754" s="288">
        <v>130776</v>
      </c>
      <c r="AA754" s="288">
        <v>129230</v>
      </c>
      <c r="AB754" s="284" t="s">
        <v>1510</v>
      </c>
      <c r="AC754" s="290">
        <v>-7.6E-3</v>
      </c>
      <c r="AE754" s="168"/>
      <c r="AF754" s="286"/>
      <c r="AG754" s="286"/>
      <c r="AH754" s="286"/>
      <c r="AI754" s="286"/>
      <c r="AJ754" s="284"/>
    </row>
    <row r="755" spans="1:36" x14ac:dyDescent="0.3">
      <c r="A755" s="167">
        <v>44358</v>
      </c>
      <c r="B755" s="171">
        <v>19.690000000000001</v>
      </c>
      <c r="C755" s="171">
        <v>19.45</v>
      </c>
      <c r="D755" s="171">
        <v>19.7</v>
      </c>
      <c r="E755" s="171">
        <v>19.149999999999999</v>
      </c>
      <c r="F755" s="171" t="s">
        <v>1509</v>
      </c>
      <c r="G755" s="283">
        <v>8.6999999999999994E-3</v>
      </c>
      <c r="I755" s="167">
        <v>44403</v>
      </c>
      <c r="J755" s="285">
        <v>3080.4</v>
      </c>
      <c r="K755" s="285">
        <v>3075.01</v>
      </c>
      <c r="L755" s="285">
        <v>3080.4</v>
      </c>
      <c r="M755" s="285">
        <v>3071.2</v>
      </c>
      <c r="N755" s="283" t="s">
        <v>1508</v>
      </c>
      <c r="P755" s="167">
        <v>44396</v>
      </c>
      <c r="Q755" s="285">
        <v>5.2519</v>
      </c>
      <c r="R755" s="285">
        <v>5.1185</v>
      </c>
      <c r="S755" s="285">
        <v>5.2591000000000001</v>
      </c>
      <c r="T755" s="285">
        <v>5.1185</v>
      </c>
      <c r="U755" s="283">
        <v>2.6800000000000001E-2</v>
      </c>
      <c r="W755" s="167">
        <v>44354</v>
      </c>
      <c r="X755" s="287">
        <v>130776</v>
      </c>
      <c r="Y755" s="287">
        <v>130125</v>
      </c>
      <c r="Z755" s="287">
        <v>131190</v>
      </c>
      <c r="AA755" s="287">
        <v>129498</v>
      </c>
      <c r="AB755" s="283" t="s">
        <v>1507</v>
      </c>
      <c r="AC755" s="289">
        <v>5.0000000000000001E-3</v>
      </c>
      <c r="AE755" s="167"/>
      <c r="AF755" s="285"/>
      <c r="AG755" s="285"/>
      <c r="AH755" s="285"/>
      <c r="AI755" s="285"/>
      <c r="AJ755" s="283"/>
    </row>
    <row r="756" spans="1:36" x14ac:dyDescent="0.3">
      <c r="A756" s="168">
        <v>44357</v>
      </c>
      <c r="B756" s="83">
        <v>19.52</v>
      </c>
      <c r="C756" s="83">
        <v>19.21</v>
      </c>
      <c r="D756" s="83">
        <v>19.59</v>
      </c>
      <c r="E756" s="83">
        <v>19</v>
      </c>
      <c r="F756" s="83" t="s">
        <v>1506</v>
      </c>
      <c r="G756" s="284">
        <v>2.7400000000000001E-2</v>
      </c>
      <c r="I756" s="168">
        <v>44400</v>
      </c>
      <c r="J756" s="286">
        <v>3072.38</v>
      </c>
      <c r="K756" s="286">
        <v>3046.02</v>
      </c>
      <c r="L756" s="286">
        <v>3074.67</v>
      </c>
      <c r="M756" s="286">
        <v>3044.4</v>
      </c>
      <c r="N756" s="284" t="s">
        <v>1505</v>
      </c>
      <c r="P756" s="168">
        <v>44393</v>
      </c>
      <c r="Q756" s="286">
        <v>5.1147</v>
      </c>
      <c r="R756" s="286">
        <v>5.1128999999999998</v>
      </c>
      <c r="S756" s="286">
        <v>5.1280999999999999</v>
      </c>
      <c r="T756" s="286">
        <v>5.0742000000000003</v>
      </c>
      <c r="U756" s="284">
        <v>8.9999999999999998E-4</v>
      </c>
      <c r="W756" s="168">
        <v>44351</v>
      </c>
      <c r="X756" s="288">
        <v>130126</v>
      </c>
      <c r="Y756" s="288">
        <v>129600</v>
      </c>
      <c r="Z756" s="288">
        <v>130137</v>
      </c>
      <c r="AA756" s="288">
        <v>129148</v>
      </c>
      <c r="AB756" s="284" t="s">
        <v>1504</v>
      </c>
      <c r="AC756" s="290">
        <v>4.0000000000000001E-3</v>
      </c>
      <c r="AE756" s="168"/>
      <c r="AF756" s="286"/>
      <c r="AG756" s="286"/>
      <c r="AH756" s="286"/>
      <c r="AI756" s="286"/>
      <c r="AJ756" s="284"/>
    </row>
    <row r="757" spans="1:36" x14ac:dyDescent="0.3">
      <c r="A757" s="167">
        <v>44356</v>
      </c>
      <c r="B757" s="171">
        <v>19</v>
      </c>
      <c r="C757" s="171">
        <v>19.5</v>
      </c>
      <c r="D757" s="171">
        <v>19.670000000000002</v>
      </c>
      <c r="E757" s="171">
        <v>19</v>
      </c>
      <c r="F757" s="171" t="s">
        <v>1503</v>
      </c>
      <c r="G757" s="283">
        <v>-1.66E-2</v>
      </c>
      <c r="I757" s="167">
        <v>44399</v>
      </c>
      <c r="J757" s="285">
        <v>3046.6</v>
      </c>
      <c r="K757" s="285">
        <v>3037.94</v>
      </c>
      <c r="L757" s="285">
        <v>3047.33</v>
      </c>
      <c r="M757" s="285">
        <v>3036.56</v>
      </c>
      <c r="N757" s="283" t="s">
        <v>1502</v>
      </c>
      <c r="P757" s="167">
        <v>44392</v>
      </c>
      <c r="Q757" s="285">
        <v>5.1100000000000003</v>
      </c>
      <c r="R757" s="285">
        <v>5.0715000000000003</v>
      </c>
      <c r="S757" s="285">
        <v>5.1388999999999996</v>
      </c>
      <c r="T757" s="285">
        <v>5.0529999999999999</v>
      </c>
      <c r="U757" s="283">
        <v>7.7999999999999996E-3</v>
      </c>
      <c r="W757" s="167">
        <v>44349</v>
      </c>
      <c r="X757" s="287">
        <v>129601</v>
      </c>
      <c r="Y757" s="287">
        <v>128268</v>
      </c>
      <c r="Z757" s="287">
        <v>129601</v>
      </c>
      <c r="AA757" s="287">
        <v>128167</v>
      </c>
      <c r="AB757" s="283" t="s">
        <v>1501</v>
      </c>
      <c r="AC757" s="289">
        <v>1.04E-2</v>
      </c>
      <c r="AE757" s="167"/>
      <c r="AF757" s="285"/>
      <c r="AG757" s="285"/>
      <c r="AH757" s="285"/>
      <c r="AI757" s="285"/>
      <c r="AJ757" s="283"/>
    </row>
    <row r="758" spans="1:36" x14ac:dyDescent="0.3">
      <c r="A758" s="168">
        <v>44355</v>
      </c>
      <c r="B758" s="83">
        <v>19.32</v>
      </c>
      <c r="C758" s="83">
        <v>19.71</v>
      </c>
      <c r="D758" s="83">
        <v>19.75</v>
      </c>
      <c r="E758" s="83">
        <v>19.05</v>
      </c>
      <c r="F758" s="83" t="s">
        <v>1500</v>
      </c>
      <c r="G758" s="284">
        <v>-1.9300000000000001E-2</v>
      </c>
      <c r="I758" s="168">
        <v>44398</v>
      </c>
      <c r="J758" s="286">
        <v>3036.73</v>
      </c>
      <c r="K758" s="286">
        <v>3009.46</v>
      </c>
      <c r="L758" s="286">
        <v>3038.36</v>
      </c>
      <c r="M758" s="286">
        <v>3007.87</v>
      </c>
      <c r="N758" s="284" t="s">
        <v>1499</v>
      </c>
      <c r="P758" s="168">
        <v>44391</v>
      </c>
      <c r="Q758" s="286">
        <v>5.0705999999999998</v>
      </c>
      <c r="R758" s="286">
        <v>5.1638000000000002</v>
      </c>
      <c r="S758" s="286">
        <v>5.1656000000000004</v>
      </c>
      <c r="T758" s="286">
        <v>5.0666000000000002</v>
      </c>
      <c r="U758" s="284">
        <v>-1.77E-2</v>
      </c>
      <c r="W758" s="168">
        <v>44348</v>
      </c>
      <c r="X758" s="288">
        <v>128267</v>
      </c>
      <c r="Y758" s="288">
        <v>126218</v>
      </c>
      <c r="Z758" s="288">
        <v>128363</v>
      </c>
      <c r="AA758" s="288">
        <v>126218</v>
      </c>
      <c r="AB758" s="284" t="s">
        <v>1498</v>
      </c>
      <c r="AC758" s="290">
        <v>1.6299999999999999E-2</v>
      </c>
      <c r="AE758" s="168"/>
      <c r="AF758" s="286"/>
      <c r="AG758" s="286"/>
      <c r="AH758" s="286"/>
      <c r="AI758" s="286"/>
      <c r="AJ758" s="284"/>
    </row>
    <row r="759" spans="1:36" x14ac:dyDescent="0.3">
      <c r="A759" s="167">
        <v>44354</v>
      </c>
      <c r="B759" s="171">
        <v>19.7</v>
      </c>
      <c r="C759" s="171">
        <v>20.48</v>
      </c>
      <c r="D759" s="171">
        <v>20.49</v>
      </c>
      <c r="E759" s="171">
        <v>19.55</v>
      </c>
      <c r="F759" s="171" t="s">
        <v>1497</v>
      </c>
      <c r="G759" s="283">
        <v>-3.9E-2</v>
      </c>
      <c r="I759" s="167">
        <v>44397</v>
      </c>
      <c r="J759" s="285">
        <v>3005.86</v>
      </c>
      <c r="K759" s="285">
        <v>2972.88</v>
      </c>
      <c r="L759" s="285">
        <v>3014.25</v>
      </c>
      <c r="M759" s="285">
        <v>2970.08</v>
      </c>
      <c r="N759" s="283" t="s">
        <v>1480</v>
      </c>
      <c r="P759" s="167">
        <v>44390</v>
      </c>
      <c r="Q759" s="285">
        <v>5.1622000000000003</v>
      </c>
      <c r="R759" s="285">
        <v>5.1746999999999996</v>
      </c>
      <c r="S759" s="285">
        <v>5.2232000000000003</v>
      </c>
      <c r="T759" s="285">
        <v>5.1478999999999999</v>
      </c>
      <c r="U759" s="283">
        <v>-2.0999999999999999E-3</v>
      </c>
      <c r="W759" s="167">
        <v>44347</v>
      </c>
      <c r="X759" s="287">
        <v>126216</v>
      </c>
      <c r="Y759" s="287">
        <v>125561</v>
      </c>
      <c r="Z759" s="287">
        <v>126216</v>
      </c>
      <c r="AA759" s="287">
        <v>125540</v>
      </c>
      <c r="AB759" s="283" t="s">
        <v>1496</v>
      </c>
      <c r="AC759" s="289">
        <v>5.1999999999999998E-3</v>
      </c>
      <c r="AE759" s="167"/>
      <c r="AF759" s="285"/>
      <c r="AG759" s="285"/>
      <c r="AH759" s="285"/>
      <c r="AI759" s="285"/>
      <c r="AJ759" s="283"/>
    </row>
    <row r="760" spans="1:36" x14ac:dyDescent="0.3">
      <c r="A760" s="168">
        <v>44351</v>
      </c>
      <c r="B760" s="83">
        <v>20.5</v>
      </c>
      <c r="C760" s="83">
        <v>20.49</v>
      </c>
      <c r="D760" s="83">
        <v>20.98</v>
      </c>
      <c r="E760" s="83">
        <v>20.18</v>
      </c>
      <c r="F760" s="83" t="s">
        <v>1495</v>
      </c>
      <c r="G760" s="284">
        <v>1.0800000000000001E-2</v>
      </c>
      <c r="I760" s="168">
        <v>44396</v>
      </c>
      <c r="J760" s="286">
        <v>2975.55</v>
      </c>
      <c r="K760" s="286">
        <v>3022.42</v>
      </c>
      <c r="L760" s="286">
        <v>3022.6</v>
      </c>
      <c r="M760" s="286">
        <v>2962.62</v>
      </c>
      <c r="N760" s="284" t="s">
        <v>1494</v>
      </c>
      <c r="P760" s="168">
        <v>44389</v>
      </c>
      <c r="Q760" s="286">
        <v>5.173</v>
      </c>
      <c r="R760" s="286">
        <v>5.2586000000000004</v>
      </c>
      <c r="S760" s="286">
        <v>5.2850000000000001</v>
      </c>
      <c r="T760" s="286">
        <v>5.1630000000000003</v>
      </c>
      <c r="U760" s="284">
        <v>-1.6500000000000001E-2</v>
      </c>
      <c r="W760" s="168">
        <v>44344</v>
      </c>
      <c r="X760" s="288">
        <v>125561</v>
      </c>
      <c r="Y760" s="288">
        <v>124367</v>
      </c>
      <c r="Z760" s="288">
        <v>125698</v>
      </c>
      <c r="AA760" s="288">
        <v>124284</v>
      </c>
      <c r="AB760" s="284" t="s">
        <v>1493</v>
      </c>
      <c r="AC760" s="290">
        <v>9.5999999999999992E-3</v>
      </c>
      <c r="AE760" s="168"/>
      <c r="AF760" s="286"/>
      <c r="AG760" s="286"/>
      <c r="AH760" s="286"/>
      <c r="AI760" s="286"/>
      <c r="AJ760" s="284"/>
    </row>
    <row r="761" spans="1:36" x14ac:dyDescent="0.3">
      <c r="A761" s="167">
        <v>44349</v>
      </c>
      <c r="B761" s="171">
        <v>20.28</v>
      </c>
      <c r="C761" s="171">
        <v>19.8</v>
      </c>
      <c r="D761" s="171">
        <v>20.57</v>
      </c>
      <c r="E761" s="171">
        <v>19.55</v>
      </c>
      <c r="F761" s="171" t="s">
        <v>1492</v>
      </c>
      <c r="G761" s="283">
        <v>3.15E-2</v>
      </c>
      <c r="I761" s="167">
        <v>44393</v>
      </c>
      <c r="J761" s="285">
        <v>3024.65</v>
      </c>
      <c r="K761" s="285">
        <v>3041.7</v>
      </c>
      <c r="L761" s="285">
        <v>3048.85</v>
      </c>
      <c r="M761" s="285">
        <v>3021.73</v>
      </c>
      <c r="N761" s="283" t="s">
        <v>1491</v>
      </c>
      <c r="P761" s="167">
        <v>44386</v>
      </c>
      <c r="Q761" s="285">
        <v>5.2596999999999996</v>
      </c>
      <c r="R761" s="285">
        <v>5.2596999999999996</v>
      </c>
      <c r="S761" s="285">
        <v>5.2596999999999996</v>
      </c>
      <c r="T761" s="285">
        <v>5.2596999999999996</v>
      </c>
      <c r="U761" s="283">
        <v>2.9999999999999997E-4</v>
      </c>
      <c r="W761" s="167">
        <v>44343</v>
      </c>
      <c r="X761" s="287">
        <v>124367</v>
      </c>
      <c r="Y761" s="287">
        <v>123989</v>
      </c>
      <c r="Z761" s="287">
        <v>124537</v>
      </c>
      <c r="AA761" s="287">
        <v>123470</v>
      </c>
      <c r="AB761" s="283" t="s">
        <v>1490</v>
      </c>
      <c r="AC761" s="289">
        <v>3.0000000000000001E-3</v>
      </c>
      <c r="AE761" s="167"/>
      <c r="AF761" s="285"/>
      <c r="AG761" s="285"/>
      <c r="AH761" s="285"/>
      <c r="AI761" s="285"/>
      <c r="AJ761" s="283"/>
    </row>
    <row r="762" spans="1:36" x14ac:dyDescent="0.3">
      <c r="A762" s="168">
        <v>44348</v>
      </c>
      <c r="B762" s="83">
        <v>19.66</v>
      </c>
      <c r="C762" s="83">
        <v>20.22</v>
      </c>
      <c r="D762" s="83">
        <v>20.58</v>
      </c>
      <c r="E762" s="83">
        <v>19.420000000000002</v>
      </c>
      <c r="F762" s="83" t="s">
        <v>1489</v>
      </c>
      <c r="G762" s="284">
        <v>-3.5000000000000001E-3</v>
      </c>
      <c r="I762" s="168">
        <v>44392</v>
      </c>
      <c r="J762" s="286">
        <v>3043.52</v>
      </c>
      <c r="K762" s="286">
        <v>3058.78</v>
      </c>
      <c r="L762" s="286">
        <v>3059</v>
      </c>
      <c r="M762" s="286">
        <v>3032.35</v>
      </c>
      <c r="N762" s="284" t="s">
        <v>1488</v>
      </c>
      <c r="P762" s="168">
        <v>44385</v>
      </c>
      <c r="Q762" s="286">
        <v>5.2579000000000002</v>
      </c>
      <c r="R762" s="286">
        <v>5.2314999999999996</v>
      </c>
      <c r="S762" s="286">
        <v>5.3144999999999998</v>
      </c>
      <c r="T762" s="286">
        <v>5.2186000000000003</v>
      </c>
      <c r="U762" s="284">
        <v>5.0000000000000001E-3</v>
      </c>
      <c r="W762" s="168">
        <v>44342</v>
      </c>
      <c r="X762" s="288">
        <v>123989</v>
      </c>
      <c r="Y762" s="288">
        <v>122988</v>
      </c>
      <c r="Z762" s="288">
        <v>124256</v>
      </c>
      <c r="AA762" s="288">
        <v>122988</v>
      </c>
      <c r="AB762" s="284" t="s">
        <v>1487</v>
      </c>
      <c r="AC762" s="290">
        <v>8.0999999999999996E-3</v>
      </c>
      <c r="AE762" s="168"/>
      <c r="AF762" s="286"/>
      <c r="AG762" s="286"/>
      <c r="AH762" s="286"/>
      <c r="AI762" s="286"/>
      <c r="AJ762" s="284"/>
    </row>
    <row r="763" spans="1:36" x14ac:dyDescent="0.3">
      <c r="A763" s="167">
        <v>44347</v>
      </c>
      <c r="B763" s="171">
        <v>19.73</v>
      </c>
      <c r="C763" s="171">
        <v>19.78</v>
      </c>
      <c r="D763" s="171">
        <v>20.239999999999998</v>
      </c>
      <c r="E763" s="171">
        <v>19.55</v>
      </c>
      <c r="F763" s="171" t="s">
        <v>1487</v>
      </c>
      <c r="G763" s="283">
        <v>3.5999999999999999E-3</v>
      </c>
      <c r="I763" s="167">
        <v>44391</v>
      </c>
      <c r="J763" s="285">
        <v>3058.59</v>
      </c>
      <c r="K763" s="285">
        <v>3055.24</v>
      </c>
      <c r="L763" s="285">
        <v>3070.84</v>
      </c>
      <c r="M763" s="285">
        <v>3053.9</v>
      </c>
      <c r="N763" s="283" t="s">
        <v>1486</v>
      </c>
      <c r="P763" s="167">
        <v>44384</v>
      </c>
      <c r="Q763" s="285">
        <v>5.2314999999999996</v>
      </c>
      <c r="R763" s="285">
        <v>5.1969000000000003</v>
      </c>
      <c r="S763" s="285">
        <v>5.2815000000000003</v>
      </c>
      <c r="T763" s="285">
        <v>5.1696</v>
      </c>
      <c r="U763" s="283">
        <v>6.7000000000000002E-3</v>
      </c>
      <c r="W763" s="167">
        <v>44341</v>
      </c>
      <c r="X763" s="287">
        <v>122988</v>
      </c>
      <c r="Y763" s="287">
        <v>124032</v>
      </c>
      <c r="Z763" s="287">
        <v>124696</v>
      </c>
      <c r="AA763" s="287">
        <v>122701</v>
      </c>
      <c r="AB763" s="283" t="s">
        <v>1485</v>
      </c>
      <c r="AC763" s="289">
        <v>-8.3999999999999995E-3</v>
      </c>
      <c r="AE763" s="167"/>
      <c r="AF763" s="285"/>
      <c r="AG763" s="285"/>
      <c r="AH763" s="285"/>
      <c r="AI763" s="285"/>
      <c r="AJ763" s="283"/>
    </row>
    <row r="764" spans="1:36" x14ac:dyDescent="0.3">
      <c r="A764" s="168">
        <v>44344</v>
      </c>
      <c r="B764" s="83">
        <v>19.66</v>
      </c>
      <c r="C764" s="83">
        <v>19.649999999999999</v>
      </c>
      <c r="D764" s="83">
        <v>19.79</v>
      </c>
      <c r="E764" s="83">
        <v>19.12</v>
      </c>
      <c r="F764" s="83" t="s">
        <v>1404</v>
      </c>
      <c r="G764" s="284">
        <v>1.7100000000000001E-2</v>
      </c>
      <c r="I764" s="168">
        <v>44390</v>
      </c>
      <c r="J764" s="286">
        <v>3059.28</v>
      </c>
      <c r="K764" s="286">
        <v>3068.85</v>
      </c>
      <c r="L764" s="286">
        <v>3070.78</v>
      </c>
      <c r="M764" s="286">
        <v>3055.48</v>
      </c>
      <c r="N764" s="284" t="s">
        <v>1443</v>
      </c>
      <c r="P764" s="168">
        <v>44383</v>
      </c>
      <c r="Q764" s="286">
        <v>5.1969000000000003</v>
      </c>
      <c r="R764" s="286">
        <v>5.0968</v>
      </c>
      <c r="S764" s="286">
        <v>5.2175000000000002</v>
      </c>
      <c r="T764" s="286">
        <v>5.0753000000000004</v>
      </c>
      <c r="U764" s="284">
        <v>2.0799999999999999E-2</v>
      </c>
      <c r="W764" s="168">
        <v>44340</v>
      </c>
      <c r="X764" s="288">
        <v>124032</v>
      </c>
      <c r="Y764" s="288">
        <v>122592</v>
      </c>
      <c r="Z764" s="288">
        <v>124167</v>
      </c>
      <c r="AA764" s="288">
        <v>122526</v>
      </c>
      <c r="AB764" s="284" t="s">
        <v>1484</v>
      </c>
      <c r="AC764" s="290">
        <v>1.17E-2</v>
      </c>
      <c r="AE764" s="168"/>
      <c r="AF764" s="286"/>
      <c r="AG764" s="286"/>
      <c r="AH764" s="286"/>
      <c r="AI764" s="286"/>
      <c r="AJ764" s="284"/>
    </row>
    <row r="765" spans="1:36" x14ac:dyDescent="0.3">
      <c r="A765" s="167">
        <v>44343</v>
      </c>
      <c r="B765" s="171">
        <v>19.329999999999998</v>
      </c>
      <c r="C765" s="171">
        <v>18.920000000000002</v>
      </c>
      <c r="D765" s="171">
        <v>20.07</v>
      </c>
      <c r="E765" s="171">
        <v>18.850000000000001</v>
      </c>
      <c r="F765" s="171" t="s">
        <v>1483</v>
      </c>
      <c r="G765" s="283">
        <v>2.5499999999999998E-2</v>
      </c>
      <c r="I765" s="167">
        <v>44389</v>
      </c>
      <c r="J765" s="285">
        <v>3068.27</v>
      </c>
      <c r="K765" s="285">
        <v>3055.72</v>
      </c>
      <c r="L765" s="285">
        <v>3068.27</v>
      </c>
      <c r="M765" s="285">
        <v>3055.72</v>
      </c>
      <c r="N765" s="283" t="s">
        <v>1315</v>
      </c>
      <c r="P765" s="167">
        <v>44382</v>
      </c>
      <c r="Q765" s="285">
        <v>5.0910000000000002</v>
      </c>
      <c r="R765" s="285">
        <v>5.0551000000000004</v>
      </c>
      <c r="S765" s="285">
        <v>5.1006999999999998</v>
      </c>
      <c r="T765" s="285">
        <v>5.0458999999999996</v>
      </c>
      <c r="U765" s="283">
        <v>6.6E-3</v>
      </c>
      <c r="W765" s="167">
        <v>44337</v>
      </c>
      <c r="X765" s="287">
        <v>122592</v>
      </c>
      <c r="Y765" s="287">
        <v>122701</v>
      </c>
      <c r="Z765" s="287">
        <v>122799</v>
      </c>
      <c r="AA765" s="287">
        <v>121760</v>
      </c>
      <c r="AB765" s="283" t="s">
        <v>1482</v>
      </c>
      <c r="AC765" s="289">
        <v>-8.9999999999999998E-4</v>
      </c>
      <c r="AE765" s="167"/>
      <c r="AF765" s="285"/>
      <c r="AG765" s="285"/>
      <c r="AH765" s="285"/>
      <c r="AI765" s="285"/>
      <c r="AJ765" s="283"/>
    </row>
    <row r="766" spans="1:36" x14ac:dyDescent="0.3">
      <c r="A766" s="168">
        <v>44342</v>
      </c>
      <c r="B766" s="83">
        <v>18.850000000000001</v>
      </c>
      <c r="C766" s="83">
        <v>18.829999999999998</v>
      </c>
      <c r="D766" s="83">
        <v>19.100000000000001</v>
      </c>
      <c r="E766" s="83">
        <v>18.45</v>
      </c>
      <c r="F766" s="83" t="s">
        <v>1481</v>
      </c>
      <c r="G766" s="284">
        <v>1.1000000000000001E-3</v>
      </c>
      <c r="I766" s="168">
        <v>44386</v>
      </c>
      <c r="J766" s="286">
        <v>3053.12</v>
      </c>
      <c r="K766" s="286">
        <v>3019.89</v>
      </c>
      <c r="L766" s="286">
        <v>3055.26</v>
      </c>
      <c r="M766" s="286">
        <v>3015.49</v>
      </c>
      <c r="N766" s="284" t="s">
        <v>1480</v>
      </c>
      <c r="P766" s="168">
        <v>44379</v>
      </c>
      <c r="Q766" s="286">
        <v>5.0575000000000001</v>
      </c>
      <c r="R766" s="286">
        <v>5.0507</v>
      </c>
      <c r="S766" s="286">
        <v>5.0744999999999996</v>
      </c>
      <c r="T766" s="286">
        <v>4.9874999999999998</v>
      </c>
      <c r="U766" s="284">
        <v>2E-3</v>
      </c>
      <c r="W766" s="168">
        <v>44336</v>
      </c>
      <c r="X766" s="288">
        <v>122701</v>
      </c>
      <c r="Y766" s="288">
        <v>122636</v>
      </c>
      <c r="Z766" s="288">
        <v>122734</v>
      </c>
      <c r="AA766" s="288">
        <v>122136</v>
      </c>
      <c r="AB766" s="284" t="s">
        <v>1309</v>
      </c>
      <c r="AC766" s="290">
        <v>5.0000000000000001E-4</v>
      </c>
      <c r="AE766" s="168"/>
      <c r="AF766" s="286"/>
      <c r="AG766" s="286"/>
      <c r="AH766" s="286"/>
      <c r="AI766" s="286"/>
      <c r="AJ766" s="284"/>
    </row>
    <row r="767" spans="1:36" x14ac:dyDescent="0.3">
      <c r="A767" s="167">
        <v>44341</v>
      </c>
      <c r="B767" s="171">
        <v>18.829999999999998</v>
      </c>
      <c r="C767" s="171">
        <v>19.260000000000002</v>
      </c>
      <c r="D767" s="171">
        <v>19.399999999999999</v>
      </c>
      <c r="E767" s="171">
        <v>18.72</v>
      </c>
      <c r="F767" s="171" t="s">
        <v>1479</v>
      </c>
      <c r="G767" s="283">
        <v>-1.9300000000000001E-2</v>
      </c>
      <c r="I767" s="167">
        <v>44385</v>
      </c>
      <c r="J767" s="285">
        <v>3022.24</v>
      </c>
      <c r="K767" s="285">
        <v>3049.9</v>
      </c>
      <c r="L767" s="285">
        <v>3050.17</v>
      </c>
      <c r="M767" s="285">
        <v>3003.94</v>
      </c>
      <c r="N767" s="283" t="s">
        <v>1478</v>
      </c>
      <c r="P767" s="167">
        <v>44378</v>
      </c>
      <c r="Q767" s="285">
        <v>5.0476000000000001</v>
      </c>
      <c r="R767" s="285">
        <v>4.9705000000000004</v>
      </c>
      <c r="S767" s="285">
        <v>5.0556999999999999</v>
      </c>
      <c r="T767" s="285">
        <v>4.9466999999999999</v>
      </c>
      <c r="U767" s="283">
        <v>1.5900000000000001E-2</v>
      </c>
      <c r="W767" s="167">
        <v>44335</v>
      </c>
      <c r="X767" s="287">
        <v>122636</v>
      </c>
      <c r="Y767" s="287">
        <v>122976</v>
      </c>
      <c r="Z767" s="287">
        <v>123013</v>
      </c>
      <c r="AA767" s="287">
        <v>121595</v>
      </c>
      <c r="AB767" s="283" t="s">
        <v>1477</v>
      </c>
      <c r="AC767" s="289">
        <v>-2.8E-3</v>
      </c>
      <c r="AE767" s="167"/>
      <c r="AF767" s="285"/>
      <c r="AG767" s="285"/>
      <c r="AH767" s="285"/>
      <c r="AI767" s="285"/>
      <c r="AJ767" s="283"/>
    </row>
    <row r="768" spans="1:36" x14ac:dyDescent="0.3">
      <c r="A768" s="168">
        <v>44340</v>
      </c>
      <c r="B768" s="83">
        <v>19.2</v>
      </c>
      <c r="C768" s="83">
        <v>18.2</v>
      </c>
      <c r="D768" s="83">
        <v>19.29</v>
      </c>
      <c r="E768" s="83">
        <v>18.12</v>
      </c>
      <c r="F768" s="83" t="s">
        <v>1476</v>
      </c>
      <c r="G768" s="284">
        <v>6.5500000000000003E-2</v>
      </c>
      <c r="I768" s="168">
        <v>44384</v>
      </c>
      <c r="J768" s="286">
        <v>3049.66</v>
      </c>
      <c r="K768" s="286">
        <v>3040.26</v>
      </c>
      <c r="L768" s="286">
        <v>3053.36</v>
      </c>
      <c r="M768" s="286">
        <v>3033.78</v>
      </c>
      <c r="N768" s="284" t="s">
        <v>1222</v>
      </c>
      <c r="P768" s="168">
        <v>44377</v>
      </c>
      <c r="Q768" s="286">
        <v>4.9686000000000003</v>
      </c>
      <c r="R768" s="286">
        <v>4.9565999999999999</v>
      </c>
      <c r="S768" s="286">
        <v>5.0240999999999998</v>
      </c>
      <c r="T768" s="286">
        <v>4.9527000000000001</v>
      </c>
      <c r="U768" s="284">
        <v>2.5999999999999999E-3</v>
      </c>
      <c r="W768" s="168">
        <v>44334</v>
      </c>
      <c r="X768" s="288">
        <v>122980</v>
      </c>
      <c r="Y768" s="288">
        <v>122937</v>
      </c>
      <c r="Z768" s="288">
        <v>123544</v>
      </c>
      <c r="AA768" s="288">
        <v>122550</v>
      </c>
      <c r="AB768" s="284" t="s">
        <v>1475</v>
      </c>
      <c r="AC768" s="290">
        <v>2.9999999999999997E-4</v>
      </c>
      <c r="AE768" s="168"/>
      <c r="AF768" s="286"/>
      <c r="AG768" s="286"/>
      <c r="AH768" s="286"/>
      <c r="AI768" s="286"/>
      <c r="AJ768" s="284"/>
    </row>
    <row r="769" spans="1:36" x14ac:dyDescent="0.3">
      <c r="A769" s="167">
        <v>44337</v>
      </c>
      <c r="B769" s="171">
        <v>18.02</v>
      </c>
      <c r="C769" s="171">
        <v>18.03</v>
      </c>
      <c r="D769" s="171">
        <v>18.2</v>
      </c>
      <c r="E769" s="171">
        <v>17.850000000000001</v>
      </c>
      <c r="F769" s="171" t="s">
        <v>1474</v>
      </c>
      <c r="G769" s="283">
        <v>1.6400000000000001E-2</v>
      </c>
      <c r="I769" s="167">
        <v>44383</v>
      </c>
      <c r="J769" s="285">
        <v>3042.63</v>
      </c>
      <c r="K769" s="285">
        <v>3050.87</v>
      </c>
      <c r="L769" s="285">
        <v>3053.35</v>
      </c>
      <c r="M769" s="285">
        <v>3026.44</v>
      </c>
      <c r="N769" s="283" t="s">
        <v>1467</v>
      </c>
      <c r="P769" s="167">
        <v>44376</v>
      </c>
      <c r="Q769" s="285">
        <v>4.9558999999999997</v>
      </c>
      <c r="R769" s="285">
        <v>4.9325000000000001</v>
      </c>
      <c r="S769" s="285">
        <v>4.9714</v>
      </c>
      <c r="T769" s="285">
        <v>4.9208999999999996</v>
      </c>
      <c r="U769" s="283">
        <v>6.4000000000000003E-3</v>
      </c>
      <c r="W769" s="167">
        <v>44333</v>
      </c>
      <c r="X769" s="287">
        <v>122938</v>
      </c>
      <c r="Y769" s="287">
        <v>121880</v>
      </c>
      <c r="Z769" s="287">
        <v>123074</v>
      </c>
      <c r="AA769" s="287">
        <v>121680</v>
      </c>
      <c r="AB769" s="283" t="s">
        <v>1473</v>
      </c>
      <c r="AC769" s="289">
        <v>8.6999999999999994E-3</v>
      </c>
      <c r="AE769" s="167"/>
      <c r="AF769" s="285"/>
      <c r="AG769" s="285"/>
      <c r="AH769" s="285"/>
      <c r="AI769" s="285"/>
      <c r="AJ769" s="283"/>
    </row>
    <row r="770" spans="1:36" x14ac:dyDescent="0.3">
      <c r="A770" s="168">
        <v>44336</v>
      </c>
      <c r="B770" s="83">
        <v>17.73</v>
      </c>
      <c r="C770" s="83">
        <v>18.25</v>
      </c>
      <c r="D770" s="83">
        <v>18.39</v>
      </c>
      <c r="E770" s="83">
        <v>17.61</v>
      </c>
      <c r="F770" s="83" t="s">
        <v>1297</v>
      </c>
      <c r="G770" s="284">
        <v>-2.9000000000000001E-2</v>
      </c>
      <c r="I770" s="168">
        <v>44382</v>
      </c>
      <c r="J770" s="286">
        <v>3049.84</v>
      </c>
      <c r="K770" s="286">
        <v>3047.59</v>
      </c>
      <c r="L770" s="286">
        <v>3050.47</v>
      </c>
      <c r="M770" s="286">
        <v>3045.38</v>
      </c>
      <c r="N770" s="284" t="s">
        <v>1426</v>
      </c>
      <c r="P770" s="168">
        <v>44375</v>
      </c>
      <c r="Q770" s="286">
        <v>4.9244000000000003</v>
      </c>
      <c r="R770" s="286">
        <v>4.9306999999999999</v>
      </c>
      <c r="S770" s="286">
        <v>4.9724000000000004</v>
      </c>
      <c r="T770" s="286">
        <v>4.9170999999999996</v>
      </c>
      <c r="U770" s="284">
        <v>-1.8E-3</v>
      </c>
      <c r="W770" s="168">
        <v>44330</v>
      </c>
      <c r="X770" s="288">
        <v>121881</v>
      </c>
      <c r="Y770" s="288">
        <v>120719</v>
      </c>
      <c r="Z770" s="288">
        <v>122195</v>
      </c>
      <c r="AA770" s="288">
        <v>120719</v>
      </c>
      <c r="AB770" s="284" t="s">
        <v>1460</v>
      </c>
      <c r="AC770" s="290">
        <v>9.7000000000000003E-3</v>
      </c>
      <c r="AE770" s="168"/>
      <c r="AF770" s="286"/>
      <c r="AG770" s="286"/>
      <c r="AH770" s="286"/>
      <c r="AI770" s="286"/>
      <c r="AJ770" s="284"/>
    </row>
    <row r="771" spans="1:36" x14ac:dyDescent="0.3">
      <c r="A771" s="167">
        <v>44335</v>
      </c>
      <c r="B771" s="171">
        <v>18.260000000000002</v>
      </c>
      <c r="C771" s="171">
        <v>18.2</v>
      </c>
      <c r="D771" s="171">
        <v>18.63</v>
      </c>
      <c r="E771" s="171">
        <v>18.05</v>
      </c>
      <c r="F771" s="171" t="s">
        <v>1472</v>
      </c>
      <c r="G771" s="283">
        <v>-1.9900000000000001E-2</v>
      </c>
      <c r="I771" s="167">
        <v>44379</v>
      </c>
      <c r="J771" s="285">
        <v>3046.09</v>
      </c>
      <c r="K771" s="285">
        <v>3027.28</v>
      </c>
      <c r="L771" s="285">
        <v>3050.04</v>
      </c>
      <c r="M771" s="285">
        <v>3027.22</v>
      </c>
      <c r="N771" s="283" t="s">
        <v>1338</v>
      </c>
      <c r="P771" s="167">
        <v>44372</v>
      </c>
      <c r="Q771" s="285">
        <v>4.9335000000000004</v>
      </c>
      <c r="R771" s="285">
        <v>4.9142999999999999</v>
      </c>
      <c r="S771" s="285">
        <v>4.9749999999999996</v>
      </c>
      <c r="T771" s="285">
        <v>4.8929</v>
      </c>
      <c r="U771" s="283">
        <v>4.0000000000000001E-3</v>
      </c>
      <c r="W771" s="167">
        <v>44329</v>
      </c>
      <c r="X771" s="287">
        <v>120706</v>
      </c>
      <c r="Y771" s="287">
        <v>119711</v>
      </c>
      <c r="Z771" s="287">
        <v>121426</v>
      </c>
      <c r="AA771" s="287">
        <v>119711</v>
      </c>
      <c r="AB771" s="283" t="s">
        <v>1471</v>
      </c>
      <c r="AC771" s="289">
        <v>8.3000000000000001E-3</v>
      </c>
      <c r="AE771" s="167"/>
      <c r="AF771" s="285"/>
      <c r="AG771" s="285"/>
      <c r="AH771" s="285"/>
      <c r="AI771" s="285"/>
      <c r="AJ771" s="283"/>
    </row>
    <row r="772" spans="1:36" x14ac:dyDescent="0.3">
      <c r="A772" s="168">
        <v>44334</v>
      </c>
      <c r="B772" s="83">
        <v>18.63</v>
      </c>
      <c r="C772" s="83">
        <v>18.8</v>
      </c>
      <c r="D772" s="83">
        <v>19.100000000000001</v>
      </c>
      <c r="E772" s="83">
        <v>18.57</v>
      </c>
      <c r="F772" s="83" t="s">
        <v>1470</v>
      </c>
      <c r="G772" s="284">
        <v>-9.5999999999999992E-3</v>
      </c>
      <c r="I772" s="168">
        <v>44378</v>
      </c>
      <c r="J772" s="286">
        <v>3028.2</v>
      </c>
      <c r="K772" s="286">
        <v>3017.32</v>
      </c>
      <c r="L772" s="286">
        <v>3028.2</v>
      </c>
      <c r="M772" s="286">
        <v>3014.48</v>
      </c>
      <c r="N772" s="284" t="s">
        <v>1433</v>
      </c>
      <c r="P772" s="168">
        <v>44371</v>
      </c>
      <c r="Q772" s="286">
        <v>4.9137000000000004</v>
      </c>
      <c r="R772" s="286">
        <v>4.9671000000000003</v>
      </c>
      <c r="S772" s="286">
        <v>4.9720000000000004</v>
      </c>
      <c r="T772" s="286">
        <v>4.8977000000000004</v>
      </c>
      <c r="U772" s="284">
        <v>-1.0699999999999999E-2</v>
      </c>
      <c r="W772" s="168">
        <v>44328</v>
      </c>
      <c r="X772" s="288">
        <v>119710</v>
      </c>
      <c r="Y772" s="288">
        <v>122964</v>
      </c>
      <c r="Z772" s="288">
        <v>122964</v>
      </c>
      <c r="AA772" s="288">
        <v>119458</v>
      </c>
      <c r="AB772" s="284" t="s">
        <v>1469</v>
      </c>
      <c r="AC772" s="290">
        <v>-2.6499999999999999E-2</v>
      </c>
      <c r="AE772" s="168"/>
      <c r="AF772" s="286"/>
      <c r="AG772" s="286"/>
      <c r="AH772" s="286"/>
      <c r="AI772" s="286"/>
      <c r="AJ772" s="284"/>
    </row>
    <row r="773" spans="1:36" x14ac:dyDescent="0.3">
      <c r="A773" s="167">
        <v>44333</v>
      </c>
      <c r="B773" s="171">
        <v>18.809999999999999</v>
      </c>
      <c r="C773" s="171">
        <v>18.14</v>
      </c>
      <c r="D773" s="171">
        <v>18.97</v>
      </c>
      <c r="E773" s="171">
        <v>18</v>
      </c>
      <c r="F773" s="171" t="s">
        <v>1468</v>
      </c>
      <c r="G773" s="283">
        <v>2.6700000000000002E-2</v>
      </c>
      <c r="I773" s="167">
        <v>44377</v>
      </c>
      <c r="J773" s="285">
        <v>3017.23</v>
      </c>
      <c r="K773" s="285">
        <v>3024.95</v>
      </c>
      <c r="L773" s="285">
        <v>3025.81</v>
      </c>
      <c r="M773" s="285">
        <v>3013.73</v>
      </c>
      <c r="N773" s="283" t="s">
        <v>1467</v>
      </c>
      <c r="P773" s="167">
        <v>44370</v>
      </c>
      <c r="Q773" s="285">
        <v>4.9667000000000003</v>
      </c>
      <c r="R773" s="285">
        <v>4.9577</v>
      </c>
      <c r="S773" s="285">
        <v>4.9802</v>
      </c>
      <c r="T773" s="285">
        <v>4.9372999999999996</v>
      </c>
      <c r="U773" s="283">
        <v>1.9E-3</v>
      </c>
      <c r="W773" s="167">
        <v>44327</v>
      </c>
      <c r="X773" s="287">
        <v>122964</v>
      </c>
      <c r="Y773" s="287">
        <v>121904</v>
      </c>
      <c r="Z773" s="287">
        <v>122964</v>
      </c>
      <c r="AA773" s="287">
        <v>120145</v>
      </c>
      <c r="AB773" s="283" t="s">
        <v>1466</v>
      </c>
      <c r="AC773" s="289">
        <v>8.6999999999999994E-3</v>
      </c>
      <c r="AE773" s="167"/>
      <c r="AF773" s="285"/>
      <c r="AG773" s="285"/>
      <c r="AH773" s="285"/>
      <c r="AI773" s="285"/>
      <c r="AJ773" s="283"/>
    </row>
    <row r="774" spans="1:36" x14ac:dyDescent="0.3">
      <c r="A774" s="168">
        <v>44330</v>
      </c>
      <c r="B774" s="83">
        <v>18.32</v>
      </c>
      <c r="C774" s="83">
        <v>17.649999999999999</v>
      </c>
      <c r="D774" s="83">
        <v>18.350000000000001</v>
      </c>
      <c r="E774" s="83">
        <v>17.399999999999999</v>
      </c>
      <c r="F774" s="83" t="s">
        <v>1465</v>
      </c>
      <c r="G774" s="284">
        <v>5.7099999999999998E-2</v>
      </c>
      <c r="I774" s="168">
        <v>44376</v>
      </c>
      <c r="J774" s="286">
        <v>3024.44</v>
      </c>
      <c r="K774" s="286">
        <v>3024.03</v>
      </c>
      <c r="L774" s="286">
        <v>3029.15</v>
      </c>
      <c r="M774" s="286">
        <v>3021.82</v>
      </c>
      <c r="N774" s="284" t="s">
        <v>1405</v>
      </c>
      <c r="P774" s="168">
        <v>44369</v>
      </c>
      <c r="Q774" s="286">
        <v>4.9573999999999998</v>
      </c>
      <c r="R774" s="286">
        <v>5.0143000000000004</v>
      </c>
      <c r="S774" s="286">
        <v>5.0458999999999996</v>
      </c>
      <c r="T774" s="286">
        <v>4.9569000000000001</v>
      </c>
      <c r="U774" s="284">
        <v>-1.11E-2</v>
      </c>
      <c r="W774" s="168">
        <v>44326</v>
      </c>
      <c r="X774" s="288">
        <v>121909</v>
      </c>
      <c r="Y774" s="288">
        <v>122038</v>
      </c>
      <c r="Z774" s="288">
        <v>122772</v>
      </c>
      <c r="AA774" s="288">
        <v>121795</v>
      </c>
      <c r="AB774" s="284" t="s">
        <v>1366</v>
      </c>
      <c r="AC774" s="290">
        <v>-1.1000000000000001E-3</v>
      </c>
      <c r="AE774" s="168"/>
      <c r="AF774" s="286"/>
      <c r="AG774" s="286"/>
      <c r="AH774" s="286"/>
      <c r="AI774" s="286"/>
      <c r="AJ774" s="284"/>
    </row>
    <row r="775" spans="1:36" x14ac:dyDescent="0.3">
      <c r="A775" s="167">
        <v>44329</v>
      </c>
      <c r="B775" s="171">
        <v>17.329999999999998</v>
      </c>
      <c r="C775" s="171">
        <v>17.7</v>
      </c>
      <c r="D775" s="171">
        <v>17.89</v>
      </c>
      <c r="E775" s="171">
        <v>17.079999999999998</v>
      </c>
      <c r="F775" s="171" t="s">
        <v>1464</v>
      </c>
      <c r="G775" s="283">
        <v>-2.7E-2</v>
      </c>
      <c r="I775" s="167">
        <v>44375</v>
      </c>
      <c r="J775" s="285">
        <v>3025.22</v>
      </c>
      <c r="K775" s="285">
        <v>3024.66</v>
      </c>
      <c r="L775" s="285">
        <v>3026.53</v>
      </c>
      <c r="M775" s="285">
        <v>3017.61</v>
      </c>
      <c r="N775" s="283" t="s">
        <v>1463</v>
      </c>
      <c r="P775" s="167">
        <v>44368</v>
      </c>
      <c r="Q775" s="285">
        <v>5.0129999999999999</v>
      </c>
      <c r="R775" s="285">
        <v>5.0753000000000004</v>
      </c>
      <c r="S775" s="285">
        <v>5.0823999999999998</v>
      </c>
      <c r="T775" s="285">
        <v>5.0129000000000001</v>
      </c>
      <c r="U775" s="283">
        <v>-1.4999999999999999E-2</v>
      </c>
      <c r="W775" s="167">
        <v>44323</v>
      </c>
      <c r="X775" s="287">
        <v>122038</v>
      </c>
      <c r="Y775" s="287">
        <v>119922</v>
      </c>
      <c r="Z775" s="287">
        <v>122038</v>
      </c>
      <c r="AA775" s="287">
        <v>119922</v>
      </c>
      <c r="AB775" s="283" t="s">
        <v>1462</v>
      </c>
      <c r="AC775" s="289">
        <v>1.77E-2</v>
      </c>
      <c r="AE775" s="167"/>
      <c r="AF775" s="285"/>
      <c r="AG775" s="285"/>
      <c r="AH775" s="285"/>
      <c r="AI775" s="285"/>
      <c r="AJ775" s="283"/>
    </row>
    <row r="776" spans="1:36" x14ac:dyDescent="0.3">
      <c r="A776" s="168">
        <v>44328</v>
      </c>
      <c r="B776" s="83">
        <v>17.809999999999999</v>
      </c>
      <c r="C776" s="83">
        <v>18.2</v>
      </c>
      <c r="D776" s="83">
        <v>18.41</v>
      </c>
      <c r="E776" s="83">
        <v>17.55</v>
      </c>
      <c r="F776" s="83" t="s">
        <v>1461</v>
      </c>
      <c r="G776" s="284">
        <v>-1.9800000000000002E-2</v>
      </c>
      <c r="I776" s="168">
        <v>44372</v>
      </c>
      <c r="J776" s="286">
        <v>3024.94</v>
      </c>
      <c r="K776" s="286">
        <v>3015.32</v>
      </c>
      <c r="L776" s="286">
        <v>3026.23</v>
      </c>
      <c r="M776" s="286">
        <v>3015.02</v>
      </c>
      <c r="N776" s="284" t="s">
        <v>1224</v>
      </c>
      <c r="P776" s="168">
        <v>44365</v>
      </c>
      <c r="Q776" s="286">
        <v>5.0894000000000004</v>
      </c>
      <c r="R776" s="286">
        <v>5.0076999999999998</v>
      </c>
      <c r="S776" s="286">
        <v>5.1100000000000003</v>
      </c>
      <c r="T776" s="286">
        <v>4.9814999999999996</v>
      </c>
      <c r="U776" s="284">
        <v>1.67E-2</v>
      </c>
      <c r="W776" s="168">
        <v>44322</v>
      </c>
      <c r="X776" s="288">
        <v>119921</v>
      </c>
      <c r="Y776" s="288">
        <v>119577</v>
      </c>
      <c r="Z776" s="288">
        <v>119966</v>
      </c>
      <c r="AA776" s="288">
        <v>119071</v>
      </c>
      <c r="AB776" s="284" t="s">
        <v>1414</v>
      </c>
      <c r="AC776" s="290">
        <v>3.0000000000000001E-3</v>
      </c>
      <c r="AE776" s="168"/>
      <c r="AF776" s="286"/>
      <c r="AG776" s="286"/>
      <c r="AH776" s="286"/>
      <c r="AI776" s="286"/>
      <c r="AJ776" s="284"/>
    </row>
    <row r="777" spans="1:36" x14ac:dyDescent="0.3">
      <c r="A777" s="167">
        <v>44327</v>
      </c>
      <c r="B777" s="171">
        <v>18.170000000000002</v>
      </c>
      <c r="C777" s="171">
        <v>18.52</v>
      </c>
      <c r="D777" s="171">
        <v>18.52</v>
      </c>
      <c r="E777" s="171">
        <v>17.79</v>
      </c>
      <c r="F777" s="171" t="s">
        <v>1460</v>
      </c>
      <c r="G777" s="283">
        <v>-1.6799999999999999E-2</v>
      </c>
      <c r="I777" s="167">
        <v>44371</v>
      </c>
      <c r="J777" s="285">
        <v>3013.36</v>
      </c>
      <c r="K777" s="285">
        <v>2996.41</v>
      </c>
      <c r="L777" s="285">
        <v>3017.53</v>
      </c>
      <c r="M777" s="285">
        <v>2995.45</v>
      </c>
      <c r="N777" s="283" t="s">
        <v>1459</v>
      </c>
      <c r="P777" s="167">
        <v>44364</v>
      </c>
      <c r="Q777" s="285">
        <v>5.0058999999999996</v>
      </c>
      <c r="R777" s="285">
        <v>5.0587</v>
      </c>
      <c r="S777" s="285">
        <v>5.0759999999999996</v>
      </c>
      <c r="T777" s="285">
        <v>5.0068000000000001</v>
      </c>
      <c r="U777" s="283">
        <v>-9.5999999999999992E-3</v>
      </c>
      <c r="W777" s="167">
        <v>44321</v>
      </c>
      <c r="X777" s="287">
        <v>119564</v>
      </c>
      <c r="Y777" s="287">
        <v>117725</v>
      </c>
      <c r="Z777" s="287">
        <v>119734</v>
      </c>
      <c r="AA777" s="287">
        <v>117725</v>
      </c>
      <c r="AB777" s="283" t="s">
        <v>1458</v>
      </c>
      <c r="AC777" s="289">
        <v>1.5699999999999999E-2</v>
      </c>
      <c r="AE777" s="167"/>
      <c r="AF777" s="285"/>
      <c r="AG777" s="285"/>
      <c r="AH777" s="285"/>
      <c r="AI777" s="285"/>
      <c r="AJ777" s="283"/>
    </row>
    <row r="778" spans="1:36" x14ac:dyDescent="0.3">
      <c r="A778" s="168">
        <v>44326</v>
      </c>
      <c r="B778" s="83">
        <v>18.48</v>
      </c>
      <c r="C778" s="83">
        <v>19.36</v>
      </c>
      <c r="D778" s="83">
        <v>19.53</v>
      </c>
      <c r="E778" s="83">
        <v>18.46</v>
      </c>
      <c r="F778" s="83" t="s">
        <v>1457</v>
      </c>
      <c r="G778" s="284">
        <v>-3.7999999999999999E-2</v>
      </c>
      <c r="I778" s="168">
        <v>44370</v>
      </c>
      <c r="J778" s="286">
        <v>2998</v>
      </c>
      <c r="K778" s="286">
        <v>3003.5</v>
      </c>
      <c r="L778" s="286">
        <v>3009.12</v>
      </c>
      <c r="M778" s="286">
        <v>2996.22</v>
      </c>
      <c r="N778" s="284" t="s">
        <v>1211</v>
      </c>
      <c r="P778" s="168">
        <v>44363</v>
      </c>
      <c r="Q778" s="286">
        <v>5.0545</v>
      </c>
      <c r="R778" s="286">
        <v>5.0435999999999996</v>
      </c>
      <c r="S778" s="286">
        <v>5.0820999999999996</v>
      </c>
      <c r="T778" s="286">
        <v>4.9920999999999998</v>
      </c>
      <c r="U778" s="284">
        <v>2.0999999999999999E-3</v>
      </c>
      <c r="W778" s="168">
        <v>44320</v>
      </c>
      <c r="X778" s="288">
        <v>117712</v>
      </c>
      <c r="Y778" s="288">
        <v>119209</v>
      </c>
      <c r="Z778" s="288">
        <v>119293</v>
      </c>
      <c r="AA778" s="288">
        <v>117631</v>
      </c>
      <c r="AB778" s="284" t="s">
        <v>1456</v>
      </c>
      <c r="AC778" s="290">
        <v>-1.26E-2</v>
      </c>
      <c r="AE778" s="168"/>
      <c r="AF778" s="286"/>
      <c r="AG778" s="286"/>
      <c r="AH778" s="286"/>
      <c r="AI778" s="286"/>
      <c r="AJ778" s="284"/>
    </row>
    <row r="779" spans="1:36" x14ac:dyDescent="0.3">
      <c r="A779" s="167">
        <v>44323</v>
      </c>
      <c r="B779" s="171">
        <v>19.21</v>
      </c>
      <c r="C779" s="171">
        <v>19.09</v>
      </c>
      <c r="D779" s="171">
        <v>19.22</v>
      </c>
      <c r="E779" s="171">
        <v>18.670000000000002</v>
      </c>
      <c r="F779" s="171" t="s">
        <v>1455</v>
      </c>
      <c r="G779" s="283">
        <v>5.0000000000000001E-4</v>
      </c>
      <c r="I779" s="167">
        <v>44369</v>
      </c>
      <c r="J779" s="285">
        <v>3001.14</v>
      </c>
      <c r="K779" s="285">
        <v>2983.57</v>
      </c>
      <c r="L779" s="285">
        <v>3009.07</v>
      </c>
      <c r="M779" s="285">
        <v>2983.39</v>
      </c>
      <c r="N779" s="283" t="s">
        <v>1454</v>
      </c>
      <c r="P779" s="167">
        <v>44362</v>
      </c>
      <c r="Q779" s="285">
        <v>5.0437000000000003</v>
      </c>
      <c r="R779" s="285">
        <v>5.0601000000000003</v>
      </c>
      <c r="S779" s="285">
        <v>5.1052</v>
      </c>
      <c r="T779" s="285">
        <v>5.0377999999999998</v>
      </c>
      <c r="U779" s="283">
        <v>-3.2000000000000002E-3</v>
      </c>
      <c r="W779" s="167">
        <v>44319</v>
      </c>
      <c r="X779" s="287">
        <v>119209</v>
      </c>
      <c r="Y779" s="287">
        <v>118951</v>
      </c>
      <c r="Z779" s="287">
        <v>119904</v>
      </c>
      <c r="AA779" s="287">
        <v>118528</v>
      </c>
      <c r="AB779" s="283" t="s">
        <v>1453</v>
      </c>
      <c r="AC779" s="289">
        <v>2.7000000000000001E-3</v>
      </c>
      <c r="AE779" s="167"/>
      <c r="AF779" s="285"/>
      <c r="AG779" s="285"/>
      <c r="AH779" s="285"/>
      <c r="AI779" s="285"/>
      <c r="AJ779" s="283"/>
    </row>
    <row r="780" spans="1:36" x14ac:dyDescent="0.3">
      <c r="A780" s="168">
        <v>44322</v>
      </c>
      <c r="B780" s="83">
        <v>19.2</v>
      </c>
      <c r="C780" s="83">
        <v>19.68</v>
      </c>
      <c r="D780" s="83">
        <v>19.68</v>
      </c>
      <c r="E780" s="83">
        <v>18.52</v>
      </c>
      <c r="F780" s="83" t="s">
        <v>1452</v>
      </c>
      <c r="G780" s="284">
        <v>-1.03E-2</v>
      </c>
      <c r="I780" s="168">
        <v>44368</v>
      </c>
      <c r="J780" s="286">
        <v>2982.11</v>
      </c>
      <c r="K780" s="286">
        <v>2953.08</v>
      </c>
      <c r="L780" s="286">
        <v>2983.42</v>
      </c>
      <c r="M780" s="286">
        <v>2943.47</v>
      </c>
      <c r="N780" s="284" t="s">
        <v>1451</v>
      </c>
      <c r="P780" s="168">
        <v>44361</v>
      </c>
      <c r="Q780" s="286">
        <v>5.0601000000000003</v>
      </c>
      <c r="R780" s="286">
        <v>5.1153000000000004</v>
      </c>
      <c r="S780" s="286">
        <v>5.1189999999999998</v>
      </c>
      <c r="T780" s="286">
        <v>5.0538999999999996</v>
      </c>
      <c r="U780" s="284">
        <v>-1.11E-2</v>
      </c>
      <c r="W780" s="168">
        <v>44316</v>
      </c>
      <c r="X780" s="288">
        <v>118894</v>
      </c>
      <c r="Y780" s="288">
        <v>120064</v>
      </c>
      <c r="Z780" s="288">
        <v>120125</v>
      </c>
      <c r="AA780" s="288">
        <v>118894</v>
      </c>
      <c r="AB780" s="284" t="s">
        <v>1249</v>
      </c>
      <c r="AC780" s="290">
        <v>-9.7999999999999997E-3</v>
      </c>
      <c r="AE780" s="168"/>
      <c r="AF780" s="286"/>
      <c r="AG780" s="286"/>
      <c r="AH780" s="286"/>
      <c r="AI780" s="286"/>
      <c r="AJ780" s="284"/>
    </row>
    <row r="781" spans="1:36" x14ac:dyDescent="0.3">
      <c r="A781" s="167">
        <v>44321</v>
      </c>
      <c r="B781" s="171">
        <v>19.399999999999999</v>
      </c>
      <c r="C781" s="171">
        <v>19.22</v>
      </c>
      <c r="D781" s="171">
        <v>19.63</v>
      </c>
      <c r="E781" s="171">
        <v>19.12</v>
      </c>
      <c r="F781" s="171" t="s">
        <v>1450</v>
      </c>
      <c r="G781" s="283">
        <v>1.83E-2</v>
      </c>
      <c r="I781" s="167">
        <v>44365</v>
      </c>
      <c r="J781" s="285">
        <v>2954.19</v>
      </c>
      <c r="K781" s="285">
        <v>2994.41</v>
      </c>
      <c r="L781" s="285">
        <v>2995.11</v>
      </c>
      <c r="M781" s="285">
        <v>2954.19</v>
      </c>
      <c r="N781" s="283" t="s">
        <v>1449</v>
      </c>
      <c r="P781" s="167">
        <v>44358</v>
      </c>
      <c r="Q781" s="285">
        <v>5.1170999999999998</v>
      </c>
      <c r="R781" s="285">
        <v>5.0590000000000002</v>
      </c>
      <c r="S781" s="285">
        <v>5.1395</v>
      </c>
      <c r="T781" s="285">
        <v>5.0529999999999999</v>
      </c>
      <c r="U781" s="283">
        <v>1.2200000000000001E-2</v>
      </c>
      <c r="W781" s="167">
        <v>44315</v>
      </c>
      <c r="X781" s="287">
        <v>120066</v>
      </c>
      <c r="Y781" s="287">
        <v>121053</v>
      </c>
      <c r="Z781" s="287">
        <v>121498</v>
      </c>
      <c r="AA781" s="287">
        <v>119703</v>
      </c>
      <c r="AB781" s="283" t="s">
        <v>1448</v>
      </c>
      <c r="AC781" s="289">
        <v>-8.2000000000000007E-3</v>
      </c>
      <c r="AE781" s="167"/>
      <c r="AF781" s="285"/>
      <c r="AG781" s="285"/>
      <c r="AH781" s="285"/>
      <c r="AI781" s="285"/>
      <c r="AJ781" s="283"/>
    </row>
    <row r="782" spans="1:36" x14ac:dyDescent="0.3">
      <c r="A782" s="168">
        <v>44320</v>
      </c>
      <c r="B782" s="83">
        <v>19.05</v>
      </c>
      <c r="C782" s="83">
        <v>18.64</v>
      </c>
      <c r="D782" s="83">
        <v>19.37</v>
      </c>
      <c r="E782" s="83">
        <v>18.55</v>
      </c>
      <c r="F782" s="83" t="s">
        <v>1447</v>
      </c>
      <c r="G782" s="284">
        <v>3.6999999999999998E-2</v>
      </c>
      <c r="I782" s="168">
        <v>44364</v>
      </c>
      <c r="J782" s="286">
        <v>2996.51</v>
      </c>
      <c r="K782" s="286">
        <v>2998.72</v>
      </c>
      <c r="L782" s="286">
        <v>3000.35</v>
      </c>
      <c r="M782" s="286">
        <v>2980.45</v>
      </c>
      <c r="N782" s="284" t="s">
        <v>1446</v>
      </c>
      <c r="P782" s="168">
        <v>44357</v>
      </c>
      <c r="Q782" s="286">
        <v>5.0552000000000001</v>
      </c>
      <c r="R782" s="286">
        <v>5.0650000000000004</v>
      </c>
      <c r="S782" s="286">
        <v>5.0922000000000001</v>
      </c>
      <c r="T782" s="286">
        <v>5.0323000000000002</v>
      </c>
      <c r="U782" s="284">
        <v>-1.4E-3</v>
      </c>
      <c r="W782" s="168">
        <v>44314</v>
      </c>
      <c r="X782" s="288">
        <v>121053</v>
      </c>
      <c r="Y782" s="288">
        <v>119392</v>
      </c>
      <c r="Z782" s="288">
        <v>121276</v>
      </c>
      <c r="AA782" s="288">
        <v>119392</v>
      </c>
      <c r="AB782" s="284" t="s">
        <v>1445</v>
      </c>
      <c r="AC782" s="290">
        <v>1.3899999999999999E-2</v>
      </c>
      <c r="AE782" s="168"/>
      <c r="AF782" s="286"/>
      <c r="AG782" s="286"/>
      <c r="AH782" s="286"/>
      <c r="AI782" s="286"/>
      <c r="AJ782" s="284"/>
    </row>
    <row r="783" spans="1:36" x14ac:dyDescent="0.3">
      <c r="A783" s="167">
        <v>44319</v>
      </c>
      <c r="B783" s="171">
        <v>18.37</v>
      </c>
      <c r="C783" s="171">
        <v>18.579999999999998</v>
      </c>
      <c r="D783" s="171">
        <v>18.61</v>
      </c>
      <c r="E783" s="171">
        <v>18.149999999999999</v>
      </c>
      <c r="F783" s="171" t="s">
        <v>1444</v>
      </c>
      <c r="G783" s="283">
        <v>3.0999999999999999E-3</v>
      </c>
      <c r="I783" s="167">
        <v>44363</v>
      </c>
      <c r="J783" s="285">
        <v>3008.48</v>
      </c>
      <c r="K783" s="285">
        <v>3016.99</v>
      </c>
      <c r="L783" s="285">
        <v>3020.93</v>
      </c>
      <c r="M783" s="285">
        <v>2989.83</v>
      </c>
      <c r="N783" s="283" t="s">
        <v>1443</v>
      </c>
      <c r="P783" s="167">
        <v>44356</v>
      </c>
      <c r="Q783" s="285">
        <v>5.0621</v>
      </c>
      <c r="R783" s="285">
        <v>5.0362999999999998</v>
      </c>
      <c r="S783" s="285">
        <v>5.0862999999999996</v>
      </c>
      <c r="T783" s="285">
        <v>5.0180999999999996</v>
      </c>
      <c r="U783" s="283">
        <v>5.8999999999999999E-3</v>
      </c>
      <c r="W783" s="167">
        <v>44313</v>
      </c>
      <c r="X783" s="287">
        <v>119388</v>
      </c>
      <c r="Y783" s="287">
        <v>120595</v>
      </c>
      <c r="Z783" s="287">
        <v>121012</v>
      </c>
      <c r="AA783" s="287">
        <v>119003</v>
      </c>
      <c r="AB783" s="283" t="s">
        <v>1442</v>
      </c>
      <c r="AC783" s="289">
        <v>-0.01</v>
      </c>
      <c r="AE783" s="167"/>
      <c r="AF783" s="285"/>
      <c r="AG783" s="285"/>
      <c r="AH783" s="285"/>
      <c r="AI783" s="285"/>
      <c r="AJ783" s="283"/>
    </row>
    <row r="784" spans="1:36" x14ac:dyDescent="0.3">
      <c r="A784" s="168">
        <v>44316</v>
      </c>
      <c r="B784" s="83">
        <v>18.32</v>
      </c>
      <c r="C784" s="83">
        <v>18.329999999999998</v>
      </c>
      <c r="D784" s="83">
        <v>18.329999999999998</v>
      </c>
      <c r="E784" s="83">
        <v>17.97</v>
      </c>
      <c r="F784" s="83" t="s">
        <v>1441</v>
      </c>
      <c r="G784" s="284">
        <v>-1.0999999999999999E-2</v>
      </c>
      <c r="I784" s="168">
        <v>44362</v>
      </c>
      <c r="J784" s="286">
        <v>3017.27</v>
      </c>
      <c r="K784" s="286">
        <v>3019.91</v>
      </c>
      <c r="L784" s="286">
        <v>3025.73</v>
      </c>
      <c r="M784" s="286">
        <v>3013.43</v>
      </c>
      <c r="N784" s="284" t="s">
        <v>1440</v>
      </c>
      <c r="P784" s="168">
        <v>44355</v>
      </c>
      <c r="Q784" s="286">
        <v>5.0324999999999998</v>
      </c>
      <c r="R784" s="286">
        <v>5.0468000000000002</v>
      </c>
      <c r="S784" s="286">
        <v>5.0689000000000002</v>
      </c>
      <c r="T784" s="286">
        <v>5.0205000000000002</v>
      </c>
      <c r="U784" s="284">
        <v>-2.5000000000000001E-3</v>
      </c>
      <c r="W784" s="168">
        <v>44312</v>
      </c>
      <c r="X784" s="288">
        <v>120595</v>
      </c>
      <c r="Y784" s="288">
        <v>120534</v>
      </c>
      <c r="Z784" s="288">
        <v>121393</v>
      </c>
      <c r="AA784" s="288">
        <v>119860</v>
      </c>
      <c r="AB784" s="284" t="s">
        <v>1439</v>
      </c>
      <c r="AC784" s="290">
        <v>5.0000000000000001E-4</v>
      </c>
      <c r="AE784" s="168"/>
      <c r="AF784" s="286"/>
      <c r="AG784" s="286"/>
      <c r="AH784" s="286"/>
      <c r="AI784" s="286"/>
      <c r="AJ784" s="284"/>
    </row>
    <row r="785" spans="1:36" x14ac:dyDescent="0.3">
      <c r="A785" s="167">
        <v>44315</v>
      </c>
      <c r="B785" s="171">
        <v>18.52</v>
      </c>
      <c r="C785" s="171">
        <v>18.739999999999998</v>
      </c>
      <c r="D785" s="171">
        <v>18.86</v>
      </c>
      <c r="E785" s="171">
        <v>18.27</v>
      </c>
      <c r="F785" s="171" t="s">
        <v>1438</v>
      </c>
      <c r="G785" s="283">
        <v>3.5999999999999999E-3</v>
      </c>
      <c r="I785" s="167">
        <v>44361</v>
      </c>
      <c r="J785" s="285">
        <v>3019.88</v>
      </c>
      <c r="K785" s="285">
        <v>3013.87</v>
      </c>
      <c r="L785" s="285">
        <v>3019.88</v>
      </c>
      <c r="M785" s="285">
        <v>3009.67</v>
      </c>
      <c r="N785" s="283" t="s">
        <v>1298</v>
      </c>
      <c r="P785" s="167">
        <v>44354</v>
      </c>
      <c r="Q785" s="285">
        <v>5.0450999999999997</v>
      </c>
      <c r="R785" s="285">
        <v>5.0465999999999998</v>
      </c>
      <c r="S785" s="285">
        <v>5.0702999999999996</v>
      </c>
      <c r="T785" s="285">
        <v>5.0171999999999999</v>
      </c>
      <c r="U785" s="283">
        <v>-8.9999999999999998E-4</v>
      </c>
      <c r="W785" s="167">
        <v>44309</v>
      </c>
      <c r="X785" s="287">
        <v>120530</v>
      </c>
      <c r="Y785" s="287">
        <v>119372</v>
      </c>
      <c r="Z785" s="287">
        <v>120815</v>
      </c>
      <c r="AA785" s="287">
        <v>119372</v>
      </c>
      <c r="AB785" s="283" t="s">
        <v>1437</v>
      </c>
      <c r="AC785" s="289">
        <v>9.7000000000000003E-3</v>
      </c>
      <c r="AE785" s="167"/>
      <c r="AF785" s="285"/>
      <c r="AG785" s="285"/>
      <c r="AH785" s="285"/>
      <c r="AI785" s="285"/>
      <c r="AJ785" s="283"/>
    </row>
    <row r="786" spans="1:36" x14ac:dyDescent="0.3">
      <c r="A786" s="168">
        <v>44314</v>
      </c>
      <c r="B786" s="83">
        <v>18.45</v>
      </c>
      <c r="C786" s="83">
        <v>18.190000000000001</v>
      </c>
      <c r="D786" s="83">
        <v>18.690000000000001</v>
      </c>
      <c r="E786" s="83">
        <v>18.18</v>
      </c>
      <c r="F786" s="83" t="s">
        <v>1436</v>
      </c>
      <c r="G786" s="284">
        <v>2.4299999999999999E-2</v>
      </c>
      <c r="I786" s="168">
        <v>44358</v>
      </c>
      <c r="J786" s="286">
        <v>3012.67</v>
      </c>
      <c r="K786" s="286">
        <v>3008.68</v>
      </c>
      <c r="L786" s="286">
        <v>3013.38</v>
      </c>
      <c r="M786" s="286">
        <v>3004.39</v>
      </c>
      <c r="N786" s="284" t="s">
        <v>1312</v>
      </c>
      <c r="P786" s="168">
        <v>44351</v>
      </c>
      <c r="Q786" s="286">
        <v>5.0495000000000001</v>
      </c>
      <c r="R786" s="286">
        <v>5.1135000000000002</v>
      </c>
      <c r="S786" s="286">
        <v>5.1154000000000002</v>
      </c>
      <c r="T786" s="286">
        <v>5.032</v>
      </c>
      <c r="U786" s="284">
        <v>-5.4999999999999997E-3</v>
      </c>
      <c r="W786" s="168">
        <v>44308</v>
      </c>
      <c r="X786" s="288">
        <v>119371</v>
      </c>
      <c r="Y786" s="288">
        <v>120064</v>
      </c>
      <c r="Z786" s="288">
        <v>120995</v>
      </c>
      <c r="AA786" s="288">
        <v>119203</v>
      </c>
      <c r="AB786" s="284" t="s">
        <v>1435</v>
      </c>
      <c r="AC786" s="290">
        <v>-5.7999999999999996E-3</v>
      </c>
      <c r="AE786" s="168"/>
      <c r="AF786" s="286"/>
      <c r="AG786" s="286"/>
      <c r="AH786" s="286"/>
      <c r="AI786" s="286"/>
      <c r="AJ786" s="284"/>
    </row>
    <row r="787" spans="1:36" x14ac:dyDescent="0.3">
      <c r="A787" s="167">
        <v>44313</v>
      </c>
      <c r="B787" s="171">
        <v>18.02</v>
      </c>
      <c r="C787" s="171">
        <v>18.14</v>
      </c>
      <c r="D787" s="171">
        <v>18.39</v>
      </c>
      <c r="E787" s="171">
        <v>17.97</v>
      </c>
      <c r="F787" s="171" t="s">
        <v>1434</v>
      </c>
      <c r="G787" s="283">
        <v>-2.3999999999999998E-3</v>
      </c>
      <c r="I787" s="167">
        <v>44357</v>
      </c>
      <c r="J787" s="285">
        <v>3007.46</v>
      </c>
      <c r="K787" s="285">
        <v>2995.5</v>
      </c>
      <c r="L787" s="285">
        <v>3012.63</v>
      </c>
      <c r="M787" s="285">
        <v>2993.9</v>
      </c>
      <c r="N787" s="283" t="s">
        <v>1433</v>
      </c>
      <c r="P787" s="167">
        <v>44350</v>
      </c>
      <c r="Q787" s="285">
        <v>5.0774999999999997</v>
      </c>
      <c r="R787" s="285">
        <v>5.0785999999999998</v>
      </c>
      <c r="S787" s="285">
        <v>5.0785999999999998</v>
      </c>
      <c r="T787" s="285">
        <v>5.0780000000000003</v>
      </c>
      <c r="U787" s="283">
        <v>4.0000000000000002E-4</v>
      </c>
      <c r="W787" s="167">
        <v>44306</v>
      </c>
      <c r="X787" s="287">
        <v>120062</v>
      </c>
      <c r="Y787" s="287">
        <v>120925</v>
      </c>
      <c r="Z787" s="287">
        <v>121354</v>
      </c>
      <c r="AA787" s="287">
        <v>119841</v>
      </c>
      <c r="AB787" s="283" t="s">
        <v>1432</v>
      </c>
      <c r="AC787" s="289">
        <v>-7.1999999999999998E-3</v>
      </c>
      <c r="AE787" s="167"/>
      <c r="AF787" s="285"/>
      <c r="AG787" s="285"/>
      <c r="AH787" s="285"/>
      <c r="AI787" s="285"/>
      <c r="AJ787" s="283"/>
    </row>
    <row r="788" spans="1:36" x14ac:dyDescent="0.3">
      <c r="A788" s="168">
        <v>44312</v>
      </c>
      <c r="B788" s="83">
        <v>18.059999999999999</v>
      </c>
      <c r="C788" s="83">
        <v>18.309999999999999</v>
      </c>
      <c r="D788" s="83">
        <v>18.34</v>
      </c>
      <c r="E788" s="83">
        <v>17.96</v>
      </c>
      <c r="F788" s="83" t="s">
        <v>1431</v>
      </c>
      <c r="G788" s="284">
        <v>-1.6899999999999998E-2</v>
      </c>
      <c r="I788" s="168">
        <v>44356</v>
      </c>
      <c r="J788" s="286">
        <v>2996.64</v>
      </c>
      <c r="K788" s="286">
        <v>3000.67</v>
      </c>
      <c r="L788" s="286">
        <v>3007</v>
      </c>
      <c r="M788" s="286">
        <v>2995.83</v>
      </c>
      <c r="N788" s="284" t="s">
        <v>1430</v>
      </c>
      <c r="P788" s="168">
        <v>44349</v>
      </c>
      <c r="Q788" s="286">
        <v>5.0754000000000001</v>
      </c>
      <c r="R788" s="286">
        <v>5.1515000000000004</v>
      </c>
      <c r="S788" s="286">
        <v>5.1753999999999998</v>
      </c>
      <c r="T788" s="286">
        <v>5.0670999999999999</v>
      </c>
      <c r="U788" s="284">
        <v>-1.47E-2</v>
      </c>
      <c r="W788" s="168">
        <v>44305</v>
      </c>
      <c r="X788" s="288">
        <v>120934</v>
      </c>
      <c r="Y788" s="288">
        <v>121116</v>
      </c>
      <c r="Z788" s="288">
        <v>121974</v>
      </c>
      <c r="AA788" s="288">
        <v>120682</v>
      </c>
      <c r="AB788" s="284" t="s">
        <v>1429</v>
      </c>
      <c r="AC788" s="290">
        <v>-1.5E-3</v>
      </c>
      <c r="AE788" s="168"/>
      <c r="AF788" s="286"/>
      <c r="AG788" s="286"/>
      <c r="AH788" s="286"/>
      <c r="AI788" s="286"/>
      <c r="AJ788" s="284"/>
    </row>
    <row r="789" spans="1:36" x14ac:dyDescent="0.3">
      <c r="A789" s="167">
        <v>44309</v>
      </c>
      <c r="B789" s="171">
        <v>18.37</v>
      </c>
      <c r="C789" s="171">
        <v>18.32</v>
      </c>
      <c r="D789" s="171">
        <v>18.760000000000002</v>
      </c>
      <c r="E789" s="171">
        <v>18.21</v>
      </c>
      <c r="F789" s="171" t="s">
        <v>1428</v>
      </c>
      <c r="G789" s="283">
        <v>9.7000000000000003E-3</v>
      </c>
      <c r="I789" s="167">
        <v>44355</v>
      </c>
      <c r="J789" s="285">
        <v>3001.83</v>
      </c>
      <c r="K789" s="285">
        <v>3001.02</v>
      </c>
      <c r="L789" s="285">
        <v>3007.52</v>
      </c>
      <c r="M789" s="285">
        <v>2991.96</v>
      </c>
      <c r="N789" s="283" t="s">
        <v>1399</v>
      </c>
      <c r="P789" s="167">
        <v>44348</v>
      </c>
      <c r="Q789" s="285">
        <v>5.1509</v>
      </c>
      <c r="R789" s="285">
        <v>5.2210000000000001</v>
      </c>
      <c r="S789" s="285">
        <v>5.2211999999999996</v>
      </c>
      <c r="T789" s="285">
        <v>5.1398999999999999</v>
      </c>
      <c r="U789" s="283">
        <v>-1.2699999999999999E-2</v>
      </c>
      <c r="W789" s="167">
        <v>44302</v>
      </c>
      <c r="X789" s="287">
        <v>121114</v>
      </c>
      <c r="Y789" s="287">
        <v>120701</v>
      </c>
      <c r="Z789" s="287">
        <v>121333</v>
      </c>
      <c r="AA789" s="287">
        <v>120199</v>
      </c>
      <c r="AB789" s="283" t="s">
        <v>1272</v>
      </c>
      <c r="AC789" s="289">
        <v>3.3999999999999998E-3</v>
      </c>
      <c r="AE789" s="167"/>
      <c r="AF789" s="285"/>
      <c r="AG789" s="285"/>
      <c r="AH789" s="285"/>
      <c r="AI789" s="285"/>
      <c r="AJ789" s="283"/>
    </row>
    <row r="790" spans="1:36" x14ac:dyDescent="0.3">
      <c r="A790" s="168">
        <v>44308</v>
      </c>
      <c r="B790" s="83">
        <v>18.190000000000001</v>
      </c>
      <c r="C790" s="83">
        <v>18.77</v>
      </c>
      <c r="D790" s="83">
        <v>18.79</v>
      </c>
      <c r="E790" s="83">
        <v>18.190000000000001</v>
      </c>
      <c r="F790" s="83" t="s">
        <v>1427</v>
      </c>
      <c r="G790" s="284">
        <v>-2.1399999999999999E-2</v>
      </c>
      <c r="I790" s="168">
        <v>44354</v>
      </c>
      <c r="J790" s="286">
        <v>3000.97</v>
      </c>
      <c r="K790" s="286">
        <v>2998.58</v>
      </c>
      <c r="L790" s="286">
        <v>3002.2</v>
      </c>
      <c r="M790" s="286">
        <v>2994.07</v>
      </c>
      <c r="N790" s="284" t="s">
        <v>1426</v>
      </c>
      <c r="P790" s="168">
        <v>44347</v>
      </c>
      <c r="Q790" s="286">
        <v>5.2172000000000001</v>
      </c>
      <c r="R790" s="286">
        <v>5.2228000000000003</v>
      </c>
      <c r="S790" s="286">
        <v>5.2632000000000003</v>
      </c>
      <c r="T790" s="286">
        <v>5.1981999999999999</v>
      </c>
      <c r="U790" s="284">
        <v>-1.4E-3</v>
      </c>
      <c r="W790" s="168">
        <v>44301</v>
      </c>
      <c r="X790" s="288">
        <v>120701</v>
      </c>
      <c r="Y790" s="288">
        <v>120290</v>
      </c>
      <c r="Z790" s="288">
        <v>121409</v>
      </c>
      <c r="AA790" s="288">
        <v>120084</v>
      </c>
      <c r="AB790" s="284" t="s">
        <v>1272</v>
      </c>
      <c r="AC790" s="290">
        <v>3.3999999999999998E-3</v>
      </c>
      <c r="AE790" s="168"/>
      <c r="AF790" s="286"/>
      <c r="AG790" s="286"/>
      <c r="AH790" s="286"/>
      <c r="AI790" s="286"/>
      <c r="AJ790" s="284"/>
    </row>
    <row r="791" spans="1:36" x14ac:dyDescent="0.3">
      <c r="A791" s="167">
        <v>44306</v>
      </c>
      <c r="B791" s="171">
        <v>18.59</v>
      </c>
      <c r="C791" s="171">
        <v>19.309999999999999</v>
      </c>
      <c r="D791" s="171">
        <v>19.420000000000002</v>
      </c>
      <c r="E791" s="171">
        <v>18.46</v>
      </c>
      <c r="F791" s="171" t="s">
        <v>1425</v>
      </c>
      <c r="G791" s="283">
        <v>-3.1699999999999999E-2</v>
      </c>
      <c r="I791" s="167">
        <v>44351</v>
      </c>
      <c r="J791" s="285">
        <v>2997.36</v>
      </c>
      <c r="K791" s="285">
        <v>2971.56</v>
      </c>
      <c r="L791" s="285">
        <v>2999.34</v>
      </c>
      <c r="M791" s="285">
        <v>2970.12</v>
      </c>
      <c r="N791" s="283" t="s">
        <v>1247</v>
      </c>
      <c r="P791" s="167">
        <v>44344</v>
      </c>
      <c r="Q791" s="285">
        <v>5.2244000000000002</v>
      </c>
      <c r="R791" s="285">
        <v>5.24</v>
      </c>
      <c r="S791" s="285">
        <v>5.2664</v>
      </c>
      <c r="T791" s="285">
        <v>5.2088000000000001</v>
      </c>
      <c r="U791" s="283">
        <v>-2.7000000000000001E-3</v>
      </c>
      <c r="W791" s="167">
        <v>44300</v>
      </c>
      <c r="X791" s="287">
        <v>120295</v>
      </c>
      <c r="Y791" s="287">
        <v>119298</v>
      </c>
      <c r="Z791" s="287">
        <v>120871</v>
      </c>
      <c r="AA791" s="287">
        <v>119298</v>
      </c>
      <c r="AB791" s="283" t="s">
        <v>1424</v>
      </c>
      <c r="AC791" s="289">
        <v>8.3999999999999995E-3</v>
      </c>
      <c r="AE791" s="167"/>
      <c r="AF791" s="285"/>
      <c r="AG791" s="285"/>
      <c r="AH791" s="285"/>
      <c r="AI791" s="285"/>
      <c r="AJ791" s="283"/>
    </row>
    <row r="792" spans="1:36" x14ac:dyDescent="0.3">
      <c r="A792" s="168">
        <v>44305</v>
      </c>
      <c r="B792" s="83">
        <v>19.2</v>
      </c>
      <c r="C792" s="83">
        <v>19.63</v>
      </c>
      <c r="D792" s="83">
        <v>19.68</v>
      </c>
      <c r="E792" s="83">
        <v>19.2</v>
      </c>
      <c r="F792" s="83" t="s">
        <v>1423</v>
      </c>
      <c r="G792" s="284">
        <v>-2.18E-2</v>
      </c>
      <c r="I792" s="168">
        <v>44350</v>
      </c>
      <c r="J792" s="286">
        <v>2972.87</v>
      </c>
      <c r="K792" s="286">
        <v>2986.36</v>
      </c>
      <c r="L792" s="286">
        <v>2989.71</v>
      </c>
      <c r="M792" s="286">
        <v>2959.71</v>
      </c>
      <c r="N792" s="284" t="s">
        <v>1422</v>
      </c>
      <c r="P792" s="168">
        <v>44343</v>
      </c>
      <c r="Q792" s="286">
        <v>5.2382999999999997</v>
      </c>
      <c r="R792" s="286">
        <v>5.3120000000000003</v>
      </c>
      <c r="S792" s="286">
        <v>5.3132999999999999</v>
      </c>
      <c r="T792" s="286">
        <v>5.2346000000000004</v>
      </c>
      <c r="U792" s="284">
        <v>-1.38E-2</v>
      </c>
      <c r="W792" s="168">
        <v>44299</v>
      </c>
      <c r="X792" s="288">
        <v>119297</v>
      </c>
      <c r="Y792" s="288">
        <v>118809</v>
      </c>
      <c r="Z792" s="288">
        <v>119529</v>
      </c>
      <c r="AA792" s="288">
        <v>118041</v>
      </c>
      <c r="AB792" s="284" t="s">
        <v>1421</v>
      </c>
      <c r="AC792" s="290">
        <v>4.1000000000000003E-3</v>
      </c>
      <c r="AE792" s="168"/>
      <c r="AF792" s="286"/>
      <c r="AG792" s="286"/>
      <c r="AH792" s="286"/>
      <c r="AI792" s="286"/>
      <c r="AJ792" s="284"/>
    </row>
    <row r="793" spans="1:36" x14ac:dyDescent="0.3">
      <c r="A793" s="167">
        <v>44302</v>
      </c>
      <c r="B793" s="171">
        <v>19.63</v>
      </c>
      <c r="C793" s="171">
        <v>19.68</v>
      </c>
      <c r="D793" s="171">
        <v>19.72</v>
      </c>
      <c r="E793" s="171">
        <v>19.059999999999999</v>
      </c>
      <c r="F793" s="171" t="s">
        <v>1420</v>
      </c>
      <c r="G793" s="283">
        <v>5.4999999999999997E-3</v>
      </c>
      <c r="I793" s="167">
        <v>44349</v>
      </c>
      <c r="J793" s="285">
        <v>2985.97</v>
      </c>
      <c r="K793" s="285">
        <v>2980.63</v>
      </c>
      <c r="L793" s="285">
        <v>2990.57</v>
      </c>
      <c r="M793" s="285">
        <v>2979.42</v>
      </c>
      <c r="N793" s="283" t="s">
        <v>1227</v>
      </c>
      <c r="P793" s="167">
        <v>44342</v>
      </c>
      <c r="Q793" s="285">
        <v>5.3114999999999997</v>
      </c>
      <c r="R793" s="285">
        <v>5.3289</v>
      </c>
      <c r="S793" s="285">
        <v>5.3434999999999997</v>
      </c>
      <c r="T793" s="285">
        <v>5.2866999999999997</v>
      </c>
      <c r="U793" s="283">
        <v>-3.7000000000000002E-3</v>
      </c>
      <c r="W793" s="167">
        <v>44298</v>
      </c>
      <c r="X793" s="287">
        <v>118812</v>
      </c>
      <c r="Y793" s="287">
        <v>117661</v>
      </c>
      <c r="Z793" s="287">
        <v>118812</v>
      </c>
      <c r="AA793" s="287">
        <v>117661</v>
      </c>
      <c r="AB793" s="283" t="s">
        <v>1419</v>
      </c>
      <c r="AC793" s="289">
        <v>9.7000000000000003E-3</v>
      </c>
      <c r="AE793" s="167"/>
      <c r="AF793" s="285"/>
      <c r="AG793" s="285"/>
      <c r="AH793" s="285"/>
      <c r="AI793" s="285"/>
      <c r="AJ793" s="283"/>
    </row>
    <row r="794" spans="1:36" x14ac:dyDescent="0.3">
      <c r="A794" s="168">
        <v>44301</v>
      </c>
      <c r="B794" s="83">
        <v>19.52</v>
      </c>
      <c r="C794" s="83">
        <v>20.54</v>
      </c>
      <c r="D794" s="83">
        <v>20.67</v>
      </c>
      <c r="E794" s="83">
        <v>19.440000000000001</v>
      </c>
      <c r="F794" s="83" t="s">
        <v>1418</v>
      </c>
      <c r="G794" s="284">
        <v>-4.1300000000000003E-2</v>
      </c>
      <c r="I794" s="168">
        <v>44348</v>
      </c>
      <c r="J794" s="286">
        <v>2982.02</v>
      </c>
      <c r="K794" s="286">
        <v>2976.98</v>
      </c>
      <c r="L794" s="286">
        <v>2998.05</v>
      </c>
      <c r="M794" s="286">
        <v>2975.18</v>
      </c>
      <c r="N794" s="284" t="s">
        <v>1417</v>
      </c>
      <c r="P794" s="168">
        <v>44341</v>
      </c>
      <c r="Q794" s="286">
        <v>5.3311999999999999</v>
      </c>
      <c r="R794" s="286">
        <v>5.3204000000000002</v>
      </c>
      <c r="S794" s="286">
        <v>5.3474000000000004</v>
      </c>
      <c r="T794" s="286">
        <v>5.2941000000000003</v>
      </c>
      <c r="U794" s="284">
        <v>2.5999999999999999E-3</v>
      </c>
      <c r="W794" s="168">
        <v>44295</v>
      </c>
      <c r="X794" s="288">
        <v>117670</v>
      </c>
      <c r="Y794" s="288">
        <v>118313</v>
      </c>
      <c r="Z794" s="288">
        <v>118643</v>
      </c>
      <c r="AA794" s="288">
        <v>117336</v>
      </c>
      <c r="AB794" s="284" t="s">
        <v>1416</v>
      </c>
      <c r="AC794" s="290">
        <v>-5.4000000000000003E-3</v>
      </c>
      <c r="AE794" s="168"/>
      <c r="AF794" s="286"/>
      <c r="AG794" s="286"/>
      <c r="AH794" s="286"/>
      <c r="AI794" s="286"/>
      <c r="AJ794" s="284"/>
    </row>
    <row r="795" spans="1:36" x14ac:dyDescent="0.3">
      <c r="A795" s="167">
        <v>44300</v>
      </c>
      <c r="B795" s="171">
        <v>20.36</v>
      </c>
      <c r="C795" s="171">
        <v>20.48</v>
      </c>
      <c r="D795" s="171">
        <v>20.64</v>
      </c>
      <c r="E795" s="171">
        <v>20.27</v>
      </c>
      <c r="F795" s="171" t="s">
        <v>1415</v>
      </c>
      <c r="G795" s="283">
        <v>1.29E-2</v>
      </c>
      <c r="I795" s="167">
        <v>44347</v>
      </c>
      <c r="J795" s="285">
        <v>2975.7</v>
      </c>
      <c r="K795" s="285">
        <v>2979.17</v>
      </c>
      <c r="L795" s="285">
        <v>2980.03</v>
      </c>
      <c r="M795" s="285">
        <v>2975.24</v>
      </c>
      <c r="N795" s="283" t="s">
        <v>1292</v>
      </c>
      <c r="P795" s="167">
        <v>44340</v>
      </c>
      <c r="Q795" s="285">
        <v>5.3174999999999999</v>
      </c>
      <c r="R795" s="285">
        <v>5.3663999999999996</v>
      </c>
      <c r="S795" s="285">
        <v>5.3746</v>
      </c>
      <c r="T795" s="285">
        <v>5.3094999999999999</v>
      </c>
      <c r="U795" s="283">
        <v>-8.2000000000000007E-3</v>
      </c>
      <c r="W795" s="167">
        <v>44294</v>
      </c>
      <c r="X795" s="287">
        <v>118313</v>
      </c>
      <c r="Y795" s="287">
        <v>117624</v>
      </c>
      <c r="Z795" s="287">
        <v>118850</v>
      </c>
      <c r="AA795" s="287">
        <v>117486</v>
      </c>
      <c r="AB795" s="283" t="s">
        <v>1414</v>
      </c>
      <c r="AC795" s="289">
        <v>5.8999999999999999E-3</v>
      </c>
      <c r="AE795" s="167"/>
      <c r="AF795" s="285"/>
      <c r="AG795" s="285"/>
      <c r="AH795" s="285"/>
      <c r="AI795" s="285"/>
      <c r="AJ795" s="283"/>
    </row>
    <row r="796" spans="1:36" x14ac:dyDescent="0.3">
      <c r="A796" s="168">
        <v>44299</v>
      </c>
      <c r="B796" s="83">
        <v>20.100000000000001</v>
      </c>
      <c r="C796" s="83">
        <v>19.52</v>
      </c>
      <c r="D796" s="83">
        <v>20.36</v>
      </c>
      <c r="E796" s="83">
        <v>19.5</v>
      </c>
      <c r="F796" s="83" t="s">
        <v>1413</v>
      </c>
      <c r="G796" s="284">
        <v>3.6999999999999998E-2</v>
      </c>
      <c r="I796" s="168">
        <v>44344</v>
      </c>
      <c r="J796" s="286">
        <v>2979.3</v>
      </c>
      <c r="K796" s="286">
        <v>2972.42</v>
      </c>
      <c r="L796" s="286">
        <v>2987.71</v>
      </c>
      <c r="M796" s="286">
        <v>2972.42</v>
      </c>
      <c r="N796" s="284" t="s">
        <v>1412</v>
      </c>
      <c r="P796" s="168">
        <v>44337</v>
      </c>
      <c r="Q796" s="286">
        <v>5.3616999999999999</v>
      </c>
      <c r="R796" s="286">
        <v>5.2843</v>
      </c>
      <c r="S796" s="286">
        <v>5.3710000000000004</v>
      </c>
      <c r="T796" s="286">
        <v>5.2702999999999998</v>
      </c>
      <c r="U796" s="284">
        <v>1.4999999999999999E-2</v>
      </c>
      <c r="W796" s="168">
        <v>44293</v>
      </c>
      <c r="X796" s="288">
        <v>117624</v>
      </c>
      <c r="Y796" s="288">
        <v>117499</v>
      </c>
      <c r="Z796" s="288">
        <v>118303</v>
      </c>
      <c r="AA796" s="288">
        <v>116748</v>
      </c>
      <c r="AB796" s="284" t="s">
        <v>1411</v>
      </c>
      <c r="AC796" s="290">
        <v>1.1000000000000001E-3</v>
      </c>
      <c r="AE796" s="168"/>
      <c r="AF796" s="286"/>
      <c r="AG796" s="286"/>
      <c r="AH796" s="286"/>
      <c r="AI796" s="286"/>
      <c r="AJ796" s="284"/>
    </row>
    <row r="797" spans="1:36" x14ac:dyDescent="0.3">
      <c r="A797" s="167">
        <v>44298</v>
      </c>
      <c r="B797" s="171">
        <v>19.38</v>
      </c>
      <c r="C797" s="171">
        <v>19.07</v>
      </c>
      <c r="D797" s="171">
        <v>19.53</v>
      </c>
      <c r="E797" s="171">
        <v>18.97</v>
      </c>
      <c r="F797" s="171" t="s">
        <v>1410</v>
      </c>
      <c r="G797" s="283">
        <v>2.5600000000000001E-2</v>
      </c>
      <c r="I797" s="167">
        <v>44343</v>
      </c>
      <c r="J797" s="285">
        <v>2970.64</v>
      </c>
      <c r="K797" s="285">
        <v>2967.48</v>
      </c>
      <c r="L797" s="285">
        <v>2977.96</v>
      </c>
      <c r="M797" s="285">
        <v>2965.51</v>
      </c>
      <c r="N797" s="283" t="s">
        <v>1210</v>
      </c>
      <c r="P797" s="167">
        <v>44336</v>
      </c>
      <c r="Q797" s="285">
        <v>5.2824999999999998</v>
      </c>
      <c r="R797" s="285">
        <v>5.3098000000000001</v>
      </c>
      <c r="S797" s="285">
        <v>5.3109000000000002</v>
      </c>
      <c r="T797" s="285">
        <v>5.2698</v>
      </c>
      <c r="U797" s="283">
        <v>-5.1000000000000004E-3</v>
      </c>
      <c r="W797" s="167">
        <v>44292</v>
      </c>
      <c r="X797" s="287">
        <v>117499</v>
      </c>
      <c r="Y797" s="287">
        <v>117519</v>
      </c>
      <c r="Z797" s="287">
        <v>118213</v>
      </c>
      <c r="AA797" s="287">
        <v>117176</v>
      </c>
      <c r="AB797" s="283" t="s">
        <v>1409</v>
      </c>
      <c r="AC797" s="289">
        <v>-2.0000000000000001E-4</v>
      </c>
      <c r="AE797" s="167"/>
      <c r="AF797" s="285"/>
      <c r="AG797" s="285"/>
      <c r="AH797" s="285"/>
      <c r="AI797" s="285"/>
      <c r="AJ797" s="283"/>
    </row>
    <row r="798" spans="1:36" x14ac:dyDescent="0.3">
      <c r="A798" s="168">
        <v>44295</v>
      </c>
      <c r="B798" s="83">
        <v>18.899999999999999</v>
      </c>
      <c r="C798" s="83">
        <v>18.72</v>
      </c>
      <c r="D798" s="83">
        <v>19.14</v>
      </c>
      <c r="E798" s="83">
        <v>18.52</v>
      </c>
      <c r="F798" s="83" t="s">
        <v>1408</v>
      </c>
      <c r="G798" s="284">
        <v>-2.7000000000000001E-3</v>
      </c>
      <c r="I798" s="168">
        <v>44342</v>
      </c>
      <c r="J798" s="286">
        <v>2969.51</v>
      </c>
      <c r="K798" s="286">
        <v>2965.22</v>
      </c>
      <c r="L798" s="286">
        <v>2971.87</v>
      </c>
      <c r="M798" s="286">
        <v>2963.08</v>
      </c>
      <c r="N798" s="284" t="s">
        <v>1227</v>
      </c>
      <c r="P798" s="168">
        <v>44335</v>
      </c>
      <c r="Q798" s="286">
        <v>5.3094000000000001</v>
      </c>
      <c r="R798" s="286">
        <v>5.2607999999999997</v>
      </c>
      <c r="S798" s="286">
        <v>5.3261000000000003</v>
      </c>
      <c r="T798" s="286">
        <v>5.2586000000000004</v>
      </c>
      <c r="U798" s="284">
        <v>9.2999999999999992E-3</v>
      </c>
      <c r="W798" s="168">
        <v>44291</v>
      </c>
      <c r="X798" s="288">
        <v>117518</v>
      </c>
      <c r="Y798" s="288">
        <v>115262</v>
      </c>
      <c r="Z798" s="288">
        <v>117668</v>
      </c>
      <c r="AA798" s="288">
        <v>115262</v>
      </c>
      <c r="AB798" s="284" t="s">
        <v>1407</v>
      </c>
      <c r="AC798" s="290">
        <v>1.9699999999999999E-2</v>
      </c>
      <c r="AE798" s="168"/>
      <c r="AF798" s="286"/>
      <c r="AG798" s="286"/>
      <c r="AH798" s="286"/>
      <c r="AI798" s="286"/>
      <c r="AJ798" s="284"/>
    </row>
    <row r="799" spans="1:36" x14ac:dyDescent="0.3">
      <c r="A799" s="167">
        <v>44294</v>
      </c>
      <c r="B799" s="171">
        <v>18.95</v>
      </c>
      <c r="C799" s="171">
        <v>19.07</v>
      </c>
      <c r="D799" s="171">
        <v>19.38</v>
      </c>
      <c r="E799" s="171">
        <v>18.45</v>
      </c>
      <c r="F799" s="171" t="s">
        <v>1406</v>
      </c>
      <c r="G799" s="283">
        <v>1.6000000000000001E-3</v>
      </c>
      <c r="I799" s="167">
        <v>44341</v>
      </c>
      <c r="J799" s="285">
        <v>2965.51</v>
      </c>
      <c r="K799" s="285">
        <v>2966.94</v>
      </c>
      <c r="L799" s="285">
        <v>2979.38</v>
      </c>
      <c r="M799" s="285">
        <v>2963.54</v>
      </c>
      <c r="N799" s="283" t="s">
        <v>1405</v>
      </c>
      <c r="P799" s="167">
        <v>44334</v>
      </c>
      <c r="Q799" s="285">
        <v>5.2605000000000004</v>
      </c>
      <c r="R799" s="285">
        <v>5.2754000000000003</v>
      </c>
      <c r="S799" s="285">
        <v>5.2813999999999997</v>
      </c>
      <c r="T799" s="285">
        <v>5.2298</v>
      </c>
      <c r="U799" s="283">
        <v>-2.3999999999999998E-3</v>
      </c>
      <c r="W799" s="167">
        <v>44287</v>
      </c>
      <c r="X799" s="287">
        <v>115253</v>
      </c>
      <c r="Y799" s="287">
        <v>116644</v>
      </c>
      <c r="Z799" s="287">
        <v>117088</v>
      </c>
      <c r="AA799" s="287">
        <v>114991</v>
      </c>
      <c r="AB799" s="283" t="s">
        <v>1404</v>
      </c>
      <c r="AC799" s="289">
        <v>-1.18E-2</v>
      </c>
      <c r="AE799" s="167"/>
      <c r="AF799" s="285"/>
      <c r="AG799" s="285"/>
      <c r="AH799" s="285"/>
      <c r="AI799" s="285"/>
      <c r="AJ799" s="283"/>
    </row>
    <row r="800" spans="1:36" x14ac:dyDescent="0.3">
      <c r="A800" s="168">
        <v>44293</v>
      </c>
      <c r="B800" s="83">
        <v>18.920000000000002</v>
      </c>
      <c r="C800" s="83">
        <v>18.7</v>
      </c>
      <c r="D800" s="83">
        <v>19.03</v>
      </c>
      <c r="E800" s="83">
        <v>18.37</v>
      </c>
      <c r="F800" s="83" t="s">
        <v>1403</v>
      </c>
      <c r="G800" s="284">
        <v>1.1900000000000001E-2</v>
      </c>
      <c r="I800" s="168">
        <v>44340</v>
      </c>
      <c r="J800" s="286">
        <v>2966.44</v>
      </c>
      <c r="K800" s="286">
        <v>2942.55</v>
      </c>
      <c r="L800" s="286">
        <v>2972.19</v>
      </c>
      <c r="M800" s="286">
        <v>2942.42</v>
      </c>
      <c r="N800" s="284" t="s">
        <v>1402</v>
      </c>
      <c r="P800" s="168">
        <v>44333</v>
      </c>
      <c r="Q800" s="286">
        <v>5.2728999999999999</v>
      </c>
      <c r="R800" s="286">
        <v>5.2725</v>
      </c>
      <c r="S800" s="286">
        <v>5.3205</v>
      </c>
      <c r="T800" s="286">
        <v>5.2442000000000002</v>
      </c>
      <c r="U800" s="284">
        <v>0</v>
      </c>
      <c r="W800" s="168">
        <v>44286</v>
      </c>
      <c r="X800" s="288">
        <v>116634</v>
      </c>
      <c r="Y800" s="288">
        <v>116850</v>
      </c>
      <c r="Z800" s="288">
        <v>117249</v>
      </c>
      <c r="AA800" s="288">
        <v>115932</v>
      </c>
      <c r="AB800" s="284" t="s">
        <v>1401</v>
      </c>
      <c r="AC800" s="290">
        <v>-1.8E-3</v>
      </c>
      <c r="AE800" s="168"/>
      <c r="AF800" s="286"/>
      <c r="AG800" s="286"/>
      <c r="AH800" s="286"/>
      <c r="AI800" s="286"/>
      <c r="AJ800" s="284"/>
    </row>
    <row r="801" spans="1:36" x14ac:dyDescent="0.3">
      <c r="A801" s="167">
        <v>44292</v>
      </c>
      <c r="B801" s="171">
        <v>18.7</v>
      </c>
      <c r="C801" s="171">
        <v>18.3</v>
      </c>
      <c r="D801" s="171">
        <v>18.899999999999999</v>
      </c>
      <c r="E801" s="171">
        <v>18.13</v>
      </c>
      <c r="F801" s="171" t="s">
        <v>1400</v>
      </c>
      <c r="G801" s="283">
        <v>3.1699999999999999E-2</v>
      </c>
      <c r="I801" s="167">
        <v>44337</v>
      </c>
      <c r="J801" s="285">
        <v>2943.13</v>
      </c>
      <c r="K801" s="285">
        <v>2943.34</v>
      </c>
      <c r="L801" s="285">
        <v>2960.2</v>
      </c>
      <c r="M801" s="285">
        <v>2940</v>
      </c>
      <c r="N801" s="283" t="s">
        <v>1399</v>
      </c>
      <c r="P801" s="167">
        <v>44330</v>
      </c>
      <c r="Q801" s="285">
        <v>5.2728000000000002</v>
      </c>
      <c r="R801" s="285">
        <v>5.3090000000000002</v>
      </c>
      <c r="S801" s="285">
        <v>5.3090000000000002</v>
      </c>
      <c r="T801" s="285">
        <v>5.2442000000000002</v>
      </c>
      <c r="U801" s="283">
        <v>-6.7999999999999996E-3</v>
      </c>
      <c r="W801" s="167">
        <v>44285</v>
      </c>
      <c r="X801" s="287">
        <v>116850</v>
      </c>
      <c r="Y801" s="287">
        <v>115414</v>
      </c>
      <c r="Z801" s="287">
        <v>117090</v>
      </c>
      <c r="AA801" s="287">
        <v>114999</v>
      </c>
      <c r="AB801" s="283" t="s">
        <v>1398</v>
      </c>
      <c r="AC801" s="289">
        <v>1.24E-2</v>
      </c>
      <c r="AE801" s="167"/>
      <c r="AF801" s="285"/>
      <c r="AG801" s="285"/>
      <c r="AH801" s="285"/>
      <c r="AI801" s="285"/>
      <c r="AJ801" s="283"/>
    </row>
    <row r="802" spans="1:36" x14ac:dyDescent="0.3">
      <c r="A802" s="168">
        <v>44291</v>
      </c>
      <c r="B802" s="83">
        <v>18.12</v>
      </c>
      <c r="C802" s="83">
        <v>18.399999999999999</v>
      </c>
      <c r="D802" s="83">
        <v>18.46</v>
      </c>
      <c r="E802" s="83">
        <v>17.760000000000002</v>
      </c>
      <c r="F802" s="83" t="s">
        <v>1397</v>
      </c>
      <c r="G802" s="284">
        <v>-4.0000000000000001E-3</v>
      </c>
      <c r="I802" s="168">
        <v>44336</v>
      </c>
      <c r="J802" s="286">
        <v>2942.21</v>
      </c>
      <c r="K802" s="286">
        <v>2906.3</v>
      </c>
      <c r="L802" s="286">
        <v>2949.46</v>
      </c>
      <c r="M802" s="286">
        <v>2906.26</v>
      </c>
      <c r="N802" s="284" t="s">
        <v>1396</v>
      </c>
      <c r="P802" s="168">
        <v>44329</v>
      </c>
      <c r="Q802" s="286">
        <v>5.3090000000000002</v>
      </c>
      <c r="R802" s="286">
        <v>5.3042999999999996</v>
      </c>
      <c r="S802" s="286">
        <v>5.3331</v>
      </c>
      <c r="T802" s="286">
        <v>5.2519</v>
      </c>
      <c r="U802" s="284">
        <v>5.0000000000000001E-4</v>
      </c>
      <c r="W802" s="168">
        <v>44284</v>
      </c>
      <c r="X802" s="288">
        <v>115419</v>
      </c>
      <c r="Y802" s="288">
        <v>114776</v>
      </c>
      <c r="Z802" s="288">
        <v>115553</v>
      </c>
      <c r="AA802" s="288">
        <v>114096</v>
      </c>
      <c r="AB802" s="284" t="s">
        <v>1395</v>
      </c>
      <c r="AC802" s="290">
        <v>5.5999999999999999E-3</v>
      </c>
      <c r="AE802" s="168"/>
      <c r="AF802" s="286"/>
      <c r="AG802" s="286"/>
      <c r="AH802" s="286"/>
      <c r="AI802" s="286"/>
      <c r="AJ802" s="284"/>
    </row>
    <row r="803" spans="1:36" x14ac:dyDescent="0.3">
      <c r="A803" s="167">
        <v>44287</v>
      </c>
      <c r="B803" s="171">
        <v>18.2</v>
      </c>
      <c r="C803" s="171">
        <v>18.57</v>
      </c>
      <c r="D803" s="171">
        <v>18.71</v>
      </c>
      <c r="E803" s="171">
        <v>18.190000000000001</v>
      </c>
      <c r="F803" s="171" t="s">
        <v>1394</v>
      </c>
      <c r="G803" s="283">
        <v>-1.41E-2</v>
      </c>
      <c r="I803" s="167">
        <v>44335</v>
      </c>
      <c r="J803" s="285">
        <v>2910.94</v>
      </c>
      <c r="K803" s="285">
        <v>2926.5</v>
      </c>
      <c r="L803" s="285">
        <v>2926.9</v>
      </c>
      <c r="M803" s="285">
        <v>2879.9</v>
      </c>
      <c r="N803" s="283" t="s">
        <v>1393</v>
      </c>
      <c r="P803" s="167">
        <v>44328</v>
      </c>
      <c r="Q803" s="285">
        <v>5.3060999999999998</v>
      </c>
      <c r="R803" s="285">
        <v>5.2226999999999997</v>
      </c>
      <c r="S803" s="285">
        <v>5.3197999999999999</v>
      </c>
      <c r="T803" s="285">
        <v>5.2104999999999997</v>
      </c>
      <c r="U803" s="283">
        <v>1.6299999999999999E-2</v>
      </c>
      <c r="W803" s="167">
        <v>44281</v>
      </c>
      <c r="X803" s="287">
        <v>114781</v>
      </c>
      <c r="Y803" s="287">
        <v>113750</v>
      </c>
      <c r="Z803" s="287">
        <v>115416</v>
      </c>
      <c r="AA803" s="287">
        <v>113305</v>
      </c>
      <c r="AB803" s="283" t="s">
        <v>1392</v>
      </c>
      <c r="AC803" s="289">
        <v>9.1000000000000004E-3</v>
      </c>
      <c r="AE803" s="167"/>
      <c r="AF803" s="285"/>
      <c r="AG803" s="285"/>
      <c r="AH803" s="285"/>
      <c r="AI803" s="285"/>
      <c r="AJ803" s="283"/>
    </row>
    <row r="804" spans="1:36" x14ac:dyDescent="0.3">
      <c r="A804" s="168">
        <v>44286</v>
      </c>
      <c r="B804" s="83">
        <v>18.46</v>
      </c>
      <c r="C804" s="83">
        <v>18.45</v>
      </c>
      <c r="D804" s="83">
        <v>18.84</v>
      </c>
      <c r="E804" s="83">
        <v>18.16</v>
      </c>
      <c r="F804" s="83" t="s">
        <v>1391</v>
      </c>
      <c r="G804" s="284">
        <v>0</v>
      </c>
      <c r="I804" s="168">
        <v>44334</v>
      </c>
      <c r="J804" s="286">
        <v>2928.68</v>
      </c>
      <c r="K804" s="286">
        <v>2935.56</v>
      </c>
      <c r="L804" s="286">
        <v>2948.06</v>
      </c>
      <c r="M804" s="286">
        <v>2928.51</v>
      </c>
      <c r="N804" s="284" t="s">
        <v>1390</v>
      </c>
      <c r="P804" s="168">
        <v>44327</v>
      </c>
      <c r="Q804" s="286">
        <v>5.2207999999999997</v>
      </c>
      <c r="R804" s="286">
        <v>5.2272999999999996</v>
      </c>
      <c r="S804" s="286">
        <v>5.2823000000000002</v>
      </c>
      <c r="T804" s="286">
        <v>5.2031000000000001</v>
      </c>
      <c r="U804" s="284">
        <v>-1.1999999999999999E-3</v>
      </c>
      <c r="W804" s="168">
        <v>44280</v>
      </c>
      <c r="X804" s="288">
        <v>113750</v>
      </c>
      <c r="Y804" s="288">
        <v>112065</v>
      </c>
      <c r="Z804" s="288">
        <v>114024</v>
      </c>
      <c r="AA804" s="288">
        <v>110927</v>
      </c>
      <c r="AB804" s="284" t="s">
        <v>1389</v>
      </c>
      <c r="AC804" s="290">
        <v>1.4999999999999999E-2</v>
      </c>
      <c r="AE804" s="168"/>
      <c r="AF804" s="286"/>
      <c r="AG804" s="286"/>
      <c r="AH804" s="286"/>
      <c r="AI804" s="286"/>
      <c r="AJ804" s="284"/>
    </row>
    <row r="805" spans="1:36" x14ac:dyDescent="0.3">
      <c r="A805" s="167">
        <v>44285</v>
      </c>
      <c r="B805" s="171">
        <v>18.45</v>
      </c>
      <c r="C805" s="171">
        <v>18.920000000000002</v>
      </c>
      <c r="D805" s="171">
        <v>18.920000000000002</v>
      </c>
      <c r="E805" s="171">
        <v>18.23</v>
      </c>
      <c r="F805" s="171" t="s">
        <v>1388</v>
      </c>
      <c r="G805" s="283">
        <v>-2.2599999999999999E-2</v>
      </c>
      <c r="I805" s="167">
        <v>44333</v>
      </c>
      <c r="J805" s="285">
        <v>2934.18</v>
      </c>
      <c r="K805" s="285">
        <v>2940.8</v>
      </c>
      <c r="L805" s="285">
        <v>2941.53</v>
      </c>
      <c r="M805" s="285">
        <v>2924.32</v>
      </c>
      <c r="N805" s="283" t="s">
        <v>1387</v>
      </c>
      <c r="P805" s="167">
        <v>44326</v>
      </c>
      <c r="Q805" s="285">
        <v>5.2271999999999998</v>
      </c>
      <c r="R805" s="285">
        <v>5.234</v>
      </c>
      <c r="S805" s="285">
        <v>5.2526000000000002</v>
      </c>
      <c r="T805" s="285">
        <v>5.1963999999999997</v>
      </c>
      <c r="U805" s="283">
        <v>-1.8E-3</v>
      </c>
      <c r="W805" s="167">
        <v>44279</v>
      </c>
      <c r="X805" s="287">
        <v>112064</v>
      </c>
      <c r="Y805" s="287">
        <v>113272</v>
      </c>
      <c r="Z805" s="287">
        <v>114823</v>
      </c>
      <c r="AA805" s="287">
        <v>112064</v>
      </c>
      <c r="AB805" s="283" t="s">
        <v>1386</v>
      </c>
      <c r="AC805" s="289">
        <v>-1.06E-2</v>
      </c>
      <c r="AE805" s="167"/>
      <c r="AF805" s="285"/>
      <c r="AG805" s="285"/>
      <c r="AH805" s="285"/>
      <c r="AI805" s="285"/>
      <c r="AJ805" s="283"/>
    </row>
    <row r="806" spans="1:36" x14ac:dyDescent="0.3">
      <c r="A806" s="168">
        <v>44284</v>
      </c>
      <c r="B806" s="83">
        <v>18.88</v>
      </c>
      <c r="C806" s="83">
        <v>18.48</v>
      </c>
      <c r="D806" s="83">
        <v>18.989999999999998</v>
      </c>
      <c r="E806" s="83">
        <v>18.27</v>
      </c>
      <c r="F806" s="83" t="s">
        <v>1385</v>
      </c>
      <c r="G806" s="284">
        <v>2.0400000000000001E-2</v>
      </c>
      <c r="I806" s="168">
        <v>44330</v>
      </c>
      <c r="J806" s="286">
        <v>2938.63</v>
      </c>
      <c r="K806" s="286">
        <v>2894.24</v>
      </c>
      <c r="L806" s="286">
        <v>2943.54</v>
      </c>
      <c r="M806" s="286">
        <v>2894.24</v>
      </c>
      <c r="N806" s="284" t="s">
        <v>1384</v>
      </c>
      <c r="P806" s="168">
        <v>44323</v>
      </c>
      <c r="Q806" s="286">
        <v>5.2367999999999997</v>
      </c>
      <c r="R806" s="286">
        <v>5.2767999999999997</v>
      </c>
      <c r="S806" s="286">
        <v>5.2952000000000004</v>
      </c>
      <c r="T806" s="286">
        <v>5.2024999999999997</v>
      </c>
      <c r="U806" s="284">
        <v>-7.4000000000000003E-3</v>
      </c>
      <c r="W806" s="168">
        <v>44278</v>
      </c>
      <c r="X806" s="288">
        <v>113262</v>
      </c>
      <c r="Y806" s="288">
        <v>114977</v>
      </c>
      <c r="Z806" s="288">
        <v>115599</v>
      </c>
      <c r="AA806" s="288">
        <v>113062</v>
      </c>
      <c r="AB806" s="284" t="s">
        <v>1383</v>
      </c>
      <c r="AC806" s="290">
        <v>-1.49E-2</v>
      </c>
      <c r="AE806" s="168"/>
      <c r="AF806" s="286"/>
      <c r="AG806" s="286"/>
      <c r="AH806" s="286"/>
      <c r="AI806" s="286"/>
      <c r="AJ806" s="284"/>
    </row>
    <row r="807" spans="1:36" x14ac:dyDescent="0.3">
      <c r="A807" s="167">
        <v>44281</v>
      </c>
      <c r="B807" s="171">
        <v>18.5</v>
      </c>
      <c r="C807" s="171">
        <v>18.28</v>
      </c>
      <c r="D807" s="171">
        <v>18.940000000000001</v>
      </c>
      <c r="E807" s="171">
        <v>17.920000000000002</v>
      </c>
      <c r="F807" s="171" t="s">
        <v>1382</v>
      </c>
      <c r="G807" s="283">
        <v>3.4700000000000002E-2</v>
      </c>
      <c r="I807" s="167">
        <v>44329</v>
      </c>
      <c r="J807" s="285">
        <v>2892.48</v>
      </c>
      <c r="K807" s="285">
        <v>2874.75</v>
      </c>
      <c r="L807" s="285">
        <v>2902.14</v>
      </c>
      <c r="M807" s="285">
        <v>2860.3</v>
      </c>
      <c r="N807" s="283" t="s">
        <v>1381</v>
      </c>
      <c r="P807" s="167">
        <v>44322</v>
      </c>
      <c r="Q807" s="285">
        <v>5.2759999999999998</v>
      </c>
      <c r="R807" s="285">
        <v>5.3573000000000004</v>
      </c>
      <c r="S807" s="285">
        <v>5.3752000000000004</v>
      </c>
      <c r="T807" s="285">
        <v>5.2567000000000004</v>
      </c>
      <c r="U807" s="283">
        <v>-1.46E-2</v>
      </c>
      <c r="W807" s="167">
        <v>44277</v>
      </c>
      <c r="X807" s="287">
        <v>114979</v>
      </c>
      <c r="Y807" s="287">
        <v>116222</v>
      </c>
      <c r="Z807" s="287">
        <v>116225</v>
      </c>
      <c r="AA807" s="287">
        <v>113620</v>
      </c>
      <c r="AB807" s="283" t="s">
        <v>1380</v>
      </c>
      <c r="AC807" s="289">
        <v>-1.0699999999999999E-2</v>
      </c>
      <c r="AE807" s="167"/>
      <c r="AF807" s="285"/>
      <c r="AG807" s="285"/>
      <c r="AH807" s="285"/>
      <c r="AI807" s="285"/>
      <c r="AJ807" s="283"/>
    </row>
    <row r="808" spans="1:36" x14ac:dyDescent="0.3">
      <c r="A808" s="168">
        <v>44280</v>
      </c>
      <c r="B808" s="83">
        <v>17.88</v>
      </c>
      <c r="C808" s="83">
        <v>17.59</v>
      </c>
      <c r="D808" s="83">
        <v>18.079999999999998</v>
      </c>
      <c r="E808" s="83">
        <v>17.059999999999999</v>
      </c>
      <c r="F808" s="83" t="s">
        <v>1379</v>
      </c>
      <c r="G808" s="284">
        <v>1.5900000000000001E-2</v>
      </c>
      <c r="I808" s="168">
        <v>44328</v>
      </c>
      <c r="J808" s="286">
        <v>2876.79</v>
      </c>
      <c r="K808" s="286">
        <v>2927.25</v>
      </c>
      <c r="L808" s="286">
        <v>2928</v>
      </c>
      <c r="M808" s="286">
        <v>2872.71</v>
      </c>
      <c r="N808" s="284" t="s">
        <v>1378</v>
      </c>
      <c r="P808" s="168">
        <v>44321</v>
      </c>
      <c r="Q808" s="286">
        <v>5.3541999999999996</v>
      </c>
      <c r="R808" s="286">
        <v>5.4455</v>
      </c>
      <c r="S808" s="286">
        <v>5.4478</v>
      </c>
      <c r="T808" s="286">
        <v>5.3512000000000004</v>
      </c>
      <c r="U808" s="284">
        <v>-1.6400000000000001E-2</v>
      </c>
      <c r="W808" s="168">
        <v>44274</v>
      </c>
      <c r="X808" s="288">
        <v>116222</v>
      </c>
      <c r="Y808" s="288">
        <v>114837</v>
      </c>
      <c r="Z808" s="288">
        <v>116446</v>
      </c>
      <c r="AA808" s="288">
        <v>114610</v>
      </c>
      <c r="AB808" s="284" t="s">
        <v>1377</v>
      </c>
      <c r="AC808" s="290">
        <v>1.21E-2</v>
      </c>
      <c r="AE808" s="168"/>
      <c r="AF808" s="286"/>
      <c r="AG808" s="286"/>
      <c r="AH808" s="286"/>
      <c r="AI808" s="286"/>
      <c r="AJ808" s="284"/>
    </row>
    <row r="809" spans="1:36" x14ac:dyDescent="0.3">
      <c r="A809" s="167">
        <v>44279</v>
      </c>
      <c r="B809" s="171">
        <v>17.600000000000001</v>
      </c>
      <c r="C809" s="171">
        <v>17.82</v>
      </c>
      <c r="D809" s="171">
        <v>18.38</v>
      </c>
      <c r="E809" s="171">
        <v>17.600000000000001</v>
      </c>
      <c r="F809" s="171" t="s">
        <v>1352</v>
      </c>
      <c r="G809" s="283">
        <v>1.1299999999999999E-2</v>
      </c>
      <c r="I809" s="167">
        <v>44327</v>
      </c>
      <c r="J809" s="285">
        <v>2928.33</v>
      </c>
      <c r="K809" s="285">
        <v>2958.89</v>
      </c>
      <c r="L809" s="285">
        <v>2958.94</v>
      </c>
      <c r="M809" s="285">
        <v>2904.79</v>
      </c>
      <c r="N809" s="283" t="s">
        <v>1376</v>
      </c>
      <c r="P809" s="167">
        <v>44320</v>
      </c>
      <c r="Q809" s="285">
        <v>5.4435000000000002</v>
      </c>
      <c r="R809" s="285">
        <v>5.4398</v>
      </c>
      <c r="S809" s="285">
        <v>5.4843000000000002</v>
      </c>
      <c r="T809" s="285">
        <v>5.4112999999999998</v>
      </c>
      <c r="U809" s="283">
        <v>2.9999999999999997E-4</v>
      </c>
      <c r="W809" s="167">
        <v>44273</v>
      </c>
      <c r="X809" s="287">
        <v>114835</v>
      </c>
      <c r="Y809" s="287">
        <v>116549</v>
      </c>
      <c r="Z809" s="287">
        <v>116751</v>
      </c>
      <c r="AA809" s="287">
        <v>114302</v>
      </c>
      <c r="AB809" s="283" t="s">
        <v>1375</v>
      </c>
      <c r="AC809" s="289">
        <v>-1.47E-2</v>
      </c>
      <c r="AE809" s="167"/>
      <c r="AF809" s="285"/>
      <c r="AG809" s="285"/>
      <c r="AH809" s="285"/>
      <c r="AI809" s="285"/>
      <c r="AJ809" s="283"/>
    </row>
    <row r="810" spans="1:36" x14ac:dyDescent="0.3">
      <c r="A810" s="168">
        <v>44278</v>
      </c>
      <c r="B810" s="83">
        <v>17.41</v>
      </c>
      <c r="C810" s="83">
        <v>17.75</v>
      </c>
      <c r="D810" s="83">
        <v>18</v>
      </c>
      <c r="E810" s="83">
        <v>17.309999999999999</v>
      </c>
      <c r="F810" s="83" t="s">
        <v>1374</v>
      </c>
      <c r="G810" s="284">
        <v>-3.8899999999999997E-2</v>
      </c>
      <c r="I810" s="168">
        <v>44326</v>
      </c>
      <c r="J810" s="286">
        <v>2961.57</v>
      </c>
      <c r="K810" s="286">
        <v>2981.7</v>
      </c>
      <c r="L810" s="286">
        <v>2985.47</v>
      </c>
      <c r="M810" s="286">
        <v>2960.5</v>
      </c>
      <c r="N810" s="284" t="s">
        <v>1373</v>
      </c>
      <c r="P810" s="168">
        <v>44319</v>
      </c>
      <c r="Q810" s="286">
        <v>5.4420000000000002</v>
      </c>
      <c r="R810" s="286">
        <v>5.4359999999999999</v>
      </c>
      <c r="S810" s="286">
        <v>5.4561000000000002</v>
      </c>
      <c r="T810" s="286">
        <v>5.3727</v>
      </c>
      <c r="U810" s="284">
        <v>1E-3</v>
      </c>
      <c r="W810" s="168">
        <v>44272</v>
      </c>
      <c r="X810" s="288">
        <v>116549</v>
      </c>
      <c r="Y810" s="288">
        <v>114018</v>
      </c>
      <c r="Z810" s="288">
        <v>116736</v>
      </c>
      <c r="AA810" s="288">
        <v>113428</v>
      </c>
      <c r="AB810" s="284" t="s">
        <v>1372</v>
      </c>
      <c r="AC810" s="290">
        <v>2.2200000000000001E-2</v>
      </c>
      <c r="AE810" s="168"/>
      <c r="AF810" s="286"/>
      <c r="AG810" s="286"/>
      <c r="AH810" s="286"/>
      <c r="AI810" s="286"/>
      <c r="AJ810" s="284"/>
    </row>
    <row r="811" spans="1:36" x14ac:dyDescent="0.3">
      <c r="A811" s="167">
        <v>44277</v>
      </c>
      <c r="B811" s="171">
        <v>18.11</v>
      </c>
      <c r="C811" s="171">
        <v>18.63</v>
      </c>
      <c r="D811" s="171">
        <v>18.739999999999998</v>
      </c>
      <c r="E811" s="171">
        <v>17.91</v>
      </c>
      <c r="F811" s="171" t="s">
        <v>1371</v>
      </c>
      <c r="G811" s="283">
        <v>-3.5999999999999997E-2</v>
      </c>
      <c r="I811" s="167">
        <v>44323</v>
      </c>
      <c r="J811" s="285">
        <v>2979.41</v>
      </c>
      <c r="K811" s="285">
        <v>2953.06</v>
      </c>
      <c r="L811" s="285">
        <v>2983.88</v>
      </c>
      <c r="M811" s="285">
        <v>2952.55</v>
      </c>
      <c r="N811" s="283" t="s">
        <v>1370</v>
      </c>
      <c r="P811" s="167">
        <v>44316</v>
      </c>
      <c r="Q811" s="285">
        <v>5.4366000000000003</v>
      </c>
      <c r="R811" s="285">
        <v>5.3383000000000003</v>
      </c>
      <c r="S811" s="285">
        <v>5.4489000000000001</v>
      </c>
      <c r="T811" s="285">
        <v>5.3350999999999997</v>
      </c>
      <c r="U811" s="283">
        <v>1.8599999999999998E-2</v>
      </c>
      <c r="W811" s="167">
        <v>44271</v>
      </c>
      <c r="X811" s="287">
        <v>114019</v>
      </c>
      <c r="Y811" s="287">
        <v>114845</v>
      </c>
      <c r="Z811" s="287">
        <v>114974</v>
      </c>
      <c r="AA811" s="287">
        <v>113370</v>
      </c>
      <c r="AB811" s="283" t="s">
        <v>1369</v>
      </c>
      <c r="AC811" s="289">
        <v>-7.1999999999999998E-3</v>
      </c>
      <c r="AE811" s="167"/>
      <c r="AF811" s="285"/>
      <c r="AG811" s="285"/>
      <c r="AH811" s="285"/>
      <c r="AI811" s="285"/>
      <c r="AJ811" s="283"/>
    </row>
    <row r="812" spans="1:36" x14ac:dyDescent="0.3">
      <c r="A812" s="168">
        <v>44274</v>
      </c>
      <c r="B812" s="83">
        <v>18.79</v>
      </c>
      <c r="C812" s="83">
        <v>17.98</v>
      </c>
      <c r="D812" s="83">
        <v>19.11</v>
      </c>
      <c r="E812" s="83">
        <v>17.66</v>
      </c>
      <c r="F812" s="83" t="s">
        <v>1368</v>
      </c>
      <c r="G812" s="284">
        <v>6.5000000000000002E-2</v>
      </c>
      <c r="I812" s="168">
        <v>44322</v>
      </c>
      <c r="J812" s="286">
        <v>2952.03</v>
      </c>
      <c r="K812" s="286">
        <v>2934.01</v>
      </c>
      <c r="L812" s="286">
        <v>2952.75</v>
      </c>
      <c r="M812" s="286">
        <v>2923.3</v>
      </c>
      <c r="N812" s="284" t="s">
        <v>1367</v>
      </c>
      <c r="P812" s="168">
        <v>44315</v>
      </c>
      <c r="Q812" s="286">
        <v>5.3375000000000004</v>
      </c>
      <c r="R812" s="286">
        <v>5.3428000000000004</v>
      </c>
      <c r="S812" s="286">
        <v>5.3798000000000004</v>
      </c>
      <c r="T812" s="286">
        <v>5.3273999999999999</v>
      </c>
      <c r="U812" s="284">
        <v>-1E-3</v>
      </c>
      <c r="W812" s="168">
        <v>44270</v>
      </c>
      <c r="X812" s="288">
        <v>114851</v>
      </c>
      <c r="Y812" s="288">
        <v>114093</v>
      </c>
      <c r="Z812" s="288">
        <v>114903</v>
      </c>
      <c r="AA812" s="288">
        <v>113635</v>
      </c>
      <c r="AB812" s="284" t="s">
        <v>1366</v>
      </c>
      <c r="AC812" s="290">
        <v>6.0000000000000001E-3</v>
      </c>
      <c r="AE812" s="168"/>
      <c r="AF812" s="286"/>
      <c r="AG812" s="286"/>
      <c r="AH812" s="286"/>
      <c r="AI812" s="286"/>
      <c r="AJ812" s="284"/>
    </row>
    <row r="813" spans="1:36" x14ac:dyDescent="0.3">
      <c r="A813" s="167">
        <v>44273</v>
      </c>
      <c r="B813" s="171">
        <v>17.64</v>
      </c>
      <c r="C813" s="171">
        <v>19.149999999999999</v>
      </c>
      <c r="D813" s="171">
        <v>19.399999999999999</v>
      </c>
      <c r="E813" s="171">
        <v>17.3</v>
      </c>
      <c r="F813" s="171" t="s">
        <v>1365</v>
      </c>
      <c r="G813" s="283">
        <v>-8.5999999999999993E-2</v>
      </c>
      <c r="I813" s="167">
        <v>44321</v>
      </c>
      <c r="J813" s="285">
        <v>2932.84</v>
      </c>
      <c r="K813" s="285">
        <v>2921.8</v>
      </c>
      <c r="L813" s="285">
        <v>2942.85</v>
      </c>
      <c r="M813" s="285">
        <v>2921.03</v>
      </c>
      <c r="N813" s="283" t="s">
        <v>1364</v>
      </c>
      <c r="P813" s="167">
        <v>44314</v>
      </c>
      <c r="Q813" s="285">
        <v>5.343</v>
      </c>
      <c r="R813" s="285">
        <v>5.4526000000000003</v>
      </c>
      <c r="S813" s="285">
        <v>5.4561000000000002</v>
      </c>
      <c r="T813" s="285">
        <v>5.3429000000000002</v>
      </c>
      <c r="U813" s="283">
        <v>-1.95E-2</v>
      </c>
      <c r="W813" s="167">
        <v>44267</v>
      </c>
      <c r="X813" s="287">
        <v>114160</v>
      </c>
      <c r="Y813" s="287">
        <v>114984</v>
      </c>
      <c r="Z813" s="287">
        <v>114984</v>
      </c>
      <c r="AA813" s="287">
        <v>113253</v>
      </c>
      <c r="AB813" s="283" t="s">
        <v>1363</v>
      </c>
      <c r="AC813" s="289">
        <v>-7.1999999999999998E-3</v>
      </c>
      <c r="AE813" s="167"/>
      <c r="AF813" s="285"/>
      <c r="AG813" s="285"/>
      <c r="AH813" s="285"/>
      <c r="AI813" s="285"/>
      <c r="AJ813" s="283"/>
    </row>
    <row r="814" spans="1:36" x14ac:dyDescent="0.3">
      <c r="A814" s="168">
        <v>44272</v>
      </c>
      <c r="B814" s="83">
        <v>19.3</v>
      </c>
      <c r="C814" s="83">
        <v>18.14</v>
      </c>
      <c r="D814" s="83">
        <v>19.309999999999999</v>
      </c>
      <c r="E814" s="83">
        <v>17.899999999999999</v>
      </c>
      <c r="F814" s="83" t="s">
        <v>1362</v>
      </c>
      <c r="G814" s="284">
        <v>6.0400000000000002E-2</v>
      </c>
      <c r="I814" s="168">
        <v>44320</v>
      </c>
      <c r="J814" s="286">
        <v>2922.5</v>
      </c>
      <c r="K814" s="286">
        <v>2947.63</v>
      </c>
      <c r="L814" s="286">
        <v>2948.14</v>
      </c>
      <c r="M814" s="286">
        <v>2903.13</v>
      </c>
      <c r="N814" s="284" t="s">
        <v>1361</v>
      </c>
      <c r="P814" s="168">
        <v>44313</v>
      </c>
      <c r="Q814" s="286">
        <v>5.4489999999999998</v>
      </c>
      <c r="R814" s="286">
        <v>5.4366000000000003</v>
      </c>
      <c r="S814" s="286">
        <v>5.4672999999999998</v>
      </c>
      <c r="T814" s="286">
        <v>5.4097</v>
      </c>
      <c r="U814" s="284">
        <v>2.3E-3</v>
      </c>
      <c r="W814" s="168">
        <v>44266</v>
      </c>
      <c r="X814" s="288">
        <v>114984</v>
      </c>
      <c r="Y814" s="288">
        <v>112782</v>
      </c>
      <c r="Z814" s="288">
        <v>115127</v>
      </c>
      <c r="AA814" s="288">
        <v>112776</v>
      </c>
      <c r="AB814" s="284" t="s">
        <v>1360</v>
      </c>
      <c r="AC814" s="290">
        <v>1.9599999999999999E-2</v>
      </c>
      <c r="AE814" s="168"/>
      <c r="AF814" s="286"/>
      <c r="AG814" s="286"/>
      <c r="AH814" s="286"/>
      <c r="AI814" s="286"/>
      <c r="AJ814" s="284"/>
    </row>
    <row r="815" spans="1:36" x14ac:dyDescent="0.3">
      <c r="A815" s="167">
        <v>44271</v>
      </c>
      <c r="B815" s="171">
        <v>18.2</v>
      </c>
      <c r="C815" s="171">
        <v>18.27</v>
      </c>
      <c r="D815" s="171">
        <v>18.53</v>
      </c>
      <c r="E815" s="171">
        <v>17.97</v>
      </c>
      <c r="F815" s="171" t="s">
        <v>1359</v>
      </c>
      <c r="G815" s="283">
        <v>2.2000000000000001E-3</v>
      </c>
      <c r="I815" s="167">
        <v>44319</v>
      </c>
      <c r="J815" s="285">
        <v>2948.67</v>
      </c>
      <c r="K815" s="285">
        <v>2938.21</v>
      </c>
      <c r="L815" s="285">
        <v>2957.17</v>
      </c>
      <c r="M815" s="285">
        <v>2936.12</v>
      </c>
      <c r="N815" s="283" t="s">
        <v>1346</v>
      </c>
      <c r="P815" s="167">
        <v>44312</v>
      </c>
      <c r="Q815" s="285">
        <v>5.4363999999999999</v>
      </c>
      <c r="R815" s="285">
        <v>5.4756999999999998</v>
      </c>
      <c r="S815" s="285">
        <v>5.4904000000000002</v>
      </c>
      <c r="T815" s="285">
        <v>5.4318</v>
      </c>
      <c r="U815" s="283">
        <v>-7.1000000000000004E-3</v>
      </c>
      <c r="W815" s="167">
        <v>44265</v>
      </c>
      <c r="X815" s="287">
        <v>112776</v>
      </c>
      <c r="Y815" s="287">
        <v>111331</v>
      </c>
      <c r="Z815" s="287">
        <v>112928</v>
      </c>
      <c r="AA815" s="287">
        <v>109999</v>
      </c>
      <c r="AB815" s="283" t="s">
        <v>1358</v>
      </c>
      <c r="AC815" s="289">
        <v>1.2999999999999999E-2</v>
      </c>
      <c r="AE815" s="167"/>
      <c r="AF815" s="285"/>
      <c r="AG815" s="285"/>
      <c r="AH815" s="285"/>
      <c r="AI815" s="285"/>
      <c r="AJ815" s="283"/>
    </row>
    <row r="816" spans="1:36" x14ac:dyDescent="0.3">
      <c r="A816" s="168">
        <v>44270</v>
      </c>
      <c r="B816" s="83">
        <v>18.16</v>
      </c>
      <c r="C816" s="83">
        <v>18.72</v>
      </c>
      <c r="D816" s="83">
        <v>18.86</v>
      </c>
      <c r="E816" s="83">
        <v>18.059999999999999</v>
      </c>
      <c r="F816" s="83" t="s">
        <v>1357</v>
      </c>
      <c r="G816" s="284">
        <v>-2.9000000000000001E-2</v>
      </c>
      <c r="I816" s="168">
        <v>44316</v>
      </c>
      <c r="J816" s="286">
        <v>2938.76</v>
      </c>
      <c r="K816" s="286">
        <v>2964.14</v>
      </c>
      <c r="L816" s="286">
        <v>2964.43</v>
      </c>
      <c r="M816" s="286">
        <v>2934.49</v>
      </c>
      <c r="N816" s="284" t="s">
        <v>1356</v>
      </c>
      <c r="P816" s="168">
        <v>44309</v>
      </c>
      <c r="Q816" s="286">
        <v>5.4751000000000003</v>
      </c>
      <c r="R816" s="286">
        <v>5.4446000000000003</v>
      </c>
      <c r="S816" s="286">
        <v>5.524</v>
      </c>
      <c r="T816" s="286">
        <v>5.4238999999999997</v>
      </c>
      <c r="U816" s="284">
        <v>5.5999999999999999E-3</v>
      </c>
      <c r="W816" s="168">
        <v>44264</v>
      </c>
      <c r="X816" s="288">
        <v>111331</v>
      </c>
      <c r="Y816" s="288">
        <v>110611</v>
      </c>
      <c r="Z816" s="288">
        <v>112525</v>
      </c>
      <c r="AA816" s="288">
        <v>109343</v>
      </c>
      <c r="AB816" s="284" t="s">
        <v>1355</v>
      </c>
      <c r="AC816" s="290">
        <v>6.4999999999999997E-3</v>
      </c>
      <c r="AE816" s="168"/>
      <c r="AF816" s="286"/>
      <c r="AG816" s="286"/>
      <c r="AH816" s="286"/>
      <c r="AI816" s="286"/>
      <c r="AJ816" s="284"/>
    </row>
    <row r="817" spans="1:36" x14ac:dyDescent="0.3">
      <c r="A817" s="167">
        <v>44267</v>
      </c>
      <c r="B817" s="171">
        <v>18.7</v>
      </c>
      <c r="C817" s="171">
        <v>18.559999999999999</v>
      </c>
      <c r="D817" s="171">
        <v>18.989999999999998</v>
      </c>
      <c r="E817" s="171">
        <v>18.309999999999999</v>
      </c>
      <c r="F817" s="171" t="s">
        <v>1354</v>
      </c>
      <c r="G817" s="283">
        <v>7.1000000000000004E-3</v>
      </c>
      <c r="I817" s="167">
        <v>44315</v>
      </c>
      <c r="J817" s="285">
        <v>2963.31</v>
      </c>
      <c r="K817" s="285">
        <v>2955.79</v>
      </c>
      <c r="L817" s="285">
        <v>2972.72</v>
      </c>
      <c r="M817" s="285">
        <v>2947.28</v>
      </c>
      <c r="N817" s="283" t="s">
        <v>1330</v>
      </c>
      <c r="P817" s="167">
        <v>44308</v>
      </c>
      <c r="Q817" s="285">
        <v>5.4447999999999999</v>
      </c>
      <c r="R817" s="285">
        <v>5.5669000000000004</v>
      </c>
      <c r="S817" s="285">
        <v>5.5669000000000004</v>
      </c>
      <c r="T817" s="285">
        <v>5.4372999999999996</v>
      </c>
      <c r="U817" s="283">
        <v>-2.23E-2</v>
      </c>
      <c r="W817" s="167">
        <v>44263</v>
      </c>
      <c r="X817" s="287">
        <v>110612</v>
      </c>
      <c r="Y817" s="287">
        <v>115202</v>
      </c>
      <c r="Z817" s="287">
        <v>115202</v>
      </c>
      <c r="AA817" s="287">
        <v>110268</v>
      </c>
      <c r="AB817" s="283" t="s">
        <v>1353</v>
      </c>
      <c r="AC817" s="289">
        <v>-3.9800000000000002E-2</v>
      </c>
      <c r="AE817" s="167"/>
      <c r="AF817" s="285"/>
      <c r="AG817" s="285"/>
      <c r="AH817" s="285"/>
      <c r="AI817" s="285"/>
      <c r="AJ817" s="283"/>
    </row>
    <row r="818" spans="1:36" x14ac:dyDescent="0.3">
      <c r="A818" s="168">
        <v>44266</v>
      </c>
      <c r="B818" s="83">
        <v>18.57</v>
      </c>
      <c r="C818" s="83">
        <v>19.18</v>
      </c>
      <c r="D818" s="83">
        <v>19.54</v>
      </c>
      <c r="E818" s="83">
        <v>18.27</v>
      </c>
      <c r="F818" s="83" t="s">
        <v>1352</v>
      </c>
      <c r="G818" s="284">
        <v>-1.6400000000000001E-2</v>
      </c>
      <c r="I818" s="168">
        <v>44314</v>
      </c>
      <c r="J818" s="286">
        <v>2951.88</v>
      </c>
      <c r="K818" s="286">
        <v>2951.37</v>
      </c>
      <c r="L818" s="286">
        <v>2963.79</v>
      </c>
      <c r="M818" s="286">
        <v>2949.97</v>
      </c>
      <c r="N818" s="284" t="s">
        <v>1195</v>
      </c>
      <c r="P818" s="168">
        <v>44307</v>
      </c>
      <c r="Q818" s="286">
        <v>5.569</v>
      </c>
      <c r="R818" s="286">
        <v>5.5692000000000004</v>
      </c>
      <c r="S818" s="286">
        <v>5.5694999999999997</v>
      </c>
      <c r="T818" s="286">
        <v>5.5692000000000004</v>
      </c>
      <c r="U818" s="284">
        <v>1E-4</v>
      </c>
      <c r="W818" s="168">
        <v>44260</v>
      </c>
      <c r="X818" s="288">
        <v>115202</v>
      </c>
      <c r="Y818" s="288">
        <v>112690</v>
      </c>
      <c r="Z818" s="288">
        <v>115504</v>
      </c>
      <c r="AA818" s="288">
        <v>112504</v>
      </c>
      <c r="AB818" s="284" t="s">
        <v>1351</v>
      </c>
      <c r="AC818" s="290">
        <v>2.23E-2</v>
      </c>
      <c r="AE818" s="168"/>
      <c r="AF818" s="286"/>
      <c r="AG818" s="286"/>
      <c r="AH818" s="286"/>
      <c r="AI818" s="286"/>
      <c r="AJ818" s="284"/>
    </row>
    <row r="819" spans="1:36" x14ac:dyDescent="0.3">
      <c r="A819" s="167">
        <v>44265</v>
      </c>
      <c r="B819" s="171">
        <v>18.88</v>
      </c>
      <c r="C819" s="171">
        <v>19.86</v>
      </c>
      <c r="D819" s="171">
        <v>19.89</v>
      </c>
      <c r="E819" s="171">
        <v>18.41</v>
      </c>
      <c r="F819" s="171" t="s">
        <v>1350</v>
      </c>
      <c r="G819" s="283">
        <v>-4.3900000000000002E-2</v>
      </c>
      <c r="I819" s="167">
        <v>44313</v>
      </c>
      <c r="J819" s="285">
        <v>2952.01</v>
      </c>
      <c r="K819" s="285">
        <v>2955.46</v>
      </c>
      <c r="L819" s="285">
        <v>2955.46</v>
      </c>
      <c r="M819" s="285">
        <v>2946.36</v>
      </c>
      <c r="N819" s="283" t="s">
        <v>1349</v>
      </c>
      <c r="P819" s="167">
        <v>44306</v>
      </c>
      <c r="Q819" s="285">
        <v>5.5686999999999998</v>
      </c>
      <c r="R819" s="285">
        <v>5.5461</v>
      </c>
      <c r="S819" s="285">
        <v>5.5883000000000003</v>
      </c>
      <c r="T819" s="285">
        <v>5.5022000000000002</v>
      </c>
      <c r="U819" s="283">
        <v>4.1000000000000003E-3</v>
      </c>
      <c r="W819" s="167">
        <v>44259</v>
      </c>
      <c r="X819" s="287">
        <v>112690</v>
      </c>
      <c r="Y819" s="287">
        <v>111191</v>
      </c>
      <c r="Z819" s="287">
        <v>114433</v>
      </c>
      <c r="AA819" s="287">
        <v>111163</v>
      </c>
      <c r="AB819" s="283" t="s">
        <v>1348</v>
      </c>
      <c r="AC819" s="289">
        <v>1.35E-2</v>
      </c>
      <c r="AE819" s="167"/>
      <c r="AF819" s="285"/>
      <c r="AG819" s="285"/>
      <c r="AH819" s="285"/>
      <c r="AI819" s="285"/>
      <c r="AJ819" s="283"/>
    </row>
    <row r="820" spans="1:36" x14ac:dyDescent="0.3">
      <c r="A820" s="168">
        <v>44264</v>
      </c>
      <c r="B820" s="83">
        <v>19.75</v>
      </c>
      <c r="C820" s="83">
        <v>19.399999999999999</v>
      </c>
      <c r="D820" s="83">
        <v>20.100000000000001</v>
      </c>
      <c r="E820" s="83">
        <v>18.84</v>
      </c>
      <c r="F820" s="83" t="s">
        <v>1347</v>
      </c>
      <c r="G820" s="284">
        <v>3.9300000000000002E-2</v>
      </c>
      <c r="I820" s="168">
        <v>44312</v>
      </c>
      <c r="J820" s="286">
        <v>2956.13</v>
      </c>
      <c r="K820" s="286">
        <v>2949.19</v>
      </c>
      <c r="L820" s="286">
        <v>2959.29</v>
      </c>
      <c r="M820" s="286">
        <v>2948.5</v>
      </c>
      <c r="N820" s="284" t="s">
        <v>1346</v>
      </c>
      <c r="P820" s="168">
        <v>44305</v>
      </c>
      <c r="Q820" s="286">
        <v>5.5461</v>
      </c>
      <c r="R820" s="286">
        <v>5.5872999999999999</v>
      </c>
      <c r="S820" s="286">
        <v>5.6223999999999998</v>
      </c>
      <c r="T820" s="286">
        <v>5.5262000000000002</v>
      </c>
      <c r="U820" s="284">
        <v>-7.6E-3</v>
      </c>
      <c r="W820" s="168">
        <v>44258</v>
      </c>
      <c r="X820" s="288">
        <v>111184</v>
      </c>
      <c r="Y820" s="288">
        <v>111529</v>
      </c>
      <c r="Z820" s="288">
        <v>112398</v>
      </c>
      <c r="AA820" s="288">
        <v>107466</v>
      </c>
      <c r="AB820" s="284" t="s">
        <v>1345</v>
      </c>
      <c r="AC820" s="290">
        <v>-3.2000000000000002E-3</v>
      </c>
      <c r="AE820" s="168"/>
      <c r="AF820" s="286"/>
      <c r="AG820" s="286"/>
      <c r="AH820" s="286"/>
      <c r="AI820" s="286"/>
      <c r="AJ820" s="284"/>
    </row>
    <row r="821" spans="1:36" x14ac:dyDescent="0.3">
      <c r="A821" s="167">
        <v>44263</v>
      </c>
      <c r="B821" s="171">
        <v>19</v>
      </c>
      <c r="C821" s="171">
        <v>19.7</v>
      </c>
      <c r="D821" s="171">
        <v>20.28</v>
      </c>
      <c r="E821" s="171">
        <v>19</v>
      </c>
      <c r="F821" s="171" t="s">
        <v>1344</v>
      </c>
      <c r="G821" s="283">
        <v>-5.0599999999999999E-2</v>
      </c>
      <c r="I821" s="167">
        <v>44309</v>
      </c>
      <c r="J821" s="285">
        <v>2946.11</v>
      </c>
      <c r="K821" s="285">
        <v>2922.32</v>
      </c>
      <c r="L821" s="285">
        <v>2955.59</v>
      </c>
      <c r="M821" s="285">
        <v>2921.4</v>
      </c>
      <c r="N821" s="283" t="s">
        <v>1343</v>
      </c>
      <c r="P821" s="167">
        <v>44302</v>
      </c>
      <c r="Q821" s="285">
        <v>5.5883000000000003</v>
      </c>
      <c r="R821" s="285">
        <v>5.6142000000000003</v>
      </c>
      <c r="S821" s="285">
        <v>5.6780999999999997</v>
      </c>
      <c r="T821" s="285">
        <v>5.5658000000000003</v>
      </c>
      <c r="U821" s="283">
        <v>-5.0000000000000001E-3</v>
      </c>
      <c r="W821" s="167">
        <v>44257</v>
      </c>
      <c r="X821" s="287">
        <v>111540</v>
      </c>
      <c r="Y821" s="287">
        <v>110328</v>
      </c>
      <c r="Z821" s="287">
        <v>112428</v>
      </c>
      <c r="AA821" s="287">
        <v>107319</v>
      </c>
      <c r="AB821" s="283" t="s">
        <v>1342</v>
      </c>
      <c r="AC821" s="289">
        <v>1.09E-2</v>
      </c>
      <c r="AE821" s="167"/>
      <c r="AF821" s="285"/>
      <c r="AG821" s="285"/>
      <c r="AH821" s="285"/>
      <c r="AI821" s="285"/>
      <c r="AJ821" s="283"/>
    </row>
    <row r="822" spans="1:36" x14ac:dyDescent="0.3">
      <c r="A822" s="168">
        <v>44260</v>
      </c>
      <c r="B822" s="83">
        <v>20.010000000000002</v>
      </c>
      <c r="C822" s="83">
        <v>18.899999999999999</v>
      </c>
      <c r="D822" s="83">
        <v>20.010000000000002</v>
      </c>
      <c r="E822" s="83">
        <v>18.600000000000001</v>
      </c>
      <c r="F822" s="83" t="s">
        <v>1341</v>
      </c>
      <c r="G822" s="284">
        <v>7.5999999999999998E-2</v>
      </c>
      <c r="I822" s="168">
        <v>44308</v>
      </c>
      <c r="J822" s="286">
        <v>2923.91</v>
      </c>
      <c r="K822" s="286">
        <v>2935.41</v>
      </c>
      <c r="L822" s="286">
        <v>2944.86</v>
      </c>
      <c r="M822" s="286">
        <v>2917.25</v>
      </c>
      <c r="N822" s="284" t="s">
        <v>1333</v>
      </c>
      <c r="P822" s="168">
        <v>44301</v>
      </c>
      <c r="Q822" s="286">
        <v>5.6162000000000001</v>
      </c>
      <c r="R822" s="286">
        <v>5.6539999999999999</v>
      </c>
      <c r="S822" s="286">
        <v>5.6603000000000003</v>
      </c>
      <c r="T822" s="286">
        <v>5.5951000000000004</v>
      </c>
      <c r="U822" s="284">
        <v>-6.4000000000000003E-3</v>
      </c>
      <c r="W822" s="168">
        <v>44256</v>
      </c>
      <c r="X822" s="288">
        <v>110335</v>
      </c>
      <c r="Y822" s="288">
        <v>110036</v>
      </c>
      <c r="Z822" s="288">
        <v>112445</v>
      </c>
      <c r="AA822" s="288">
        <v>110036</v>
      </c>
      <c r="AB822" s="284" t="s">
        <v>1340</v>
      </c>
      <c r="AC822" s="290">
        <v>2.7000000000000001E-3</v>
      </c>
      <c r="AE822" s="168"/>
      <c r="AF822" s="286"/>
      <c r="AG822" s="286"/>
      <c r="AH822" s="286"/>
      <c r="AI822" s="286"/>
      <c r="AJ822" s="284"/>
    </row>
    <row r="823" spans="1:36" x14ac:dyDescent="0.3">
      <c r="A823" s="167">
        <v>44259</v>
      </c>
      <c r="B823" s="171">
        <v>18.600000000000001</v>
      </c>
      <c r="C823" s="171">
        <v>17.920000000000002</v>
      </c>
      <c r="D823" s="171">
        <v>18.600000000000001</v>
      </c>
      <c r="E823" s="171">
        <v>17.440000000000001</v>
      </c>
      <c r="F823" s="171" t="s">
        <v>1339</v>
      </c>
      <c r="G823" s="283">
        <v>3.7600000000000001E-2</v>
      </c>
      <c r="I823" s="167">
        <v>44307</v>
      </c>
      <c r="J823" s="285">
        <v>2932.98</v>
      </c>
      <c r="K823" s="285">
        <v>2911.91</v>
      </c>
      <c r="L823" s="285">
        <v>2933.64</v>
      </c>
      <c r="M823" s="285">
        <v>2904.85</v>
      </c>
      <c r="N823" s="283" t="s">
        <v>1338</v>
      </c>
      <c r="P823" s="167">
        <v>44300</v>
      </c>
      <c r="Q823" s="285">
        <v>5.6525999999999996</v>
      </c>
      <c r="R823" s="285">
        <v>5.718</v>
      </c>
      <c r="S823" s="285">
        <v>5.7359</v>
      </c>
      <c r="T823" s="285">
        <v>5.6452</v>
      </c>
      <c r="U823" s="283">
        <v>-1.12E-2</v>
      </c>
      <c r="W823" s="167">
        <v>44253</v>
      </c>
      <c r="X823" s="287">
        <v>110035</v>
      </c>
      <c r="Y823" s="287">
        <v>112260</v>
      </c>
      <c r="Z823" s="287">
        <v>113466</v>
      </c>
      <c r="AA823" s="287">
        <v>109827</v>
      </c>
      <c r="AB823" s="283" t="s">
        <v>1337</v>
      </c>
      <c r="AC823" s="289">
        <v>-1.9800000000000002E-2</v>
      </c>
      <c r="AE823" s="167"/>
      <c r="AF823" s="285"/>
      <c r="AG823" s="285"/>
      <c r="AH823" s="285"/>
      <c r="AI823" s="285"/>
      <c r="AJ823" s="283"/>
    </row>
    <row r="824" spans="1:36" x14ac:dyDescent="0.3">
      <c r="A824" s="168">
        <v>44258</v>
      </c>
      <c r="B824" s="83">
        <v>17.920000000000002</v>
      </c>
      <c r="C824" s="83">
        <v>17.2</v>
      </c>
      <c r="D824" s="83">
        <v>18</v>
      </c>
      <c r="E824" s="83">
        <v>16.63</v>
      </c>
      <c r="F824" s="83" t="s">
        <v>1336</v>
      </c>
      <c r="G824" s="284">
        <v>4.6100000000000002E-2</v>
      </c>
      <c r="I824" s="168">
        <v>44306</v>
      </c>
      <c r="J824" s="286">
        <v>2915.78</v>
      </c>
      <c r="K824" s="286">
        <v>2942.68</v>
      </c>
      <c r="L824" s="286">
        <v>2943.3</v>
      </c>
      <c r="M824" s="286">
        <v>2906.56</v>
      </c>
      <c r="N824" s="284" t="s">
        <v>1241</v>
      </c>
      <c r="P824" s="168">
        <v>44299</v>
      </c>
      <c r="Q824" s="286">
        <v>5.7165999999999997</v>
      </c>
      <c r="R824" s="286">
        <v>5.734</v>
      </c>
      <c r="S824" s="286">
        <v>5.7561999999999998</v>
      </c>
      <c r="T824" s="286">
        <v>5.6628999999999996</v>
      </c>
      <c r="U824" s="284">
        <v>-2.8999999999999998E-3</v>
      </c>
      <c r="W824" s="168">
        <v>44252</v>
      </c>
      <c r="X824" s="288">
        <v>112256</v>
      </c>
      <c r="Y824" s="288">
        <v>115668</v>
      </c>
      <c r="Z824" s="288">
        <v>116506</v>
      </c>
      <c r="AA824" s="288">
        <v>111764</v>
      </c>
      <c r="AB824" s="284" t="s">
        <v>1335</v>
      </c>
      <c r="AC824" s="290">
        <v>-2.9499999999999998E-2</v>
      </c>
      <c r="AE824" s="168"/>
      <c r="AF824" s="286"/>
      <c r="AG824" s="286"/>
      <c r="AH824" s="286"/>
      <c r="AI824" s="286"/>
      <c r="AJ824" s="284"/>
    </row>
    <row r="825" spans="1:36" x14ac:dyDescent="0.3">
      <c r="A825" s="167">
        <v>44257</v>
      </c>
      <c r="B825" s="171">
        <v>17.13</v>
      </c>
      <c r="C825" s="171">
        <v>17.190000000000001</v>
      </c>
      <c r="D825" s="171">
        <v>17.78</v>
      </c>
      <c r="E825" s="171">
        <v>16.72</v>
      </c>
      <c r="F825" s="171" t="s">
        <v>1334</v>
      </c>
      <c r="G825" s="283">
        <v>-2.9000000000000001E-2</v>
      </c>
      <c r="I825" s="167">
        <v>44305</v>
      </c>
      <c r="J825" s="285">
        <v>2944.05</v>
      </c>
      <c r="K825" s="285">
        <v>2952.81</v>
      </c>
      <c r="L825" s="285">
        <v>2959.08</v>
      </c>
      <c r="M825" s="285">
        <v>2937.82</v>
      </c>
      <c r="N825" s="283" t="s">
        <v>1333</v>
      </c>
      <c r="P825" s="167">
        <v>44298</v>
      </c>
      <c r="Q825" s="285">
        <v>5.7332999999999998</v>
      </c>
      <c r="R825" s="285">
        <v>5.6821999999999999</v>
      </c>
      <c r="S825" s="285">
        <v>5.7424999999999997</v>
      </c>
      <c r="T825" s="285">
        <v>5.63</v>
      </c>
      <c r="U825" s="283">
        <v>8.9999999999999993E-3</v>
      </c>
      <c r="W825" s="167">
        <v>44251</v>
      </c>
      <c r="X825" s="287">
        <v>115668</v>
      </c>
      <c r="Y825" s="287">
        <v>115229</v>
      </c>
      <c r="Z825" s="287">
        <v>116208</v>
      </c>
      <c r="AA825" s="287">
        <v>114668</v>
      </c>
      <c r="AB825" s="283" t="s">
        <v>1332</v>
      </c>
      <c r="AC825" s="289">
        <v>3.8E-3</v>
      </c>
      <c r="AE825" s="167"/>
      <c r="AF825" s="285"/>
      <c r="AG825" s="285"/>
      <c r="AH825" s="285"/>
      <c r="AI825" s="285"/>
      <c r="AJ825" s="283"/>
    </row>
    <row r="826" spans="1:36" x14ac:dyDescent="0.3">
      <c r="A826" s="168">
        <v>44256</v>
      </c>
      <c r="B826" s="83">
        <v>17.649999999999999</v>
      </c>
      <c r="C826" s="83">
        <v>17.12</v>
      </c>
      <c r="D826" s="83">
        <v>17.899999999999999</v>
      </c>
      <c r="E826" s="83">
        <v>17</v>
      </c>
      <c r="F826" s="83" t="s">
        <v>1331</v>
      </c>
      <c r="G826" s="284">
        <v>5.5300000000000002E-2</v>
      </c>
      <c r="I826" s="168">
        <v>44302</v>
      </c>
      <c r="J826" s="286">
        <v>2953.35</v>
      </c>
      <c r="K826" s="286">
        <v>2942.06</v>
      </c>
      <c r="L826" s="286">
        <v>2956.02</v>
      </c>
      <c r="M826" s="286">
        <v>2939.34</v>
      </c>
      <c r="N826" s="284" t="s">
        <v>1330</v>
      </c>
      <c r="P826" s="168">
        <v>44295</v>
      </c>
      <c r="Q826" s="286">
        <v>5.6821000000000002</v>
      </c>
      <c r="R826" s="286">
        <v>5.5682</v>
      </c>
      <c r="S826" s="286">
        <v>5.6852</v>
      </c>
      <c r="T826" s="286">
        <v>5.5664999999999996</v>
      </c>
      <c r="U826" s="284">
        <v>1.9800000000000002E-2</v>
      </c>
      <c r="W826" s="168">
        <v>44250</v>
      </c>
      <c r="X826" s="288">
        <v>115227</v>
      </c>
      <c r="Y826" s="288">
        <v>112676</v>
      </c>
      <c r="Z826" s="288">
        <v>115380</v>
      </c>
      <c r="AA826" s="288">
        <v>112667</v>
      </c>
      <c r="AB826" s="284" t="s">
        <v>1329</v>
      </c>
      <c r="AC826" s="290">
        <v>2.2700000000000001E-2</v>
      </c>
      <c r="AE826" s="168"/>
      <c r="AF826" s="286"/>
      <c r="AG826" s="286"/>
      <c r="AH826" s="286"/>
      <c r="AI826" s="286"/>
      <c r="AJ826" s="284"/>
    </row>
    <row r="827" spans="1:36" x14ac:dyDescent="0.3">
      <c r="A827" s="167">
        <v>44253</v>
      </c>
      <c r="B827" s="171">
        <v>16.72</v>
      </c>
      <c r="C827" s="171">
        <v>17</v>
      </c>
      <c r="D827" s="171">
        <v>17.25</v>
      </c>
      <c r="E827" s="171">
        <v>16.41</v>
      </c>
      <c r="F827" s="171" t="s">
        <v>1328</v>
      </c>
      <c r="G827" s="283">
        <v>-3.5999999999999999E-3</v>
      </c>
      <c r="I827" s="167">
        <v>44301</v>
      </c>
      <c r="J827" s="285">
        <v>2941.75</v>
      </c>
      <c r="K827" s="285">
        <v>2914.63</v>
      </c>
      <c r="L827" s="285">
        <v>2943.1</v>
      </c>
      <c r="M827" s="285">
        <v>2914.09</v>
      </c>
      <c r="N827" s="283" t="s">
        <v>1327</v>
      </c>
      <c r="P827" s="167">
        <v>44294</v>
      </c>
      <c r="Q827" s="285">
        <v>5.5720000000000001</v>
      </c>
      <c r="R827" s="285">
        <v>5.6135999999999999</v>
      </c>
      <c r="S827" s="285">
        <v>5.6173999999999999</v>
      </c>
      <c r="T827" s="285">
        <v>5.5381</v>
      </c>
      <c r="U827" s="283">
        <v>-7.4999999999999997E-3</v>
      </c>
      <c r="W827" s="167">
        <v>44249</v>
      </c>
      <c r="X827" s="287">
        <v>112668</v>
      </c>
      <c r="Y827" s="287">
        <v>118388</v>
      </c>
      <c r="Z827" s="287">
        <v>118388</v>
      </c>
      <c r="AA827" s="287">
        <v>111650</v>
      </c>
      <c r="AB827" s="283" t="s">
        <v>1326</v>
      </c>
      <c r="AC827" s="289">
        <v>-4.87E-2</v>
      </c>
      <c r="AE827" s="167"/>
      <c r="AF827" s="285"/>
      <c r="AG827" s="285"/>
      <c r="AH827" s="285"/>
      <c r="AI827" s="285"/>
      <c r="AJ827" s="283"/>
    </row>
    <row r="828" spans="1:36" x14ac:dyDescent="0.3">
      <c r="A828" s="168">
        <v>44252</v>
      </c>
      <c r="B828" s="83">
        <v>16.78</v>
      </c>
      <c r="C828" s="83">
        <v>18</v>
      </c>
      <c r="D828" s="83">
        <v>18.18</v>
      </c>
      <c r="E828" s="83">
        <v>16.55</v>
      </c>
      <c r="F828" s="83" t="s">
        <v>1325</v>
      </c>
      <c r="G828" s="284">
        <v>-3.95E-2</v>
      </c>
      <c r="I828" s="168">
        <v>44300</v>
      </c>
      <c r="J828" s="286">
        <v>2913.53</v>
      </c>
      <c r="K828" s="286">
        <v>2920.2</v>
      </c>
      <c r="L828" s="286">
        <v>2928.43</v>
      </c>
      <c r="M828" s="286">
        <v>2912.45</v>
      </c>
      <c r="N828" s="284" t="s">
        <v>1324</v>
      </c>
      <c r="P828" s="168">
        <v>44293</v>
      </c>
      <c r="Q828" s="286">
        <v>5.6143000000000001</v>
      </c>
      <c r="R828" s="286">
        <v>5.5903999999999998</v>
      </c>
      <c r="S828" s="286">
        <v>5.6550000000000002</v>
      </c>
      <c r="T828" s="286">
        <v>5.5473999999999997</v>
      </c>
      <c r="U828" s="284">
        <v>4.3E-3</v>
      </c>
      <c r="W828" s="168">
        <v>44246</v>
      </c>
      <c r="X828" s="288">
        <v>118431</v>
      </c>
      <c r="Y828" s="288">
        <v>119199</v>
      </c>
      <c r="Z828" s="288">
        <v>119250</v>
      </c>
      <c r="AA828" s="288">
        <v>117867</v>
      </c>
      <c r="AB828" s="284" t="s">
        <v>1323</v>
      </c>
      <c r="AC828" s="290">
        <v>-6.4000000000000003E-3</v>
      </c>
      <c r="AE828" s="168"/>
      <c r="AF828" s="286"/>
      <c r="AG828" s="286"/>
      <c r="AH828" s="286"/>
      <c r="AI828" s="286"/>
      <c r="AJ828" s="284"/>
    </row>
    <row r="829" spans="1:36" x14ac:dyDescent="0.3">
      <c r="A829" s="167">
        <v>44251</v>
      </c>
      <c r="B829" s="171">
        <v>17.47</v>
      </c>
      <c r="C829" s="171">
        <v>17.989999999999998</v>
      </c>
      <c r="D829" s="171">
        <v>18.399999999999999</v>
      </c>
      <c r="E829" s="171">
        <v>17.47</v>
      </c>
      <c r="F829" s="171" t="s">
        <v>1322</v>
      </c>
      <c r="G829" s="283">
        <v>-1.5699999999999999E-2</v>
      </c>
      <c r="I829" s="167">
        <v>44299</v>
      </c>
      <c r="J829" s="285">
        <v>2918.19</v>
      </c>
      <c r="K829" s="285">
        <v>2907.86</v>
      </c>
      <c r="L829" s="285">
        <v>2922.84</v>
      </c>
      <c r="M829" s="285">
        <v>2905.74</v>
      </c>
      <c r="N829" s="283" t="s">
        <v>1224</v>
      </c>
      <c r="P829" s="167">
        <v>44292</v>
      </c>
      <c r="Q829" s="285">
        <v>5.5903999999999998</v>
      </c>
      <c r="R829" s="285">
        <v>5.6642000000000001</v>
      </c>
      <c r="S829" s="285">
        <v>5.6698000000000004</v>
      </c>
      <c r="T829" s="285">
        <v>5.5742000000000003</v>
      </c>
      <c r="U829" s="283">
        <v>-1.29E-2</v>
      </c>
      <c r="W829" s="167">
        <v>44245</v>
      </c>
      <c r="X829" s="287">
        <v>119199</v>
      </c>
      <c r="Y829" s="287">
        <v>120361</v>
      </c>
      <c r="Z829" s="287">
        <v>120845</v>
      </c>
      <c r="AA829" s="287">
        <v>118515</v>
      </c>
      <c r="AB829" s="283" t="s">
        <v>1321</v>
      </c>
      <c r="AC829" s="289">
        <v>-9.5999999999999992E-3</v>
      </c>
      <c r="AE829" s="167"/>
      <c r="AF829" s="285"/>
      <c r="AG829" s="285"/>
      <c r="AH829" s="285"/>
      <c r="AI829" s="285"/>
      <c r="AJ829" s="283"/>
    </row>
    <row r="830" spans="1:36" x14ac:dyDescent="0.3">
      <c r="A830" s="168">
        <v>44250</v>
      </c>
      <c r="B830" s="83">
        <v>17.75</v>
      </c>
      <c r="C830" s="83">
        <v>18.61</v>
      </c>
      <c r="D830" s="83">
        <v>18.8</v>
      </c>
      <c r="E830" s="83">
        <v>16.98</v>
      </c>
      <c r="F830" s="83" t="s">
        <v>1320</v>
      </c>
      <c r="G830" s="284">
        <v>-3.73E-2</v>
      </c>
      <c r="I830" s="168">
        <v>44298</v>
      </c>
      <c r="J830" s="286">
        <v>2907.25</v>
      </c>
      <c r="K830" s="286">
        <v>2910.81</v>
      </c>
      <c r="L830" s="286">
        <v>2910.94</v>
      </c>
      <c r="M830" s="286">
        <v>2900.38</v>
      </c>
      <c r="N830" s="284" t="s">
        <v>1211</v>
      </c>
      <c r="P830" s="168">
        <v>44291</v>
      </c>
      <c r="Q830" s="286">
        <v>5.6631999999999998</v>
      </c>
      <c r="R830" s="286">
        <v>5.71</v>
      </c>
      <c r="S830" s="286">
        <v>5.7100999999999997</v>
      </c>
      <c r="T830" s="286">
        <v>5.6322999999999999</v>
      </c>
      <c r="U830" s="284">
        <v>-7.7999999999999996E-3</v>
      </c>
      <c r="W830" s="168">
        <v>44244</v>
      </c>
      <c r="X830" s="288">
        <v>120356</v>
      </c>
      <c r="Y830" s="288">
        <v>119421</v>
      </c>
      <c r="Z830" s="288">
        <v>120597</v>
      </c>
      <c r="AA830" s="288">
        <v>118880</v>
      </c>
      <c r="AB830" s="284" t="s">
        <v>1319</v>
      </c>
      <c r="AC830" s="290">
        <v>7.7999999999999996E-3</v>
      </c>
      <c r="AE830" s="168"/>
      <c r="AF830" s="286"/>
      <c r="AG830" s="286"/>
      <c r="AH830" s="286"/>
      <c r="AI830" s="286"/>
      <c r="AJ830" s="284"/>
    </row>
    <row r="831" spans="1:36" x14ac:dyDescent="0.3">
      <c r="A831" s="167">
        <v>44249</v>
      </c>
      <c r="B831" s="171">
        <v>18.440000000000001</v>
      </c>
      <c r="C831" s="171">
        <v>17.5</v>
      </c>
      <c r="D831" s="171">
        <v>18.45</v>
      </c>
      <c r="E831" s="171">
        <v>16.899999999999999</v>
      </c>
      <c r="F831" s="171" t="s">
        <v>1318</v>
      </c>
      <c r="G831" s="283">
        <v>3.7100000000000001E-2</v>
      </c>
      <c r="I831" s="167">
        <v>44295</v>
      </c>
      <c r="J831" s="285">
        <v>2910.1</v>
      </c>
      <c r="K831" s="285">
        <v>2897.11</v>
      </c>
      <c r="L831" s="285">
        <v>2910.53</v>
      </c>
      <c r="M831" s="285">
        <v>2893.18</v>
      </c>
      <c r="N831" s="283" t="s">
        <v>1315</v>
      </c>
      <c r="P831" s="167">
        <v>44288</v>
      </c>
      <c r="Q831" s="285">
        <v>5.7074999999999996</v>
      </c>
      <c r="R831" s="285">
        <v>5.7080000000000002</v>
      </c>
      <c r="S831" s="285">
        <v>5.7080000000000002</v>
      </c>
      <c r="T831" s="285">
        <v>5.7080000000000002</v>
      </c>
      <c r="U831" s="283">
        <v>1E-4</v>
      </c>
      <c r="W831" s="167">
        <v>44239</v>
      </c>
      <c r="X831" s="287">
        <v>119429</v>
      </c>
      <c r="Y831" s="287">
        <v>119300</v>
      </c>
      <c r="Z831" s="287">
        <v>119763</v>
      </c>
      <c r="AA831" s="287">
        <v>118163</v>
      </c>
      <c r="AB831" s="283" t="s">
        <v>1317</v>
      </c>
      <c r="AC831" s="289">
        <v>1.1000000000000001E-3</v>
      </c>
      <c r="AE831" s="167"/>
      <c r="AF831" s="285"/>
      <c r="AG831" s="285"/>
      <c r="AH831" s="285"/>
      <c r="AI831" s="285"/>
      <c r="AJ831" s="283"/>
    </row>
    <row r="832" spans="1:36" x14ac:dyDescent="0.3">
      <c r="A832" s="168">
        <v>44246</v>
      </c>
      <c r="B832" s="83">
        <v>17.78</v>
      </c>
      <c r="C832" s="83">
        <v>17.600000000000001</v>
      </c>
      <c r="D832" s="83">
        <v>17.850000000000001</v>
      </c>
      <c r="E832" s="83">
        <v>17.260000000000002</v>
      </c>
      <c r="F832" s="83" t="s">
        <v>1316</v>
      </c>
      <c r="G832" s="284">
        <v>5.4000000000000003E-3</v>
      </c>
      <c r="I832" s="168">
        <v>44294</v>
      </c>
      <c r="J832" s="286">
        <v>2895.61</v>
      </c>
      <c r="K832" s="286">
        <v>2878.66</v>
      </c>
      <c r="L832" s="286">
        <v>2896.91</v>
      </c>
      <c r="M832" s="286">
        <v>2877.77</v>
      </c>
      <c r="N832" s="284" t="s">
        <v>1315</v>
      </c>
      <c r="P832" s="168">
        <v>44287</v>
      </c>
      <c r="Q832" s="286">
        <v>5.7070999999999996</v>
      </c>
      <c r="R832" s="286">
        <v>5.633</v>
      </c>
      <c r="S832" s="286">
        <v>5.7275999999999998</v>
      </c>
      <c r="T832" s="286">
        <v>5.6079999999999997</v>
      </c>
      <c r="U832" s="284">
        <v>1.34E-2</v>
      </c>
      <c r="W832" s="168">
        <v>44238</v>
      </c>
      <c r="X832" s="288">
        <v>119300</v>
      </c>
      <c r="Y832" s="288">
        <v>118440</v>
      </c>
      <c r="Z832" s="288">
        <v>120283</v>
      </c>
      <c r="AA832" s="288">
        <v>118440</v>
      </c>
      <c r="AB832" s="284" t="s">
        <v>1314</v>
      </c>
      <c r="AC832" s="290">
        <v>7.3000000000000001E-3</v>
      </c>
      <c r="AE832" s="168"/>
      <c r="AF832" s="286"/>
      <c r="AG832" s="286"/>
      <c r="AH832" s="286"/>
      <c r="AI832" s="286"/>
      <c r="AJ832" s="284"/>
    </row>
    <row r="833" spans="1:36" x14ac:dyDescent="0.3">
      <c r="A833" s="167">
        <v>44245</v>
      </c>
      <c r="B833" s="171">
        <v>17.68</v>
      </c>
      <c r="C833" s="171">
        <v>17.52</v>
      </c>
      <c r="D833" s="171">
        <v>18.41</v>
      </c>
      <c r="E833" s="171">
        <v>17.52</v>
      </c>
      <c r="F833" s="171" t="s">
        <v>1313</v>
      </c>
      <c r="G833" s="283">
        <v>1.49E-2</v>
      </c>
      <c r="I833" s="167">
        <v>44293</v>
      </c>
      <c r="J833" s="285">
        <v>2881.15</v>
      </c>
      <c r="K833" s="285">
        <v>2877.69</v>
      </c>
      <c r="L833" s="285">
        <v>2884.42</v>
      </c>
      <c r="M833" s="285">
        <v>2874.18</v>
      </c>
      <c r="N833" s="283" t="s">
        <v>1312</v>
      </c>
      <c r="P833" s="167">
        <v>44286</v>
      </c>
      <c r="Q833" s="285">
        <v>5.6315</v>
      </c>
      <c r="R833" s="285">
        <v>5.774</v>
      </c>
      <c r="S833" s="285">
        <v>5.7767999999999997</v>
      </c>
      <c r="T833" s="285">
        <v>5.6214000000000004</v>
      </c>
      <c r="U833" s="283">
        <v>-2.4799999999999999E-2</v>
      </c>
      <c r="W833" s="167">
        <v>44237</v>
      </c>
      <c r="X833" s="287">
        <v>118435</v>
      </c>
      <c r="Y833" s="287">
        <v>119472</v>
      </c>
      <c r="Z833" s="287">
        <v>119738</v>
      </c>
      <c r="AA833" s="287">
        <v>117970</v>
      </c>
      <c r="AB833" s="283" t="s">
        <v>1311</v>
      </c>
      <c r="AC833" s="289">
        <v>-8.6999999999999994E-3</v>
      </c>
      <c r="AE833" s="167"/>
      <c r="AF833" s="285"/>
      <c r="AG833" s="285"/>
      <c r="AH833" s="285"/>
      <c r="AI833" s="285"/>
      <c r="AJ833" s="283"/>
    </row>
    <row r="834" spans="1:36" x14ac:dyDescent="0.3">
      <c r="A834" s="168">
        <v>44244</v>
      </c>
      <c r="B834" s="83">
        <v>17.420000000000002</v>
      </c>
      <c r="C834" s="83">
        <v>16.09</v>
      </c>
      <c r="D834" s="83">
        <v>17.57</v>
      </c>
      <c r="E834" s="83">
        <v>16.079999999999998</v>
      </c>
      <c r="F834" s="83" t="s">
        <v>1310</v>
      </c>
      <c r="G834" s="284">
        <v>9.4500000000000001E-2</v>
      </c>
      <c r="I834" s="168">
        <v>44292</v>
      </c>
      <c r="J834" s="286">
        <v>2876.23</v>
      </c>
      <c r="K834" s="286">
        <v>2874.37</v>
      </c>
      <c r="L834" s="286">
        <v>2882.76</v>
      </c>
      <c r="M834" s="286">
        <v>2869.18</v>
      </c>
      <c r="N834" s="284" t="s">
        <v>1270</v>
      </c>
      <c r="P834" s="168">
        <v>44285</v>
      </c>
      <c r="Q834" s="286">
        <v>5.7744999999999997</v>
      </c>
      <c r="R834" s="286">
        <v>5.7824</v>
      </c>
      <c r="S834" s="286">
        <v>5.8033999999999999</v>
      </c>
      <c r="T834" s="286">
        <v>5.72</v>
      </c>
      <c r="U834" s="284">
        <v>-8.9999999999999998E-4</v>
      </c>
      <c r="W834" s="168">
        <v>44236</v>
      </c>
      <c r="X834" s="288">
        <v>119472</v>
      </c>
      <c r="Y834" s="288">
        <v>119696</v>
      </c>
      <c r="Z834" s="288">
        <v>119975</v>
      </c>
      <c r="AA834" s="288">
        <v>118246</v>
      </c>
      <c r="AB834" s="284" t="s">
        <v>1309</v>
      </c>
      <c r="AC834" s="290">
        <v>-1.9E-3</v>
      </c>
      <c r="AE834" s="168"/>
      <c r="AF834" s="286"/>
      <c r="AG834" s="286"/>
      <c r="AH834" s="286"/>
      <c r="AI834" s="286"/>
      <c r="AJ834" s="284"/>
    </row>
    <row r="835" spans="1:36" x14ac:dyDescent="0.3">
      <c r="A835" s="167">
        <v>44239</v>
      </c>
      <c r="B835" s="171">
        <v>15.92</v>
      </c>
      <c r="C835" s="171">
        <v>15.38</v>
      </c>
      <c r="D835" s="171">
        <v>16</v>
      </c>
      <c r="E835" s="171">
        <v>15.12</v>
      </c>
      <c r="F835" s="171" t="s">
        <v>1308</v>
      </c>
      <c r="G835" s="283">
        <v>2.92E-2</v>
      </c>
      <c r="I835" s="167">
        <v>44291</v>
      </c>
      <c r="J835" s="285">
        <v>2872.97</v>
      </c>
      <c r="K835" s="285">
        <v>2843.18</v>
      </c>
      <c r="L835" s="285">
        <v>2875.43</v>
      </c>
      <c r="M835" s="285">
        <v>2842.35</v>
      </c>
      <c r="N835" s="283" t="s">
        <v>1307</v>
      </c>
      <c r="P835" s="167">
        <v>44284</v>
      </c>
      <c r="Q835" s="285">
        <v>5.7798999999999996</v>
      </c>
      <c r="R835" s="285">
        <v>5.7549999999999999</v>
      </c>
      <c r="S835" s="285">
        <v>5.8068999999999997</v>
      </c>
      <c r="T835" s="285">
        <v>5.7359</v>
      </c>
      <c r="U835" s="283">
        <v>4.0000000000000001E-3</v>
      </c>
      <c r="W835" s="167">
        <v>44235</v>
      </c>
      <c r="X835" s="287">
        <v>119696</v>
      </c>
      <c r="Y835" s="287">
        <v>120239</v>
      </c>
      <c r="Z835" s="287">
        <v>120844</v>
      </c>
      <c r="AA835" s="287">
        <v>119140</v>
      </c>
      <c r="AB835" s="283" t="s">
        <v>1306</v>
      </c>
      <c r="AC835" s="289">
        <v>-4.4999999999999997E-3</v>
      </c>
      <c r="AE835" s="167"/>
      <c r="AF835" s="285"/>
      <c r="AG835" s="285"/>
      <c r="AH835" s="285"/>
      <c r="AI835" s="285"/>
      <c r="AJ835" s="283"/>
    </row>
    <row r="836" spans="1:36" x14ac:dyDescent="0.3">
      <c r="A836" s="168">
        <v>44238</v>
      </c>
      <c r="B836" s="83">
        <v>15.47</v>
      </c>
      <c r="C836" s="83">
        <v>15.98</v>
      </c>
      <c r="D836" s="83">
        <v>16.02</v>
      </c>
      <c r="E836" s="83">
        <v>15.3</v>
      </c>
      <c r="F836" s="83" t="s">
        <v>1305</v>
      </c>
      <c r="G836" s="284">
        <v>-2.64E-2</v>
      </c>
      <c r="I836" s="168">
        <v>44288</v>
      </c>
      <c r="J836" s="286">
        <v>2841.89</v>
      </c>
      <c r="K836" s="286">
        <v>2842.74</v>
      </c>
      <c r="L836" s="286">
        <v>2844.17</v>
      </c>
      <c r="M836" s="286">
        <v>2841.89</v>
      </c>
      <c r="N836" s="284" t="s">
        <v>1304</v>
      </c>
      <c r="P836" s="168">
        <v>44281</v>
      </c>
      <c r="Q836" s="286">
        <v>5.7565999999999997</v>
      </c>
      <c r="R836" s="286">
        <v>5.6473000000000004</v>
      </c>
      <c r="S836" s="286">
        <v>5.7588999999999997</v>
      </c>
      <c r="T836" s="286">
        <v>5.6448</v>
      </c>
      <c r="U836" s="284">
        <v>1.9300000000000001E-2</v>
      </c>
      <c r="W836" s="168">
        <v>44232</v>
      </c>
      <c r="X836" s="288">
        <v>120240</v>
      </c>
      <c r="Y836" s="288">
        <v>119261</v>
      </c>
      <c r="Z836" s="288">
        <v>121117</v>
      </c>
      <c r="AA836" s="288">
        <v>119261</v>
      </c>
      <c r="AB836" s="284" t="s">
        <v>1303</v>
      </c>
      <c r="AC836" s="290">
        <v>8.2000000000000007E-3</v>
      </c>
      <c r="AE836" s="168"/>
      <c r="AF836" s="286"/>
      <c r="AG836" s="286"/>
      <c r="AH836" s="286"/>
      <c r="AI836" s="286"/>
      <c r="AJ836" s="284"/>
    </row>
    <row r="837" spans="1:36" x14ac:dyDescent="0.3">
      <c r="A837" s="167">
        <v>44237</v>
      </c>
      <c r="B837" s="171">
        <v>15.89</v>
      </c>
      <c r="C837" s="171">
        <v>15.71</v>
      </c>
      <c r="D837" s="171">
        <v>15.89</v>
      </c>
      <c r="E837" s="171">
        <v>15.35</v>
      </c>
      <c r="F837" s="171" t="s">
        <v>1302</v>
      </c>
      <c r="G837" s="283">
        <v>2.1700000000000001E-2</v>
      </c>
      <c r="I837" s="167">
        <v>44287</v>
      </c>
      <c r="J837" s="285">
        <v>2840.19</v>
      </c>
      <c r="K837" s="285">
        <v>2809.98</v>
      </c>
      <c r="L837" s="285">
        <v>2841.34</v>
      </c>
      <c r="M837" s="285">
        <v>2809.16</v>
      </c>
      <c r="N837" s="283" t="s">
        <v>1301</v>
      </c>
      <c r="P837" s="167">
        <v>44280</v>
      </c>
      <c r="Q837" s="285">
        <v>5.6475</v>
      </c>
      <c r="R837" s="285">
        <v>5.6212999999999997</v>
      </c>
      <c r="S837" s="285">
        <v>5.6821000000000002</v>
      </c>
      <c r="T837" s="285">
        <v>5.6173999999999999</v>
      </c>
      <c r="U837" s="283">
        <v>4.7000000000000002E-3</v>
      </c>
      <c r="W837" s="167">
        <v>44231</v>
      </c>
      <c r="X837" s="287">
        <v>119261</v>
      </c>
      <c r="Y837" s="287">
        <v>119728</v>
      </c>
      <c r="Z837" s="287">
        <v>120560</v>
      </c>
      <c r="AA837" s="287">
        <v>118918</v>
      </c>
      <c r="AB837" s="283" t="s">
        <v>1300</v>
      </c>
      <c r="AC837" s="289">
        <v>-3.8999999999999998E-3</v>
      </c>
      <c r="AE837" s="167"/>
      <c r="AF837" s="285"/>
      <c r="AG837" s="285"/>
      <c r="AH837" s="285"/>
      <c r="AI837" s="285"/>
      <c r="AJ837" s="283"/>
    </row>
    <row r="838" spans="1:36" x14ac:dyDescent="0.3">
      <c r="A838" s="168">
        <v>44236</v>
      </c>
      <c r="B838" s="83">
        <v>15.55</v>
      </c>
      <c r="C838" s="83">
        <v>16.2</v>
      </c>
      <c r="D838" s="83">
        <v>16.37</v>
      </c>
      <c r="E838" s="83">
        <v>15.27</v>
      </c>
      <c r="F838" s="83" t="s">
        <v>1299</v>
      </c>
      <c r="G838" s="284">
        <v>-4.1300000000000003E-2</v>
      </c>
      <c r="I838" s="168">
        <v>44286</v>
      </c>
      <c r="J838" s="286">
        <v>2811.7</v>
      </c>
      <c r="K838" s="286">
        <v>2805.16</v>
      </c>
      <c r="L838" s="286">
        <v>2821.86</v>
      </c>
      <c r="M838" s="286">
        <v>2801.01</v>
      </c>
      <c r="N838" s="284" t="s">
        <v>1298</v>
      </c>
      <c r="P838" s="168">
        <v>44279</v>
      </c>
      <c r="Q838" s="286">
        <v>5.6208999999999998</v>
      </c>
      <c r="R838" s="286">
        <v>5.5216000000000003</v>
      </c>
      <c r="S838" s="286">
        <v>5.6432000000000002</v>
      </c>
      <c r="T838" s="286">
        <v>5.4890999999999996</v>
      </c>
      <c r="U838" s="284">
        <v>1.7999999999999999E-2</v>
      </c>
      <c r="W838" s="168">
        <v>44230</v>
      </c>
      <c r="X838" s="288">
        <v>119725</v>
      </c>
      <c r="Y838" s="288">
        <v>118235</v>
      </c>
      <c r="Z838" s="288">
        <v>120210</v>
      </c>
      <c r="AA838" s="288">
        <v>118234</v>
      </c>
      <c r="AB838" s="284" t="s">
        <v>1297</v>
      </c>
      <c r="AC838" s="290">
        <v>1.26E-2</v>
      </c>
      <c r="AE838" s="168"/>
      <c r="AF838" s="286"/>
      <c r="AG838" s="286"/>
      <c r="AH838" s="286"/>
      <c r="AI838" s="286"/>
      <c r="AJ838" s="284"/>
    </row>
    <row r="839" spans="1:36" x14ac:dyDescent="0.3">
      <c r="A839" s="167">
        <v>44235</v>
      </c>
      <c r="B839" s="171">
        <v>16.22</v>
      </c>
      <c r="C839" s="171">
        <v>15.85</v>
      </c>
      <c r="D839" s="171">
        <v>16.54</v>
      </c>
      <c r="E839" s="171">
        <v>15.85</v>
      </c>
      <c r="F839" s="171" t="s">
        <v>1296</v>
      </c>
      <c r="G839" s="283">
        <v>3.3000000000000002E-2</v>
      </c>
      <c r="I839" s="167">
        <v>44285</v>
      </c>
      <c r="J839" s="285">
        <v>2805.1</v>
      </c>
      <c r="K839" s="285">
        <v>2811.92</v>
      </c>
      <c r="L839" s="285">
        <v>2812.3</v>
      </c>
      <c r="M839" s="285">
        <v>2795.88</v>
      </c>
      <c r="N839" s="283" t="s">
        <v>1295</v>
      </c>
      <c r="P839" s="167">
        <v>44278</v>
      </c>
      <c r="Q839" s="285">
        <v>5.5213999999999999</v>
      </c>
      <c r="R839" s="285">
        <v>5.5045000000000002</v>
      </c>
      <c r="S839" s="285">
        <v>5.5509000000000004</v>
      </c>
      <c r="T839" s="285">
        <v>5.4640000000000004</v>
      </c>
      <c r="U839" s="283">
        <v>3.0999999999999999E-3</v>
      </c>
      <c r="W839" s="167">
        <v>44229</v>
      </c>
      <c r="X839" s="287">
        <v>118234</v>
      </c>
      <c r="Y839" s="287">
        <v>117520</v>
      </c>
      <c r="Z839" s="287">
        <v>119805</v>
      </c>
      <c r="AA839" s="287">
        <v>117519</v>
      </c>
      <c r="AB839" s="283" t="s">
        <v>1294</v>
      </c>
      <c r="AC839" s="289">
        <v>6.1000000000000004E-3</v>
      </c>
      <c r="AE839" s="167"/>
      <c r="AF839" s="285"/>
      <c r="AG839" s="285"/>
      <c r="AH839" s="285"/>
      <c r="AI839" s="285"/>
      <c r="AJ839" s="283"/>
    </row>
    <row r="840" spans="1:36" x14ac:dyDescent="0.3">
      <c r="A840" s="168">
        <v>44232</v>
      </c>
      <c r="B840" s="83">
        <v>15.7</v>
      </c>
      <c r="C840" s="83">
        <v>15.31</v>
      </c>
      <c r="D840" s="83">
        <v>16.149999999999999</v>
      </c>
      <c r="E840" s="83">
        <v>15.06</v>
      </c>
      <c r="F840" s="83" t="s">
        <v>1293</v>
      </c>
      <c r="G840" s="284">
        <v>3.4500000000000003E-2</v>
      </c>
      <c r="I840" s="168">
        <v>44284</v>
      </c>
      <c r="J840" s="286">
        <v>2811.53</v>
      </c>
      <c r="K840" s="286">
        <v>2814.57</v>
      </c>
      <c r="L840" s="286">
        <v>2817.38</v>
      </c>
      <c r="M840" s="286">
        <v>2798.11</v>
      </c>
      <c r="N840" s="284" t="s">
        <v>1292</v>
      </c>
      <c r="P840" s="168">
        <v>44277</v>
      </c>
      <c r="Q840" s="286">
        <v>5.5045000000000002</v>
      </c>
      <c r="R840" s="286">
        <v>5.5087000000000002</v>
      </c>
      <c r="S840" s="286">
        <v>5.5483000000000002</v>
      </c>
      <c r="T840" s="286">
        <v>5.4935999999999998</v>
      </c>
      <c r="U840" s="284">
        <v>2.3E-3</v>
      </c>
      <c r="W840" s="168">
        <v>44228</v>
      </c>
      <c r="X840" s="288">
        <v>117518</v>
      </c>
      <c r="Y840" s="288">
        <v>115093</v>
      </c>
      <c r="Z840" s="288">
        <v>117862</v>
      </c>
      <c r="AA840" s="288">
        <v>115093</v>
      </c>
      <c r="AB840" s="284" t="s">
        <v>1291</v>
      </c>
      <c r="AC840" s="290">
        <v>2.1299999999999999E-2</v>
      </c>
      <c r="AE840" s="168"/>
      <c r="AF840" s="286"/>
      <c r="AG840" s="286"/>
      <c r="AH840" s="286"/>
      <c r="AI840" s="286"/>
      <c r="AJ840" s="284"/>
    </row>
    <row r="841" spans="1:36" x14ac:dyDescent="0.3">
      <c r="A841" s="167">
        <v>44231</v>
      </c>
      <c r="B841" s="171">
        <v>15.18</v>
      </c>
      <c r="C841" s="171">
        <v>15.46</v>
      </c>
      <c r="D841" s="171">
        <v>15.57</v>
      </c>
      <c r="E841" s="171">
        <v>15.03</v>
      </c>
      <c r="F841" s="171" t="s">
        <v>1290</v>
      </c>
      <c r="G841" s="283">
        <v>-1.2999999999999999E-2</v>
      </c>
      <c r="I841" s="167">
        <v>44281</v>
      </c>
      <c r="J841" s="285">
        <v>2814.86</v>
      </c>
      <c r="K841" s="285">
        <v>2775.4</v>
      </c>
      <c r="L841" s="285">
        <v>2816.12</v>
      </c>
      <c r="M841" s="285">
        <v>2775.23</v>
      </c>
      <c r="N841" s="283" t="s">
        <v>1289</v>
      </c>
      <c r="P841" s="167">
        <v>44274</v>
      </c>
      <c r="Q841" s="285">
        <v>5.4916999999999998</v>
      </c>
      <c r="R841" s="285">
        <v>5.5609000000000002</v>
      </c>
      <c r="S841" s="285">
        <v>5.5640000000000001</v>
      </c>
      <c r="T841" s="285">
        <v>5.4481999999999999</v>
      </c>
      <c r="U841" s="283">
        <v>-1.24E-2</v>
      </c>
      <c r="W841" s="167">
        <v>44225</v>
      </c>
      <c r="X841" s="287">
        <v>115068</v>
      </c>
      <c r="Y841" s="287">
        <v>118880</v>
      </c>
      <c r="Z841" s="287">
        <v>118880</v>
      </c>
      <c r="AA841" s="287">
        <v>114973</v>
      </c>
      <c r="AB841" s="283" t="s">
        <v>1288</v>
      </c>
      <c r="AC841" s="289">
        <v>-3.2099999999999997E-2</v>
      </c>
      <c r="AE841" s="167"/>
      <c r="AF841" s="285"/>
      <c r="AG841" s="285"/>
      <c r="AH841" s="285"/>
      <c r="AI841" s="285"/>
      <c r="AJ841" s="283"/>
    </row>
    <row r="842" spans="1:36" x14ac:dyDescent="0.3">
      <c r="A842" s="168">
        <v>44230</v>
      </c>
      <c r="B842" s="83">
        <v>15.38</v>
      </c>
      <c r="C842" s="83">
        <v>15.76</v>
      </c>
      <c r="D842" s="83">
        <v>15.84</v>
      </c>
      <c r="E842" s="83">
        <v>15.13</v>
      </c>
      <c r="F842" s="83" t="s">
        <v>1287</v>
      </c>
      <c r="G842" s="284">
        <v>-1.2200000000000001E-2</v>
      </c>
      <c r="I842" s="168">
        <v>44280</v>
      </c>
      <c r="J842" s="286">
        <v>2775.05</v>
      </c>
      <c r="K842" s="286">
        <v>2765.86</v>
      </c>
      <c r="L842" s="286">
        <v>2779.84</v>
      </c>
      <c r="M842" s="286">
        <v>2744.82</v>
      </c>
      <c r="N842" s="284" t="s">
        <v>1286</v>
      </c>
      <c r="P842" s="168">
        <v>44273</v>
      </c>
      <c r="Q842" s="286">
        <v>5.5603999999999996</v>
      </c>
      <c r="R842" s="286">
        <v>5.5860000000000003</v>
      </c>
      <c r="S842" s="286">
        <v>5.5860000000000003</v>
      </c>
      <c r="T842" s="286">
        <v>5.4763000000000002</v>
      </c>
      <c r="U842" s="284">
        <v>-4.1000000000000003E-3</v>
      </c>
      <c r="W842" s="168">
        <v>44224</v>
      </c>
      <c r="X842" s="288">
        <v>118883</v>
      </c>
      <c r="Y842" s="288">
        <v>115882</v>
      </c>
      <c r="Z842" s="288">
        <v>119355</v>
      </c>
      <c r="AA842" s="288">
        <v>115734</v>
      </c>
      <c r="AB842" s="284" t="s">
        <v>1285</v>
      </c>
      <c r="AC842" s="290">
        <v>2.5899999999999999E-2</v>
      </c>
      <c r="AE842" s="168"/>
      <c r="AF842" s="286"/>
      <c r="AG842" s="286"/>
      <c r="AH842" s="286"/>
      <c r="AI842" s="286"/>
      <c r="AJ842" s="284"/>
    </row>
    <row r="843" spans="1:36" x14ac:dyDescent="0.3">
      <c r="A843" s="167">
        <v>44229</v>
      </c>
      <c r="B843" s="171">
        <v>15.57</v>
      </c>
      <c r="C843" s="171">
        <v>14.96</v>
      </c>
      <c r="D843" s="171">
        <v>15.88</v>
      </c>
      <c r="E843" s="171">
        <v>14.96</v>
      </c>
      <c r="F843" s="171" t="s">
        <v>1284</v>
      </c>
      <c r="G843" s="283">
        <v>5.9299999999999999E-2</v>
      </c>
      <c r="I843" s="167">
        <v>44279</v>
      </c>
      <c r="J843" s="285">
        <v>2767.26</v>
      </c>
      <c r="K843" s="285">
        <v>2785.91</v>
      </c>
      <c r="L843" s="285">
        <v>2794.26</v>
      </c>
      <c r="M843" s="285">
        <v>2766.2</v>
      </c>
      <c r="N843" s="283" t="s">
        <v>1196</v>
      </c>
      <c r="P843" s="167">
        <v>44272</v>
      </c>
      <c r="Q843" s="285">
        <v>5.5831999999999997</v>
      </c>
      <c r="R843" s="285">
        <v>5.6249000000000002</v>
      </c>
      <c r="S843" s="285">
        <v>5.6826999999999996</v>
      </c>
      <c r="T843" s="285">
        <v>5.5688000000000004</v>
      </c>
      <c r="U843" s="283">
        <v>-7.4000000000000003E-3</v>
      </c>
      <c r="W843" s="167">
        <v>44223</v>
      </c>
      <c r="X843" s="287">
        <v>115882</v>
      </c>
      <c r="Y843" s="287">
        <v>116463</v>
      </c>
      <c r="Z843" s="287">
        <v>117840</v>
      </c>
      <c r="AA843" s="287">
        <v>114887</v>
      </c>
      <c r="AB843" s="283" t="s">
        <v>1283</v>
      </c>
      <c r="AC843" s="289">
        <v>-5.0000000000000001E-3</v>
      </c>
      <c r="AE843" s="167"/>
      <c r="AF843" s="285"/>
      <c r="AG843" s="285"/>
      <c r="AH843" s="285"/>
      <c r="AI843" s="285"/>
      <c r="AJ843" s="283"/>
    </row>
    <row r="844" spans="1:36" x14ac:dyDescent="0.3">
      <c r="A844" s="168">
        <v>44228</v>
      </c>
      <c r="B844" s="83">
        <v>14.69</v>
      </c>
      <c r="C844" s="83">
        <v>14.44</v>
      </c>
      <c r="D844" s="83">
        <v>14.76</v>
      </c>
      <c r="E844" s="83">
        <v>13.94</v>
      </c>
      <c r="F844" s="83" t="s">
        <v>1282</v>
      </c>
      <c r="G844" s="284">
        <v>4.2299999999999997E-2</v>
      </c>
      <c r="I844" s="168">
        <v>44278</v>
      </c>
      <c r="J844" s="286">
        <v>2788.01</v>
      </c>
      <c r="K844" s="286">
        <v>2809.44</v>
      </c>
      <c r="L844" s="286">
        <v>2811.62</v>
      </c>
      <c r="M844" s="286">
        <v>2782.13</v>
      </c>
      <c r="N844" s="284" t="s">
        <v>1281</v>
      </c>
      <c r="P844" s="168">
        <v>44271</v>
      </c>
      <c r="Q844" s="286">
        <v>5.6246</v>
      </c>
      <c r="R844" s="286">
        <v>5.6252000000000004</v>
      </c>
      <c r="S844" s="286">
        <v>5.6344000000000003</v>
      </c>
      <c r="T844" s="286">
        <v>5.5574000000000003</v>
      </c>
      <c r="U844" s="284">
        <v>1.6000000000000001E-3</v>
      </c>
      <c r="W844" s="168">
        <v>44222</v>
      </c>
      <c r="X844" s="288">
        <v>116464</v>
      </c>
      <c r="Y844" s="288">
        <v>117381</v>
      </c>
      <c r="Z844" s="288">
        <v>119167</v>
      </c>
      <c r="AA844" s="288">
        <v>116109</v>
      </c>
      <c r="AB844" s="284" t="s">
        <v>1280</v>
      </c>
      <c r="AC844" s="290">
        <v>-7.7999999999999996E-3</v>
      </c>
      <c r="AE844" s="168"/>
      <c r="AF844" s="286"/>
      <c r="AG844" s="286"/>
      <c r="AH844" s="286"/>
      <c r="AI844" s="286"/>
      <c r="AJ844" s="284"/>
    </row>
    <row r="845" spans="1:36" x14ac:dyDescent="0.3">
      <c r="A845" s="167">
        <v>44225</v>
      </c>
      <c r="B845" s="171">
        <v>14.1</v>
      </c>
      <c r="C845" s="171">
        <v>14.06</v>
      </c>
      <c r="D845" s="171">
        <v>14.94</v>
      </c>
      <c r="E845" s="171">
        <v>13.74</v>
      </c>
      <c r="F845" s="171" t="s">
        <v>1279</v>
      </c>
      <c r="G845" s="283">
        <v>-1.7999999999999999E-2</v>
      </c>
      <c r="I845" s="167">
        <v>44277</v>
      </c>
      <c r="J845" s="285">
        <v>2809.65</v>
      </c>
      <c r="K845" s="285">
        <v>2794.78</v>
      </c>
      <c r="L845" s="285">
        <v>2817.03</v>
      </c>
      <c r="M845" s="285">
        <v>2789.1</v>
      </c>
      <c r="N845" s="283" t="s">
        <v>1278</v>
      </c>
      <c r="P845" s="167">
        <v>44270</v>
      </c>
      <c r="Q845" s="285">
        <v>5.6155999999999997</v>
      </c>
      <c r="R845" s="285">
        <v>5.5500999999999996</v>
      </c>
      <c r="S845" s="285">
        <v>5.6567999999999996</v>
      </c>
      <c r="T845" s="285">
        <v>5.5309999999999997</v>
      </c>
      <c r="U845" s="283">
        <v>1.15E-2</v>
      </c>
      <c r="W845" s="167">
        <v>44218</v>
      </c>
      <c r="X845" s="287">
        <v>117380</v>
      </c>
      <c r="Y845" s="287">
        <v>118318</v>
      </c>
      <c r="Z845" s="287">
        <v>118318</v>
      </c>
      <c r="AA845" s="287">
        <v>116109</v>
      </c>
      <c r="AB845" s="283" t="s">
        <v>1277</v>
      </c>
      <c r="AC845" s="289">
        <v>-8.0000000000000002E-3</v>
      </c>
      <c r="AE845" s="167"/>
      <c r="AF845" s="285"/>
      <c r="AG845" s="285"/>
      <c r="AH845" s="285"/>
      <c r="AI845" s="285"/>
      <c r="AJ845" s="283"/>
    </row>
    <row r="846" spans="1:36" x14ac:dyDescent="0.3">
      <c r="A846" s="168">
        <v>44224</v>
      </c>
      <c r="B846" s="83">
        <v>14.36</v>
      </c>
      <c r="C846" s="83">
        <v>13.82</v>
      </c>
      <c r="D846" s="83">
        <v>14.4</v>
      </c>
      <c r="E846" s="83">
        <v>13.51</v>
      </c>
      <c r="F846" s="83" t="s">
        <v>1276</v>
      </c>
      <c r="G846" s="284">
        <v>3.85E-2</v>
      </c>
      <c r="I846" s="168">
        <v>44274</v>
      </c>
      <c r="J846" s="286">
        <v>2796.14</v>
      </c>
      <c r="K846" s="286">
        <v>2801.09</v>
      </c>
      <c r="L846" s="286">
        <v>2804.17</v>
      </c>
      <c r="M846" s="286">
        <v>2777.94</v>
      </c>
      <c r="N846" s="284" t="s">
        <v>1250</v>
      </c>
      <c r="P846" s="168">
        <v>44267</v>
      </c>
      <c r="Q846" s="286">
        <v>5.5518000000000001</v>
      </c>
      <c r="R846" s="286">
        <v>5.5362</v>
      </c>
      <c r="S846" s="286">
        <v>5.5872999999999999</v>
      </c>
      <c r="T846" s="286">
        <v>5.5324</v>
      </c>
      <c r="U846" s="284">
        <v>2.8999999999999998E-3</v>
      </c>
      <c r="W846" s="168">
        <v>44217</v>
      </c>
      <c r="X846" s="288">
        <v>118329</v>
      </c>
      <c r="Y846" s="288">
        <v>119628</v>
      </c>
      <c r="Z846" s="288">
        <v>120243</v>
      </c>
      <c r="AA846" s="288">
        <v>117785</v>
      </c>
      <c r="AB846" s="284" t="s">
        <v>1275</v>
      </c>
      <c r="AC846" s="290">
        <v>-1.0999999999999999E-2</v>
      </c>
      <c r="AE846" s="168"/>
      <c r="AF846" s="286"/>
      <c r="AG846" s="286"/>
      <c r="AH846" s="286"/>
      <c r="AI846" s="286"/>
      <c r="AJ846" s="284"/>
    </row>
    <row r="847" spans="1:36" x14ac:dyDescent="0.3">
      <c r="A847" s="167">
        <v>44223</v>
      </c>
      <c r="B847" s="171">
        <v>13.82</v>
      </c>
      <c r="C847" s="171">
        <v>14.18</v>
      </c>
      <c r="D847" s="171">
        <v>14.36</v>
      </c>
      <c r="E847" s="171">
        <v>13.6</v>
      </c>
      <c r="F847" s="171" t="s">
        <v>1274</v>
      </c>
      <c r="G847" s="283">
        <v>-2.1000000000000001E-2</v>
      </c>
      <c r="I847" s="167">
        <v>44273</v>
      </c>
      <c r="J847" s="285">
        <v>2802.27</v>
      </c>
      <c r="K847" s="285">
        <v>2833.39</v>
      </c>
      <c r="L847" s="285">
        <v>2836.26</v>
      </c>
      <c r="M847" s="285">
        <v>2799.09</v>
      </c>
      <c r="N847" s="283" t="s">
        <v>1273</v>
      </c>
      <c r="P847" s="167">
        <v>44266</v>
      </c>
      <c r="Q847" s="285">
        <v>5.5357000000000003</v>
      </c>
      <c r="R847" s="285">
        <v>5.6078000000000001</v>
      </c>
      <c r="S847" s="285">
        <v>5.6215000000000002</v>
      </c>
      <c r="T847" s="285">
        <v>5.5256999999999996</v>
      </c>
      <c r="U847" s="283">
        <v>-2.4E-2</v>
      </c>
      <c r="W847" s="167">
        <v>44216</v>
      </c>
      <c r="X847" s="287">
        <v>119646</v>
      </c>
      <c r="Y847" s="287">
        <v>120645</v>
      </c>
      <c r="Z847" s="287">
        <v>121449</v>
      </c>
      <c r="AA847" s="287">
        <v>118740</v>
      </c>
      <c r="AB847" s="283" t="s">
        <v>1272</v>
      </c>
      <c r="AC847" s="289">
        <v>-8.2000000000000007E-3</v>
      </c>
      <c r="AE847" s="167"/>
      <c r="AF847" s="285"/>
      <c r="AG847" s="285"/>
      <c r="AH847" s="285"/>
      <c r="AI847" s="285"/>
      <c r="AJ847" s="283"/>
    </row>
    <row r="848" spans="1:36" x14ac:dyDescent="0.3">
      <c r="A848" s="168">
        <v>44222</v>
      </c>
      <c r="B848" s="83">
        <v>14.12</v>
      </c>
      <c r="C848" s="83">
        <v>14.44</v>
      </c>
      <c r="D848" s="83">
        <v>14.76</v>
      </c>
      <c r="E848" s="83">
        <v>13.96</v>
      </c>
      <c r="F848" s="83" t="s">
        <v>1271</v>
      </c>
      <c r="G848" s="284">
        <v>-1.9400000000000001E-2</v>
      </c>
      <c r="I848" s="168">
        <v>44272</v>
      </c>
      <c r="J848" s="286">
        <v>2826.79</v>
      </c>
      <c r="K848" s="286">
        <v>2823.04</v>
      </c>
      <c r="L848" s="286">
        <v>2837.3</v>
      </c>
      <c r="M848" s="286">
        <v>2805.91</v>
      </c>
      <c r="N848" s="284" t="s">
        <v>1270</v>
      </c>
      <c r="P848" s="168">
        <v>44265</v>
      </c>
      <c r="Q848" s="286">
        <v>5.6719999999999997</v>
      </c>
      <c r="R848" s="286">
        <v>5.7901999999999996</v>
      </c>
      <c r="S848" s="286">
        <v>5.8144</v>
      </c>
      <c r="T848" s="286">
        <v>5.6443000000000003</v>
      </c>
      <c r="U848" s="284">
        <v>-2.2499999999999999E-2</v>
      </c>
      <c r="W848" s="168">
        <v>44215</v>
      </c>
      <c r="X848" s="288">
        <v>120636</v>
      </c>
      <c r="Y848" s="288">
        <v>121250</v>
      </c>
      <c r="Z848" s="288">
        <v>122120</v>
      </c>
      <c r="AA848" s="288">
        <v>119257</v>
      </c>
      <c r="AB848" s="284" t="s">
        <v>1269</v>
      </c>
      <c r="AC848" s="290">
        <v>-5.0000000000000001E-3</v>
      </c>
      <c r="AE848" s="168"/>
      <c r="AF848" s="286"/>
      <c r="AG848" s="286"/>
      <c r="AH848" s="286"/>
      <c r="AI848" s="286"/>
      <c r="AJ848" s="284"/>
    </row>
    <row r="849" spans="1:36" x14ac:dyDescent="0.3">
      <c r="A849" s="167">
        <v>44218</v>
      </c>
      <c r="B849" s="171">
        <v>14.4</v>
      </c>
      <c r="C849" s="171">
        <v>14.6</v>
      </c>
      <c r="D849" s="171">
        <v>14.7</v>
      </c>
      <c r="E849" s="171">
        <v>14.28</v>
      </c>
      <c r="F849" s="171" t="s">
        <v>1268</v>
      </c>
      <c r="G849" s="283">
        <v>-3.0700000000000002E-2</v>
      </c>
      <c r="I849" s="167">
        <v>44271</v>
      </c>
      <c r="J849" s="285">
        <v>2823.69</v>
      </c>
      <c r="K849" s="285">
        <v>2822.6</v>
      </c>
      <c r="L849" s="285">
        <v>2834.43</v>
      </c>
      <c r="M849" s="285">
        <v>2818.79</v>
      </c>
      <c r="N849" s="283" t="s">
        <v>1267</v>
      </c>
      <c r="P849" s="167">
        <v>44264</v>
      </c>
      <c r="Q849" s="285">
        <v>5.8025000000000002</v>
      </c>
      <c r="R849" s="285">
        <v>5.8753000000000002</v>
      </c>
      <c r="S849" s="285">
        <v>5.8787000000000003</v>
      </c>
      <c r="T849" s="285">
        <v>5.7675000000000001</v>
      </c>
      <c r="U849" s="283">
        <v>-1.24E-2</v>
      </c>
      <c r="W849" s="167">
        <v>44214</v>
      </c>
      <c r="X849" s="287">
        <v>121242</v>
      </c>
      <c r="Y849" s="287">
        <v>120351</v>
      </c>
      <c r="Z849" s="287">
        <v>122586</v>
      </c>
      <c r="AA849" s="287">
        <v>120351</v>
      </c>
      <c r="AB849" s="283" t="s">
        <v>1266</v>
      </c>
      <c r="AC849" s="289">
        <v>7.4000000000000003E-3</v>
      </c>
      <c r="AE849" s="167"/>
      <c r="AF849" s="285"/>
      <c r="AG849" s="285"/>
      <c r="AH849" s="285"/>
      <c r="AI849" s="285"/>
      <c r="AJ849" s="283"/>
    </row>
    <row r="850" spans="1:36" x14ac:dyDescent="0.3">
      <c r="A850" s="168">
        <v>44217</v>
      </c>
      <c r="B850" s="83">
        <v>14.86</v>
      </c>
      <c r="C850" s="83">
        <v>14.16</v>
      </c>
      <c r="D850" s="83">
        <v>15.13</v>
      </c>
      <c r="E850" s="83">
        <v>14.16</v>
      </c>
      <c r="F850" s="83" t="s">
        <v>1265</v>
      </c>
      <c r="G850" s="284">
        <v>4.9000000000000002E-2</v>
      </c>
      <c r="I850" s="168">
        <v>44270</v>
      </c>
      <c r="J850" s="286">
        <v>2821.85</v>
      </c>
      <c r="K850" s="286">
        <v>2807.66</v>
      </c>
      <c r="L850" s="286">
        <v>2823.49</v>
      </c>
      <c r="M850" s="286">
        <v>2797.29</v>
      </c>
      <c r="N850" s="284" t="s">
        <v>1264</v>
      </c>
      <c r="P850" s="168">
        <v>44263</v>
      </c>
      <c r="Q850" s="286">
        <v>5.8754999999999997</v>
      </c>
      <c r="R850" s="286">
        <v>5.6898</v>
      </c>
      <c r="S850" s="286">
        <v>5.8769</v>
      </c>
      <c r="T850" s="286">
        <v>5.6898</v>
      </c>
      <c r="U850" s="284">
        <v>3.2500000000000001E-2</v>
      </c>
      <c r="W850" s="168">
        <v>44211</v>
      </c>
      <c r="X850" s="288">
        <v>120349</v>
      </c>
      <c r="Y850" s="288">
        <v>123472</v>
      </c>
      <c r="Z850" s="288">
        <v>123472</v>
      </c>
      <c r="AA850" s="288">
        <v>120185</v>
      </c>
      <c r="AB850" s="284" t="s">
        <v>1263</v>
      </c>
      <c r="AC850" s="290">
        <v>-2.5399999999999999E-2</v>
      </c>
      <c r="AE850" s="168"/>
      <c r="AF850" s="286"/>
      <c r="AG850" s="286"/>
      <c r="AH850" s="286"/>
      <c r="AI850" s="286"/>
      <c r="AJ850" s="284"/>
    </row>
    <row r="851" spans="1:36" x14ac:dyDescent="0.3">
      <c r="A851" s="167">
        <v>44216</v>
      </c>
      <c r="B851" s="171">
        <v>14.16</v>
      </c>
      <c r="C851" s="171">
        <v>14.98</v>
      </c>
      <c r="D851" s="171">
        <v>15.05</v>
      </c>
      <c r="E851" s="171">
        <v>14.09</v>
      </c>
      <c r="F851" s="171" t="s">
        <v>1262</v>
      </c>
      <c r="G851" s="283">
        <v>-3.6600000000000001E-2</v>
      </c>
      <c r="I851" s="167">
        <v>44267</v>
      </c>
      <c r="J851" s="285">
        <v>2807.21</v>
      </c>
      <c r="K851" s="285">
        <v>2807.58</v>
      </c>
      <c r="L851" s="285">
        <v>2809.57</v>
      </c>
      <c r="M851" s="285">
        <v>2789.3</v>
      </c>
      <c r="N851" s="283" t="s">
        <v>1210</v>
      </c>
      <c r="P851" s="167">
        <v>44260</v>
      </c>
      <c r="Q851" s="285">
        <v>5.6908000000000003</v>
      </c>
      <c r="R851" s="285">
        <v>5.6696999999999997</v>
      </c>
      <c r="S851" s="285">
        <v>5.7232000000000003</v>
      </c>
      <c r="T851" s="285">
        <v>5.6516999999999999</v>
      </c>
      <c r="U851" s="283">
        <v>3.8E-3</v>
      </c>
      <c r="W851" s="167">
        <v>44210</v>
      </c>
      <c r="X851" s="287">
        <v>123481</v>
      </c>
      <c r="Y851" s="287">
        <v>121947</v>
      </c>
      <c r="Z851" s="287">
        <v>123896</v>
      </c>
      <c r="AA851" s="287">
        <v>121947</v>
      </c>
      <c r="AB851" s="283" t="s">
        <v>1261</v>
      </c>
      <c r="AC851" s="289">
        <v>1.2699999999999999E-2</v>
      </c>
      <c r="AE851" s="167"/>
      <c r="AF851" s="285"/>
      <c r="AG851" s="285"/>
      <c r="AH851" s="285"/>
      <c r="AI851" s="285"/>
      <c r="AJ851" s="283"/>
    </row>
    <row r="852" spans="1:36" x14ac:dyDescent="0.3">
      <c r="A852" s="168">
        <v>44215</v>
      </c>
      <c r="B852" s="83">
        <v>14.7</v>
      </c>
      <c r="C852" s="83">
        <v>14.83</v>
      </c>
      <c r="D852" s="83">
        <v>14.94</v>
      </c>
      <c r="E852" s="83">
        <v>13.9</v>
      </c>
      <c r="F852" s="83" t="s">
        <v>1260</v>
      </c>
      <c r="G852" s="284">
        <v>9.1000000000000004E-3</v>
      </c>
      <c r="I852" s="168">
        <v>44266</v>
      </c>
      <c r="J852" s="286">
        <v>2806.07</v>
      </c>
      <c r="K852" s="286">
        <v>2777.39</v>
      </c>
      <c r="L852" s="286">
        <v>2816.78</v>
      </c>
      <c r="M852" s="286">
        <v>2775.53</v>
      </c>
      <c r="N852" s="284" t="s">
        <v>1259</v>
      </c>
      <c r="P852" s="168">
        <v>44259</v>
      </c>
      <c r="Q852" s="286">
        <v>5.6692999999999998</v>
      </c>
      <c r="R852" s="286">
        <v>5.57</v>
      </c>
      <c r="S852" s="286">
        <v>5.6852</v>
      </c>
      <c r="T852" s="286">
        <v>5.5438000000000001</v>
      </c>
      <c r="U852" s="284">
        <v>8.8999999999999999E-3</v>
      </c>
      <c r="W852" s="168">
        <v>44209</v>
      </c>
      <c r="X852" s="288">
        <v>121933</v>
      </c>
      <c r="Y852" s="288">
        <v>123996</v>
      </c>
      <c r="Z852" s="288">
        <v>124032</v>
      </c>
      <c r="AA852" s="288">
        <v>121016</v>
      </c>
      <c r="AB852" s="284" t="s">
        <v>1258</v>
      </c>
      <c r="AC852" s="290">
        <v>-1.67E-2</v>
      </c>
      <c r="AE852" s="168"/>
      <c r="AF852" s="286"/>
      <c r="AG852" s="286"/>
      <c r="AH852" s="286"/>
      <c r="AI852" s="286"/>
      <c r="AJ852" s="284"/>
    </row>
    <row r="853" spans="1:36" x14ac:dyDescent="0.3">
      <c r="A853" s="167">
        <v>44214</v>
      </c>
      <c r="B853" s="171">
        <v>14.57</v>
      </c>
      <c r="C853" s="171">
        <v>15</v>
      </c>
      <c r="D853" s="171">
        <v>15.23</v>
      </c>
      <c r="E853" s="171">
        <v>14.44</v>
      </c>
      <c r="F853" s="171" t="s">
        <v>1257</v>
      </c>
      <c r="G853" s="283">
        <v>-1.9400000000000001E-2</v>
      </c>
      <c r="I853" s="167">
        <v>44265</v>
      </c>
      <c r="J853" s="285">
        <v>2775.34</v>
      </c>
      <c r="K853" s="285">
        <v>2763.36</v>
      </c>
      <c r="L853" s="285">
        <v>2786.48</v>
      </c>
      <c r="M853" s="285">
        <v>2758.51</v>
      </c>
      <c r="N853" s="283" t="s">
        <v>1256</v>
      </c>
      <c r="P853" s="167">
        <v>44258</v>
      </c>
      <c r="Q853" s="285">
        <v>5.6193</v>
      </c>
      <c r="R853" s="285">
        <v>5.6871999999999998</v>
      </c>
      <c r="S853" s="285">
        <v>5.7728999999999999</v>
      </c>
      <c r="T853" s="285">
        <v>5.5805999999999996</v>
      </c>
      <c r="U853" s="283">
        <v>-0.01</v>
      </c>
      <c r="W853" s="167">
        <v>44208</v>
      </c>
      <c r="X853" s="287">
        <v>123998</v>
      </c>
      <c r="Y853" s="287">
        <v>123255</v>
      </c>
      <c r="Z853" s="287">
        <v>124584</v>
      </c>
      <c r="AA853" s="287">
        <v>123227</v>
      </c>
      <c r="AB853" s="283" t="s">
        <v>1255</v>
      </c>
      <c r="AC853" s="289">
        <v>6.0000000000000001E-3</v>
      </c>
      <c r="AE853" s="167"/>
      <c r="AF853" s="285"/>
      <c r="AG853" s="285"/>
      <c r="AH853" s="285"/>
      <c r="AI853" s="285"/>
      <c r="AJ853" s="283"/>
    </row>
    <row r="854" spans="1:36" x14ac:dyDescent="0.3">
      <c r="A854" s="168">
        <v>44211</v>
      </c>
      <c r="B854" s="83">
        <v>14.86</v>
      </c>
      <c r="C854" s="83">
        <v>15.3</v>
      </c>
      <c r="D854" s="83">
        <v>15.6</v>
      </c>
      <c r="E854" s="83">
        <v>14.72</v>
      </c>
      <c r="F854" s="83" t="s">
        <v>1254</v>
      </c>
      <c r="G854" s="284">
        <v>-4.7699999999999999E-2</v>
      </c>
      <c r="I854" s="168">
        <v>44264</v>
      </c>
      <c r="J854" s="286">
        <v>2761.82</v>
      </c>
      <c r="K854" s="286">
        <v>2723.24</v>
      </c>
      <c r="L854" s="286">
        <v>2776.29</v>
      </c>
      <c r="M854" s="286">
        <v>2721.18</v>
      </c>
      <c r="N854" s="284" t="s">
        <v>1253</v>
      </c>
      <c r="P854" s="168">
        <v>44257</v>
      </c>
      <c r="Q854" s="286">
        <v>5.6760999999999999</v>
      </c>
      <c r="R854" s="286">
        <v>5.6421000000000001</v>
      </c>
      <c r="S854" s="286">
        <v>5.734</v>
      </c>
      <c r="T854" s="286">
        <v>5.6386000000000003</v>
      </c>
      <c r="U854" s="284">
        <v>6.1000000000000004E-3</v>
      </c>
      <c r="W854" s="168">
        <v>44207</v>
      </c>
      <c r="X854" s="288">
        <v>123255</v>
      </c>
      <c r="Y854" s="288">
        <v>125075</v>
      </c>
      <c r="Z854" s="288">
        <v>125075</v>
      </c>
      <c r="AA854" s="288">
        <v>122506</v>
      </c>
      <c r="AB854" s="284" t="s">
        <v>1252</v>
      </c>
      <c r="AC854" s="290">
        <v>-1.46E-2</v>
      </c>
      <c r="AE854" s="168"/>
      <c r="AF854" s="286"/>
      <c r="AG854" s="286"/>
      <c r="AH854" s="286"/>
      <c r="AI854" s="286"/>
      <c r="AJ854" s="284"/>
    </row>
    <row r="855" spans="1:36" x14ac:dyDescent="0.3">
      <c r="A855" s="167">
        <v>44210</v>
      </c>
      <c r="B855" s="171">
        <v>15.6</v>
      </c>
      <c r="C855" s="171">
        <v>15.96</v>
      </c>
      <c r="D855" s="171">
        <v>16.18</v>
      </c>
      <c r="E855" s="171">
        <v>15.4</v>
      </c>
      <c r="F855" s="171" t="s">
        <v>1251</v>
      </c>
      <c r="G855" s="283">
        <v>-1.8599999999999998E-2</v>
      </c>
      <c r="I855" s="167">
        <v>44263</v>
      </c>
      <c r="J855" s="285">
        <v>2722.64</v>
      </c>
      <c r="K855" s="285">
        <v>2729.74</v>
      </c>
      <c r="L855" s="285">
        <v>2754.21</v>
      </c>
      <c r="M855" s="285">
        <v>2721.63</v>
      </c>
      <c r="N855" s="283" t="s">
        <v>1250</v>
      </c>
      <c r="P855" s="167">
        <v>44256</v>
      </c>
      <c r="Q855" s="285">
        <v>5.6417999999999999</v>
      </c>
      <c r="R855" s="285">
        <v>5.5869999999999997</v>
      </c>
      <c r="S855" s="285">
        <v>5.6426999999999996</v>
      </c>
      <c r="T855" s="285">
        <v>5.5552999999999999</v>
      </c>
      <c r="U855" s="283">
        <v>7.7000000000000002E-3</v>
      </c>
      <c r="W855" s="167">
        <v>44204</v>
      </c>
      <c r="X855" s="287">
        <v>125077</v>
      </c>
      <c r="Y855" s="287">
        <v>122387</v>
      </c>
      <c r="Z855" s="287">
        <v>125324</v>
      </c>
      <c r="AA855" s="287">
        <v>122386</v>
      </c>
      <c r="AB855" s="283" t="s">
        <v>1249</v>
      </c>
      <c r="AC855" s="289">
        <v>2.1999999999999999E-2</v>
      </c>
      <c r="AE855" s="167"/>
      <c r="AF855" s="285"/>
      <c r="AG855" s="285"/>
      <c r="AH855" s="285"/>
      <c r="AI855" s="285"/>
      <c r="AJ855" s="283"/>
    </row>
    <row r="856" spans="1:36" x14ac:dyDescent="0.3">
      <c r="A856" s="168">
        <v>44209</v>
      </c>
      <c r="B856" s="83">
        <v>15.9</v>
      </c>
      <c r="C856" s="83">
        <v>15.36</v>
      </c>
      <c r="D856" s="83">
        <v>16.03</v>
      </c>
      <c r="E856" s="83">
        <v>14.84</v>
      </c>
      <c r="F856" s="83" t="s">
        <v>1248</v>
      </c>
      <c r="G856" s="284">
        <v>3.9E-2</v>
      </c>
      <c r="I856" s="168">
        <v>44260</v>
      </c>
      <c r="J856" s="286">
        <v>2728.56</v>
      </c>
      <c r="K856" s="286">
        <v>2701.52</v>
      </c>
      <c r="L856" s="286">
        <v>2734.05</v>
      </c>
      <c r="M856" s="286">
        <v>2670.21</v>
      </c>
      <c r="N856" s="284" t="s">
        <v>1247</v>
      </c>
      <c r="P856" s="168">
        <v>44253</v>
      </c>
      <c r="Q856" s="286">
        <v>5.5986000000000002</v>
      </c>
      <c r="R856" s="286">
        <v>5.5339999999999998</v>
      </c>
      <c r="S856" s="286">
        <v>5.6093000000000002</v>
      </c>
      <c r="T856" s="286">
        <v>5.4904999999999999</v>
      </c>
      <c r="U856" s="284">
        <v>1.23E-2</v>
      </c>
      <c r="W856" s="168">
        <v>44203</v>
      </c>
      <c r="X856" s="288">
        <v>122386</v>
      </c>
      <c r="Y856" s="288">
        <v>119103</v>
      </c>
      <c r="Z856" s="288">
        <v>122697</v>
      </c>
      <c r="AA856" s="288">
        <v>119101</v>
      </c>
      <c r="AB856" s="284" t="s">
        <v>1246</v>
      </c>
      <c r="AC856" s="290">
        <v>2.76E-2</v>
      </c>
      <c r="AE856" s="168"/>
      <c r="AF856" s="286"/>
      <c r="AG856" s="286"/>
      <c r="AH856" s="286"/>
      <c r="AI856" s="286"/>
      <c r="AJ856" s="284"/>
    </row>
    <row r="857" spans="1:36" x14ac:dyDescent="0.3">
      <c r="A857" s="167">
        <v>44208</v>
      </c>
      <c r="B857" s="171">
        <v>15.3</v>
      </c>
      <c r="C857" s="171">
        <v>16.18</v>
      </c>
      <c r="D857" s="171">
        <v>16.55</v>
      </c>
      <c r="E857" s="171">
        <v>15.18</v>
      </c>
      <c r="F857" s="171" t="s">
        <v>1245</v>
      </c>
      <c r="G857" s="283">
        <v>-1.7299999999999999E-2</v>
      </c>
      <c r="I857" s="167">
        <v>44259</v>
      </c>
      <c r="J857" s="285">
        <v>2706.48</v>
      </c>
      <c r="K857" s="285">
        <v>2740.34</v>
      </c>
      <c r="L857" s="285">
        <v>2744.2</v>
      </c>
      <c r="M857" s="285">
        <v>2678.72</v>
      </c>
      <c r="N857" s="283" t="s">
        <v>1244</v>
      </c>
      <c r="P857" s="167">
        <v>44252</v>
      </c>
      <c r="Q857" s="285">
        <v>5.5308000000000002</v>
      </c>
      <c r="R857" s="285">
        <v>5.4450000000000003</v>
      </c>
      <c r="S857" s="285">
        <v>5.5389999999999997</v>
      </c>
      <c r="T857" s="285">
        <v>5.4173</v>
      </c>
      <c r="U857" s="283">
        <v>2.3E-2</v>
      </c>
      <c r="W857" s="167">
        <v>44202</v>
      </c>
      <c r="X857" s="287">
        <v>119100</v>
      </c>
      <c r="Y857" s="287">
        <v>119377</v>
      </c>
      <c r="Z857" s="287">
        <v>120924</v>
      </c>
      <c r="AA857" s="287">
        <v>118917</v>
      </c>
      <c r="AB857" s="283" t="s">
        <v>1243</v>
      </c>
      <c r="AC857" s="289">
        <v>-2.3E-3</v>
      </c>
      <c r="AE857" s="167"/>
      <c r="AF857" s="285"/>
      <c r="AG857" s="285"/>
      <c r="AH857" s="285"/>
      <c r="AI857" s="285"/>
      <c r="AJ857" s="283"/>
    </row>
    <row r="858" spans="1:36" x14ac:dyDescent="0.3">
      <c r="A858" s="168">
        <v>44207</v>
      </c>
      <c r="B858" s="83">
        <v>15.57</v>
      </c>
      <c r="C858" s="83">
        <v>14.73</v>
      </c>
      <c r="D858" s="83">
        <v>16.920000000000002</v>
      </c>
      <c r="E858" s="83">
        <v>14.6</v>
      </c>
      <c r="F858" s="83" t="s">
        <v>1242</v>
      </c>
      <c r="G858" s="284">
        <v>4.5699999999999998E-2</v>
      </c>
      <c r="I858" s="168">
        <v>44258</v>
      </c>
      <c r="J858" s="286">
        <v>2741.68</v>
      </c>
      <c r="K858" s="286">
        <v>2769.89</v>
      </c>
      <c r="L858" s="286">
        <v>2776.16</v>
      </c>
      <c r="M858" s="286">
        <v>2740.34</v>
      </c>
      <c r="N858" s="284" t="s">
        <v>1241</v>
      </c>
      <c r="P858" s="168">
        <v>44251</v>
      </c>
      <c r="Q858" s="286">
        <v>5.4062000000000001</v>
      </c>
      <c r="R858" s="286">
        <v>5.4409000000000001</v>
      </c>
      <c r="S858" s="286">
        <v>5.4454000000000002</v>
      </c>
      <c r="T858" s="286">
        <v>5.3895</v>
      </c>
      <c r="U858" s="284">
        <v>-6.4000000000000003E-3</v>
      </c>
      <c r="W858" s="168">
        <v>44201</v>
      </c>
      <c r="X858" s="288">
        <v>119376</v>
      </c>
      <c r="Y858" s="288">
        <v>118835</v>
      </c>
      <c r="Z858" s="288">
        <v>119790</v>
      </c>
      <c r="AA858" s="288">
        <v>116756</v>
      </c>
      <c r="AB858" s="284" t="s">
        <v>1240</v>
      </c>
      <c r="AC858" s="290">
        <v>4.4000000000000003E-3</v>
      </c>
      <c r="AE858" s="168"/>
      <c r="AF858" s="286"/>
      <c r="AG858" s="286"/>
      <c r="AH858" s="286"/>
      <c r="AI858" s="286"/>
      <c r="AJ858" s="284"/>
    </row>
    <row r="859" spans="1:36" x14ac:dyDescent="0.3">
      <c r="A859" s="167">
        <v>44204</v>
      </c>
      <c r="B859" s="171">
        <v>14.89</v>
      </c>
      <c r="C859" s="171">
        <v>15.08</v>
      </c>
      <c r="D859" s="171">
        <v>15.28</v>
      </c>
      <c r="E859" s="171">
        <v>14.7</v>
      </c>
      <c r="F859" s="171" t="s">
        <v>1239</v>
      </c>
      <c r="G859" s="283">
        <v>5.7000000000000002E-3</v>
      </c>
      <c r="I859" s="167">
        <v>44257</v>
      </c>
      <c r="J859" s="285">
        <v>2768.25</v>
      </c>
      <c r="K859" s="285">
        <v>2784.75</v>
      </c>
      <c r="L859" s="285">
        <v>2788.29</v>
      </c>
      <c r="M859" s="285">
        <v>2768.25</v>
      </c>
      <c r="N859" s="283" t="s">
        <v>1238</v>
      </c>
      <c r="P859" s="167">
        <v>44250</v>
      </c>
      <c r="Q859" s="285">
        <v>5.4409000000000001</v>
      </c>
      <c r="R859" s="285">
        <v>5.4691999999999998</v>
      </c>
      <c r="S859" s="285">
        <v>5.4843000000000002</v>
      </c>
      <c r="T859" s="285">
        <v>5.4074999999999998</v>
      </c>
      <c r="U859" s="283">
        <v>-4.5999999999999999E-3</v>
      </c>
      <c r="W859" s="167">
        <v>44200</v>
      </c>
      <c r="X859" s="287">
        <v>118855</v>
      </c>
      <c r="Y859" s="287">
        <v>119024</v>
      </c>
      <c r="Z859" s="287">
        <v>120354</v>
      </c>
      <c r="AA859" s="287">
        <v>118062</v>
      </c>
      <c r="AB859" s="283" t="s">
        <v>1237</v>
      </c>
      <c r="AC859" s="289">
        <v>-1.4E-3</v>
      </c>
      <c r="AE859" s="167"/>
      <c r="AF859" s="285"/>
      <c r="AG859" s="285"/>
      <c r="AH859" s="285"/>
      <c r="AI859" s="285"/>
      <c r="AJ859" s="283"/>
    </row>
    <row r="860" spans="1:36" x14ac:dyDescent="0.3">
      <c r="A860" s="168">
        <v>44203</v>
      </c>
      <c r="B860" s="83">
        <v>14.81</v>
      </c>
      <c r="C860" s="83">
        <v>14.72</v>
      </c>
      <c r="D860" s="83">
        <v>15.16</v>
      </c>
      <c r="E860" s="83">
        <v>14.72</v>
      </c>
      <c r="F860" s="83" t="s">
        <v>1236</v>
      </c>
      <c r="G860" s="284">
        <v>1.9300000000000001E-2</v>
      </c>
      <c r="I860" s="168">
        <v>44256</v>
      </c>
      <c r="J860" s="286">
        <v>2783.7</v>
      </c>
      <c r="K860" s="286">
        <v>2727.78</v>
      </c>
      <c r="L860" s="286">
        <v>2788.89</v>
      </c>
      <c r="M860" s="286">
        <v>2727.55</v>
      </c>
      <c r="N860" s="284" t="s">
        <v>1235</v>
      </c>
      <c r="P860" s="168">
        <v>44249</v>
      </c>
      <c r="Q860" s="286">
        <v>5.4659000000000004</v>
      </c>
      <c r="R860" s="286">
        <v>5.5128000000000004</v>
      </c>
      <c r="S860" s="286">
        <v>5.5342000000000002</v>
      </c>
      <c r="T860" s="286">
        <v>5.4295999999999998</v>
      </c>
      <c r="U860" s="284">
        <v>1.55E-2</v>
      </c>
      <c r="W860" s="168"/>
      <c r="X860" s="286"/>
      <c r="Y860" s="286"/>
      <c r="Z860" s="286"/>
      <c r="AA860" s="286"/>
      <c r="AB860" s="284"/>
      <c r="AC860" s="168"/>
      <c r="AE860" s="168"/>
      <c r="AF860" s="286"/>
      <c r="AG860" s="286"/>
      <c r="AH860" s="286"/>
      <c r="AI860" s="286"/>
      <c r="AJ860" s="284"/>
    </row>
    <row r="861" spans="1:36" x14ac:dyDescent="0.3">
      <c r="A861" s="167">
        <v>44202</v>
      </c>
      <c r="B861" s="171">
        <v>14.53</v>
      </c>
      <c r="C861" s="171">
        <v>15.06</v>
      </c>
      <c r="D861" s="171">
        <v>15.2</v>
      </c>
      <c r="E861" s="171">
        <v>14.46</v>
      </c>
      <c r="F861" s="171" t="s">
        <v>1234</v>
      </c>
      <c r="G861" s="283">
        <v>-1.5699999999999999E-2</v>
      </c>
      <c r="I861" s="167">
        <v>44253</v>
      </c>
      <c r="J861" s="285">
        <v>2726.91</v>
      </c>
      <c r="K861" s="285">
        <v>2756.09</v>
      </c>
      <c r="L861" s="285">
        <v>2756.09</v>
      </c>
      <c r="M861" s="285">
        <v>2712.91</v>
      </c>
      <c r="N861" s="283" t="s">
        <v>1233</v>
      </c>
      <c r="P861" s="167">
        <v>44246</v>
      </c>
      <c r="Q861" s="285">
        <v>5.3822999999999999</v>
      </c>
      <c r="R861" s="285">
        <v>5.4267000000000003</v>
      </c>
      <c r="S861" s="285">
        <v>5.4706000000000001</v>
      </c>
      <c r="T861" s="285">
        <v>5.367</v>
      </c>
      <c r="U861" s="283">
        <v>-8.2000000000000007E-3</v>
      </c>
      <c r="W861" s="167"/>
      <c r="X861" s="285"/>
      <c r="Y861" s="285"/>
      <c r="Z861" s="285"/>
      <c r="AA861" s="285"/>
      <c r="AB861" s="283"/>
      <c r="AC861" s="167"/>
      <c r="AE861" s="167"/>
      <c r="AF861" s="285"/>
      <c r="AG861" s="285"/>
      <c r="AH861" s="285"/>
      <c r="AI861" s="285"/>
      <c r="AJ861" s="283"/>
    </row>
    <row r="862" spans="1:36" x14ac:dyDescent="0.3">
      <c r="A862" s="168">
        <v>44201</v>
      </c>
      <c r="B862" s="83">
        <v>14.76</v>
      </c>
      <c r="C862" s="83">
        <v>15.48</v>
      </c>
      <c r="D862" s="83">
        <v>15.58</v>
      </c>
      <c r="E862" s="83">
        <v>14.31</v>
      </c>
      <c r="F862" s="83" t="s">
        <v>1232</v>
      </c>
      <c r="G862" s="284">
        <v>-1.35E-2</v>
      </c>
      <c r="I862" s="168">
        <v>44252</v>
      </c>
      <c r="J862" s="286">
        <v>2760.26</v>
      </c>
      <c r="K862" s="286">
        <v>2807.16</v>
      </c>
      <c r="L862" s="286">
        <v>2813.96</v>
      </c>
      <c r="M862" s="286">
        <v>2748.67</v>
      </c>
      <c r="N862" s="284" t="s">
        <v>1231</v>
      </c>
      <c r="P862" s="168">
        <v>44245</v>
      </c>
      <c r="Q862" s="286">
        <v>5.4269999999999996</v>
      </c>
      <c r="R862" s="286">
        <v>5.3876999999999997</v>
      </c>
      <c r="S862" s="286">
        <v>5.4535</v>
      </c>
      <c r="T862" s="286">
        <v>5.3853999999999997</v>
      </c>
      <c r="U862" s="284">
        <v>3.0000000000000001E-3</v>
      </c>
      <c r="W862" s="168"/>
      <c r="X862" s="286"/>
      <c r="Y862" s="286"/>
      <c r="Z862" s="286"/>
      <c r="AA862" s="286"/>
      <c r="AB862" s="284"/>
      <c r="AC862" s="168"/>
      <c r="AE862" s="168"/>
      <c r="AF862" s="286"/>
      <c r="AG862" s="286"/>
      <c r="AH862" s="286"/>
      <c r="AI862" s="286"/>
      <c r="AJ862" s="284"/>
    </row>
    <row r="863" spans="1:36" x14ac:dyDescent="0.3">
      <c r="A863" s="167">
        <v>44200</v>
      </c>
      <c r="B863" s="171">
        <v>14.96</v>
      </c>
      <c r="C863" s="171">
        <v>14.2</v>
      </c>
      <c r="D863" s="171">
        <v>15.28</v>
      </c>
      <c r="E863" s="171">
        <v>14.14</v>
      </c>
      <c r="F863" s="171" t="s">
        <v>1230</v>
      </c>
      <c r="G863" s="283">
        <v>6.5699999999999995E-2</v>
      </c>
      <c r="I863" s="167">
        <v>44251</v>
      </c>
      <c r="J863" s="285">
        <v>2802.4</v>
      </c>
      <c r="K863" s="285">
        <v>2788.36</v>
      </c>
      <c r="L863" s="285">
        <v>2806.61</v>
      </c>
      <c r="M863" s="285">
        <v>2766.89</v>
      </c>
      <c r="N863" s="283" t="s">
        <v>1229</v>
      </c>
      <c r="P863" s="167">
        <v>44244</v>
      </c>
      <c r="Q863" s="285">
        <v>5.4104999999999999</v>
      </c>
      <c r="R863" s="285">
        <v>5.3707000000000003</v>
      </c>
      <c r="S863" s="285">
        <v>5.4330999999999996</v>
      </c>
      <c r="T863" s="285">
        <v>5.3707000000000003</v>
      </c>
      <c r="U863" s="283">
        <v>7.6E-3</v>
      </c>
      <c r="W863" s="167"/>
      <c r="X863" s="285"/>
      <c r="Y863" s="285"/>
      <c r="Z863" s="285"/>
      <c r="AA863" s="285"/>
      <c r="AB863" s="283"/>
      <c r="AC863" s="167"/>
      <c r="AE863" s="167"/>
      <c r="AF863" s="285"/>
      <c r="AG863" s="285"/>
      <c r="AH863" s="285"/>
      <c r="AI863" s="285"/>
      <c r="AJ863" s="283"/>
    </row>
    <row r="864" spans="1:36" x14ac:dyDescent="0.3">
      <c r="I864" s="168">
        <v>44250</v>
      </c>
      <c r="J864" s="286">
        <v>2789.21</v>
      </c>
      <c r="K864" s="286">
        <v>2788.98</v>
      </c>
      <c r="L864" s="286">
        <v>2795.2</v>
      </c>
      <c r="M864" s="286">
        <v>2743.05</v>
      </c>
      <c r="N864" s="284" t="s">
        <v>1210</v>
      </c>
      <c r="P864" s="168">
        <v>44243</v>
      </c>
      <c r="Q864" s="286">
        <v>5.3695000000000004</v>
      </c>
      <c r="R864" s="286">
        <v>5.3685</v>
      </c>
      <c r="S864" s="286">
        <v>5.3707000000000003</v>
      </c>
      <c r="T864" s="286">
        <v>5.3685</v>
      </c>
      <c r="U864" s="284">
        <v>-1E-4</v>
      </c>
      <c r="W864" s="168"/>
      <c r="X864" s="286"/>
      <c r="Y864" s="286"/>
      <c r="Z864" s="286"/>
      <c r="AA864" s="286"/>
      <c r="AB864" s="284"/>
      <c r="AC864" s="168"/>
      <c r="AE864" s="168"/>
      <c r="AF864" s="286"/>
      <c r="AG864" s="286"/>
      <c r="AH864" s="286"/>
      <c r="AI864" s="286"/>
      <c r="AJ864" s="284"/>
    </row>
    <row r="865" spans="9:36" x14ac:dyDescent="0.3">
      <c r="I865" s="167">
        <v>44249</v>
      </c>
      <c r="J865" s="285">
        <v>2788.11</v>
      </c>
      <c r="K865" s="285">
        <v>2806.86</v>
      </c>
      <c r="L865" s="285">
        <v>2811</v>
      </c>
      <c r="M865" s="285">
        <v>2788.11</v>
      </c>
      <c r="N865" s="283" t="s">
        <v>1228</v>
      </c>
      <c r="P865" s="167">
        <v>44242</v>
      </c>
      <c r="Q865" s="285">
        <v>5.3700999999999999</v>
      </c>
      <c r="R865" s="285">
        <v>5.3700999999999999</v>
      </c>
      <c r="S865" s="285">
        <v>5.3700999999999999</v>
      </c>
      <c r="T865" s="285">
        <v>5.3700999999999999</v>
      </c>
      <c r="U865" s="283">
        <v>1E-4</v>
      </c>
      <c r="W865" s="167"/>
      <c r="X865" s="285"/>
      <c r="Y865" s="285"/>
      <c r="Z865" s="285"/>
      <c r="AA865" s="285"/>
      <c r="AB865" s="283"/>
      <c r="AC865" s="167"/>
      <c r="AE865" s="167"/>
      <c r="AF865" s="285"/>
      <c r="AG865" s="285"/>
      <c r="AH865" s="285"/>
      <c r="AI865" s="285"/>
      <c r="AJ865" s="283"/>
    </row>
    <row r="866" spans="9:36" x14ac:dyDescent="0.3">
      <c r="I866" s="168">
        <v>44246</v>
      </c>
      <c r="J866" s="286">
        <v>2806.47</v>
      </c>
      <c r="K866" s="286">
        <v>2803</v>
      </c>
      <c r="L866" s="286">
        <v>2818.76</v>
      </c>
      <c r="M866" s="286">
        <v>2800.34</v>
      </c>
      <c r="N866" s="284" t="s">
        <v>1227</v>
      </c>
      <c r="P866" s="168">
        <v>44239</v>
      </c>
      <c r="Q866" s="286">
        <v>5.3697999999999997</v>
      </c>
      <c r="R866" s="286">
        <v>5.3952999999999998</v>
      </c>
      <c r="S866" s="286">
        <v>5.4127000000000001</v>
      </c>
      <c r="T866" s="286">
        <v>5.3541999999999996</v>
      </c>
      <c r="U866" s="284">
        <v>5.9999999999999995E-4</v>
      </c>
      <c r="W866" s="168"/>
      <c r="X866" s="286"/>
      <c r="Y866" s="286"/>
      <c r="Z866" s="286"/>
      <c r="AA866" s="286"/>
      <c r="AB866" s="284"/>
      <c r="AC866" s="168"/>
      <c r="AE866" s="168"/>
      <c r="AF866" s="286"/>
      <c r="AG866" s="286"/>
      <c r="AH866" s="286"/>
      <c r="AI866" s="286"/>
      <c r="AJ866" s="284"/>
    </row>
    <row r="867" spans="9:36" x14ac:dyDescent="0.3">
      <c r="I867" s="167">
        <v>44245</v>
      </c>
      <c r="J867" s="285">
        <v>2802.92</v>
      </c>
      <c r="K867" s="285">
        <v>2816.86</v>
      </c>
      <c r="L867" s="285">
        <v>2817.87</v>
      </c>
      <c r="M867" s="285">
        <v>2787.06</v>
      </c>
      <c r="N867" s="283" t="s">
        <v>1226</v>
      </c>
      <c r="P867" s="167">
        <v>44238</v>
      </c>
      <c r="Q867" s="285">
        <v>5.3665000000000003</v>
      </c>
      <c r="R867" s="285">
        <v>5.3882000000000003</v>
      </c>
      <c r="S867" s="285">
        <v>5.4118000000000004</v>
      </c>
      <c r="T867" s="285">
        <v>5.3330000000000002</v>
      </c>
      <c r="U867" s="283">
        <v>-3.5999999999999999E-3</v>
      </c>
      <c r="W867" s="167"/>
      <c r="X867" s="285"/>
      <c r="Y867" s="285"/>
      <c r="Z867" s="285"/>
      <c r="AA867" s="285"/>
      <c r="AB867" s="283"/>
      <c r="AC867" s="167"/>
      <c r="AE867" s="167"/>
      <c r="AF867" s="285"/>
      <c r="AG867" s="285"/>
      <c r="AH867" s="285"/>
      <c r="AI867" s="285"/>
      <c r="AJ867" s="283"/>
    </row>
    <row r="868" spans="9:36" x14ac:dyDescent="0.3">
      <c r="I868" s="168">
        <v>44244</v>
      </c>
      <c r="J868" s="286">
        <v>2815.98</v>
      </c>
      <c r="K868" s="286">
        <v>2826.57</v>
      </c>
      <c r="L868" s="286">
        <v>2826.57</v>
      </c>
      <c r="M868" s="286">
        <v>2800.41</v>
      </c>
      <c r="N868" s="284" t="s">
        <v>1225</v>
      </c>
      <c r="P868" s="168">
        <v>44237</v>
      </c>
      <c r="Q868" s="286">
        <v>5.3860000000000001</v>
      </c>
      <c r="R868" s="286">
        <v>5.3789999999999996</v>
      </c>
      <c r="S868" s="286">
        <v>5.4378000000000002</v>
      </c>
      <c r="T868" s="286">
        <v>5.3484999999999996</v>
      </c>
      <c r="U868" s="284">
        <v>1.5E-3</v>
      </c>
      <c r="W868" s="168"/>
      <c r="X868" s="286"/>
      <c r="Y868" s="286"/>
      <c r="Z868" s="286"/>
      <c r="AA868" s="286"/>
      <c r="AB868" s="284"/>
      <c r="AC868" s="168"/>
      <c r="AE868" s="168"/>
      <c r="AF868" s="286"/>
      <c r="AG868" s="286"/>
      <c r="AH868" s="286"/>
      <c r="AI868" s="286"/>
      <c r="AJ868" s="284"/>
    </row>
    <row r="869" spans="9:36" x14ac:dyDescent="0.3">
      <c r="I869" s="167">
        <v>44243</v>
      </c>
      <c r="J869" s="285">
        <v>2828.15</v>
      </c>
      <c r="K869" s="285">
        <v>2830.53</v>
      </c>
      <c r="L869" s="285">
        <v>2838.4</v>
      </c>
      <c r="M869" s="285">
        <v>2821.92</v>
      </c>
      <c r="N869" s="283" t="s">
        <v>1206</v>
      </c>
      <c r="P869" s="167">
        <v>44236</v>
      </c>
      <c r="Q869" s="285">
        <v>5.3780999999999999</v>
      </c>
      <c r="R869" s="285">
        <v>5.3659999999999997</v>
      </c>
      <c r="S869" s="285">
        <v>5.4478</v>
      </c>
      <c r="T869" s="285">
        <v>5.3535000000000004</v>
      </c>
      <c r="U869" s="283">
        <v>2.3E-3</v>
      </c>
      <c r="W869" s="167"/>
      <c r="X869" s="285"/>
      <c r="Y869" s="285"/>
      <c r="Z869" s="285"/>
      <c r="AA869" s="285"/>
      <c r="AB869" s="283"/>
      <c r="AC869" s="167"/>
      <c r="AE869" s="167"/>
      <c r="AF869" s="285"/>
      <c r="AG869" s="285"/>
      <c r="AH869" s="285"/>
      <c r="AI869" s="285"/>
      <c r="AJ869" s="283"/>
    </row>
    <row r="870" spans="9:36" x14ac:dyDescent="0.3">
      <c r="I870" s="168">
        <v>44242</v>
      </c>
      <c r="J870" s="286">
        <v>2829.67</v>
      </c>
      <c r="K870" s="286">
        <v>2820.78</v>
      </c>
      <c r="L870" s="286">
        <v>2830.7</v>
      </c>
      <c r="M870" s="286">
        <v>2820.66</v>
      </c>
      <c r="N870" s="284" t="s">
        <v>1224</v>
      </c>
      <c r="P870" s="168">
        <v>44235</v>
      </c>
      <c r="Q870" s="286">
        <v>5.3657000000000004</v>
      </c>
      <c r="R870" s="286">
        <v>5.4039999999999999</v>
      </c>
      <c r="S870" s="286">
        <v>5.4207999999999998</v>
      </c>
      <c r="T870" s="286">
        <v>5.3041999999999998</v>
      </c>
      <c r="U870" s="284">
        <v>-8.9999999999999998E-4</v>
      </c>
      <c r="W870" s="168"/>
      <c r="X870" s="286"/>
      <c r="Y870" s="286"/>
      <c r="Z870" s="286"/>
      <c r="AA870" s="286"/>
      <c r="AB870" s="284"/>
      <c r="AC870" s="168"/>
      <c r="AE870" s="168"/>
      <c r="AF870" s="286"/>
      <c r="AG870" s="286"/>
      <c r="AH870" s="286"/>
      <c r="AI870" s="286"/>
      <c r="AJ870" s="284"/>
    </row>
    <row r="871" spans="9:36" x14ac:dyDescent="0.3">
      <c r="I871" s="167">
        <v>44239</v>
      </c>
      <c r="J871" s="285">
        <v>2818.85</v>
      </c>
      <c r="K871" s="285">
        <v>2806.83</v>
      </c>
      <c r="L871" s="285">
        <v>2819.94</v>
      </c>
      <c r="M871" s="285">
        <v>2799.75</v>
      </c>
      <c r="N871" s="283" t="s">
        <v>1223</v>
      </c>
      <c r="P871" s="167">
        <v>44232</v>
      </c>
      <c r="Q871" s="285">
        <v>5.3704000000000001</v>
      </c>
      <c r="R871" s="285">
        <v>5.4269999999999996</v>
      </c>
      <c r="S871" s="285">
        <v>5.4561999999999999</v>
      </c>
      <c r="T871" s="285">
        <v>5.3436000000000003</v>
      </c>
      <c r="U871" s="283">
        <v>-1.04E-2</v>
      </c>
      <c r="W871" s="167"/>
      <c r="X871" s="285"/>
      <c r="Y871" s="285"/>
      <c r="Z871" s="285"/>
      <c r="AA871" s="285"/>
      <c r="AB871" s="283"/>
      <c r="AC871" s="167"/>
      <c r="AE871" s="167"/>
      <c r="AF871" s="285"/>
      <c r="AG871" s="285"/>
      <c r="AH871" s="285"/>
      <c r="AI871" s="285"/>
      <c r="AJ871" s="283"/>
    </row>
    <row r="872" spans="9:36" x14ac:dyDescent="0.3">
      <c r="I872" s="168">
        <v>44238</v>
      </c>
      <c r="J872" s="286">
        <v>2807.16</v>
      </c>
      <c r="K872" s="286">
        <v>2800.18</v>
      </c>
      <c r="L872" s="286">
        <v>2811.8</v>
      </c>
      <c r="M872" s="286">
        <v>2793.7</v>
      </c>
      <c r="N872" s="284" t="s">
        <v>1222</v>
      </c>
      <c r="P872" s="168">
        <v>44231</v>
      </c>
      <c r="Q872" s="286">
        <v>5.4265999999999996</v>
      </c>
      <c r="R872" s="286">
        <v>5.3552</v>
      </c>
      <c r="S872" s="286">
        <v>5.4570999999999996</v>
      </c>
      <c r="T872" s="286">
        <v>5.3544</v>
      </c>
      <c r="U872" s="284">
        <v>1.37E-2</v>
      </c>
      <c r="W872" s="168"/>
      <c r="X872" s="286"/>
      <c r="Y872" s="286"/>
      <c r="Z872" s="286"/>
      <c r="AA872" s="286"/>
      <c r="AB872" s="284"/>
      <c r="AC872" s="168"/>
      <c r="AE872" s="168"/>
      <c r="AF872" s="286"/>
      <c r="AG872" s="286"/>
      <c r="AH872" s="286"/>
      <c r="AI872" s="286"/>
      <c r="AJ872" s="284"/>
    </row>
    <row r="873" spans="9:36" x14ac:dyDescent="0.3">
      <c r="I873" s="167">
        <v>44237</v>
      </c>
      <c r="J873" s="285">
        <v>2800.68</v>
      </c>
      <c r="K873" s="285">
        <v>2799.73</v>
      </c>
      <c r="L873" s="285">
        <v>2814.78</v>
      </c>
      <c r="M873" s="285">
        <v>2785.18</v>
      </c>
      <c r="N873" s="283" t="s">
        <v>1221</v>
      </c>
      <c r="P873" s="167">
        <v>44230</v>
      </c>
      <c r="Q873" s="285">
        <v>5.3533999999999997</v>
      </c>
      <c r="R873" s="285">
        <v>5.3662999999999998</v>
      </c>
      <c r="S873" s="285">
        <v>5.3944999999999999</v>
      </c>
      <c r="T873" s="285">
        <v>5.3201000000000001</v>
      </c>
      <c r="U873" s="283">
        <v>-2.7000000000000001E-3</v>
      </c>
      <c r="W873" s="167"/>
      <c r="X873" s="285"/>
      <c r="Y873" s="285"/>
      <c r="Z873" s="285"/>
      <c r="AA873" s="285"/>
      <c r="AB873" s="283"/>
      <c r="AC873" s="167"/>
      <c r="AE873" s="167"/>
      <c r="AF873" s="285"/>
      <c r="AG873" s="285"/>
      <c r="AH873" s="285"/>
      <c r="AI873" s="285"/>
      <c r="AJ873" s="283"/>
    </row>
    <row r="874" spans="9:36" x14ac:dyDescent="0.3">
      <c r="I874" s="168">
        <v>44236</v>
      </c>
      <c r="J874" s="286">
        <v>2798.55</v>
      </c>
      <c r="K874" s="286">
        <v>2795.96</v>
      </c>
      <c r="L874" s="286">
        <v>2802.96</v>
      </c>
      <c r="M874" s="286">
        <v>2791.89</v>
      </c>
      <c r="N874" s="284" t="s">
        <v>1220</v>
      </c>
      <c r="P874" s="168">
        <v>44229</v>
      </c>
      <c r="Q874" s="286">
        <v>5.3680000000000003</v>
      </c>
      <c r="R874" s="286">
        <v>5.4325999999999999</v>
      </c>
      <c r="S874" s="286">
        <v>5.4325999999999999</v>
      </c>
      <c r="T874" s="286">
        <v>5.3425000000000002</v>
      </c>
      <c r="U874" s="284">
        <v>-1.18E-2</v>
      </c>
      <c r="W874" s="168"/>
      <c r="X874" s="286"/>
      <c r="Y874" s="286"/>
      <c r="Z874" s="286"/>
      <c r="AA874" s="286"/>
      <c r="AB874" s="284"/>
      <c r="AC874" s="168"/>
      <c r="AE874" s="168"/>
      <c r="AF874" s="286"/>
      <c r="AG874" s="286"/>
      <c r="AH874" s="286"/>
      <c r="AI874" s="286"/>
      <c r="AJ874" s="284"/>
    </row>
    <row r="875" spans="9:36" x14ac:dyDescent="0.3">
      <c r="I875" s="167">
        <v>44235</v>
      </c>
      <c r="J875" s="285">
        <v>2795.89</v>
      </c>
      <c r="K875" s="285">
        <v>2774.62</v>
      </c>
      <c r="L875" s="285">
        <v>2796.07</v>
      </c>
      <c r="M875" s="285">
        <v>2774.58</v>
      </c>
      <c r="N875" s="283" t="s">
        <v>1219</v>
      </c>
      <c r="P875" s="167">
        <v>44228</v>
      </c>
      <c r="Q875" s="285">
        <v>5.4321999999999999</v>
      </c>
      <c r="R875" s="285">
        <v>5.4663000000000004</v>
      </c>
      <c r="S875" s="285">
        <v>5.4863</v>
      </c>
      <c r="T875" s="285">
        <v>5.4204999999999997</v>
      </c>
      <c r="U875" s="283">
        <v>-5.4999999999999997E-3</v>
      </c>
      <c r="W875" s="167"/>
      <c r="X875" s="285"/>
      <c r="Y875" s="285"/>
      <c r="Z875" s="285"/>
      <c r="AA875" s="285"/>
      <c r="AB875" s="283"/>
      <c r="AC875" s="167"/>
      <c r="AE875" s="167"/>
      <c r="AF875" s="285"/>
      <c r="AG875" s="285"/>
      <c r="AH875" s="285"/>
      <c r="AI875" s="285"/>
      <c r="AJ875" s="283"/>
    </row>
    <row r="876" spans="9:36" x14ac:dyDescent="0.3">
      <c r="I876" s="168">
        <v>44232</v>
      </c>
      <c r="J876" s="286">
        <v>2773.45</v>
      </c>
      <c r="K876" s="286">
        <v>2759.34</v>
      </c>
      <c r="L876" s="286">
        <v>2777.22</v>
      </c>
      <c r="M876" s="286">
        <v>2759.23</v>
      </c>
      <c r="N876" s="284" t="s">
        <v>1198</v>
      </c>
      <c r="P876" s="168">
        <v>44225</v>
      </c>
      <c r="Q876" s="286">
        <v>5.4625000000000004</v>
      </c>
      <c r="R876" s="286">
        <v>5.4390000000000001</v>
      </c>
      <c r="S876" s="286">
        <v>5.5061</v>
      </c>
      <c r="T876" s="286">
        <v>5.4188999999999998</v>
      </c>
      <c r="U876" s="284">
        <v>4.0000000000000001E-3</v>
      </c>
      <c r="W876" s="168"/>
      <c r="X876" s="286"/>
      <c r="Y876" s="286"/>
      <c r="Z876" s="286"/>
      <c r="AA876" s="286"/>
      <c r="AB876" s="284"/>
      <c r="AC876" s="168"/>
      <c r="AE876" s="168"/>
      <c r="AF876" s="286"/>
      <c r="AG876" s="286"/>
      <c r="AH876" s="286"/>
      <c r="AI876" s="286"/>
      <c r="AJ876" s="284"/>
    </row>
    <row r="877" spans="9:36" x14ac:dyDescent="0.3">
      <c r="I877" s="167">
        <v>44231</v>
      </c>
      <c r="J877" s="285">
        <v>2757.66</v>
      </c>
      <c r="K877" s="285">
        <v>2738.71</v>
      </c>
      <c r="L877" s="285">
        <v>2757.66</v>
      </c>
      <c r="M877" s="285">
        <v>2734.43</v>
      </c>
      <c r="N877" s="283" t="s">
        <v>1218</v>
      </c>
      <c r="P877" s="167">
        <v>44224</v>
      </c>
      <c r="Q877" s="285">
        <v>5.4409999999999998</v>
      </c>
      <c r="R877" s="285">
        <v>5.4249999999999998</v>
      </c>
      <c r="S877" s="285">
        <v>5.4603999999999999</v>
      </c>
      <c r="T877" s="285">
        <v>5.3898000000000001</v>
      </c>
      <c r="U877" s="283">
        <v>5.0000000000000001E-3</v>
      </c>
      <c r="W877" s="167"/>
      <c r="X877" s="285"/>
      <c r="Y877" s="285"/>
      <c r="Z877" s="285"/>
      <c r="AA877" s="285"/>
      <c r="AB877" s="283"/>
      <c r="AC877" s="167"/>
      <c r="AE877" s="167"/>
      <c r="AF877" s="285"/>
      <c r="AG877" s="285"/>
      <c r="AH877" s="285"/>
      <c r="AI877" s="285"/>
      <c r="AJ877" s="283"/>
    </row>
    <row r="878" spans="9:36" x14ac:dyDescent="0.3">
      <c r="I878" s="168">
        <v>44230</v>
      </c>
      <c r="J878" s="286">
        <v>2737.93</v>
      </c>
      <c r="K878" s="286">
        <v>2734.86</v>
      </c>
      <c r="L878" s="286">
        <v>2746.71</v>
      </c>
      <c r="M878" s="286">
        <v>2730.56</v>
      </c>
      <c r="N878" s="284" t="s">
        <v>1217</v>
      </c>
      <c r="P878" s="168">
        <v>44223</v>
      </c>
      <c r="Q878" s="286">
        <v>5.4138000000000002</v>
      </c>
      <c r="R878" s="286">
        <v>5.3555999999999999</v>
      </c>
      <c r="S878" s="286">
        <v>5.4204999999999997</v>
      </c>
      <c r="T878" s="286">
        <v>5.3491</v>
      </c>
      <c r="U878" s="284">
        <v>1.09E-2</v>
      </c>
      <c r="W878" s="168"/>
      <c r="X878" s="286"/>
      <c r="Y878" s="286"/>
      <c r="Z878" s="286"/>
      <c r="AA878" s="286"/>
      <c r="AB878" s="284"/>
      <c r="AC878" s="168"/>
      <c r="AE878" s="168"/>
      <c r="AF878" s="286"/>
      <c r="AG878" s="286"/>
      <c r="AH878" s="286"/>
      <c r="AI878" s="286"/>
      <c r="AJ878" s="284"/>
    </row>
    <row r="879" spans="9:36" x14ac:dyDescent="0.3">
      <c r="I879" s="167">
        <v>44229</v>
      </c>
      <c r="J879" s="285">
        <v>2731.95</v>
      </c>
      <c r="K879" s="285">
        <v>2697.46</v>
      </c>
      <c r="L879" s="285">
        <v>2739.33</v>
      </c>
      <c r="M879" s="285">
        <v>2697.46</v>
      </c>
      <c r="N879" s="283" t="s">
        <v>1216</v>
      </c>
      <c r="P879" s="167">
        <v>44222</v>
      </c>
      <c r="Q879" s="285">
        <v>5.3552</v>
      </c>
      <c r="R879" s="285">
        <v>5.4710999999999999</v>
      </c>
      <c r="S879" s="285">
        <v>5.4782999999999999</v>
      </c>
      <c r="T879" s="285">
        <v>5.3118999999999996</v>
      </c>
      <c r="U879" s="283">
        <v>-2.0400000000000001E-2</v>
      </c>
      <c r="W879" s="167"/>
      <c r="X879" s="285"/>
      <c r="Y879" s="285"/>
      <c r="Z879" s="285"/>
      <c r="AA879" s="285"/>
      <c r="AB879" s="283"/>
      <c r="AC879" s="167"/>
      <c r="AE879" s="167"/>
      <c r="AF879" s="285"/>
      <c r="AG879" s="285"/>
      <c r="AH879" s="285"/>
      <c r="AI879" s="285"/>
      <c r="AJ879" s="283"/>
    </row>
    <row r="880" spans="9:36" x14ac:dyDescent="0.3">
      <c r="I880" s="168">
        <v>44228</v>
      </c>
      <c r="J880" s="286">
        <v>2697.88</v>
      </c>
      <c r="K880" s="286">
        <v>2659.13</v>
      </c>
      <c r="L880" s="286">
        <v>2702.49</v>
      </c>
      <c r="M880" s="286">
        <v>2659.13</v>
      </c>
      <c r="N880" s="284" t="s">
        <v>1215</v>
      </c>
      <c r="P880" s="168">
        <v>44221</v>
      </c>
      <c r="Q880" s="286">
        <v>5.4664999999999999</v>
      </c>
      <c r="R880" s="286">
        <v>5.4669999999999996</v>
      </c>
      <c r="S880" s="286">
        <v>5.4669999999999996</v>
      </c>
      <c r="T880" s="286">
        <v>5.4669999999999996</v>
      </c>
      <c r="U880" s="284">
        <v>0</v>
      </c>
      <c r="W880" s="168"/>
      <c r="X880" s="286"/>
      <c r="Y880" s="286"/>
      <c r="Z880" s="286"/>
      <c r="AA880" s="286"/>
      <c r="AB880" s="284"/>
      <c r="AC880" s="168"/>
      <c r="AE880" s="168"/>
      <c r="AF880" s="286"/>
      <c r="AG880" s="286"/>
      <c r="AH880" s="286"/>
      <c r="AI880" s="286"/>
      <c r="AJ880" s="284"/>
    </row>
    <row r="881" spans="9:36" x14ac:dyDescent="0.3">
      <c r="I881" s="167">
        <v>44225</v>
      </c>
      <c r="J881" s="285">
        <v>2661.69</v>
      </c>
      <c r="K881" s="285">
        <v>2711</v>
      </c>
      <c r="L881" s="285">
        <v>2711.59</v>
      </c>
      <c r="M881" s="285">
        <v>2649.92</v>
      </c>
      <c r="N881" s="283" t="s">
        <v>1214</v>
      </c>
      <c r="P881" s="167">
        <v>44218</v>
      </c>
      <c r="Q881" s="285">
        <v>5.4665999999999997</v>
      </c>
      <c r="R881" s="285">
        <v>5.3547000000000002</v>
      </c>
      <c r="S881" s="285">
        <v>5.4874999999999998</v>
      </c>
      <c r="T881" s="285">
        <v>5.3547000000000002</v>
      </c>
      <c r="U881" s="283">
        <v>2.1700000000000001E-2</v>
      </c>
      <c r="W881" s="167"/>
      <c r="X881" s="285"/>
      <c r="Y881" s="285"/>
      <c r="Z881" s="285"/>
      <c r="AA881" s="285"/>
      <c r="AB881" s="283"/>
      <c r="AC881" s="167"/>
      <c r="AE881" s="167"/>
      <c r="AF881" s="285"/>
      <c r="AG881" s="285"/>
      <c r="AH881" s="285"/>
      <c r="AI881" s="285"/>
      <c r="AJ881" s="283"/>
    </row>
    <row r="882" spans="9:36" x14ac:dyDescent="0.3">
      <c r="I882" s="168">
        <v>44224</v>
      </c>
      <c r="J882" s="286">
        <v>2710.6</v>
      </c>
      <c r="K882" s="286">
        <v>2691.29</v>
      </c>
      <c r="L882" s="286">
        <v>2731.76</v>
      </c>
      <c r="M882" s="286">
        <v>2677.39</v>
      </c>
      <c r="N882" s="284" t="s">
        <v>1213</v>
      </c>
      <c r="P882" s="168">
        <v>44217</v>
      </c>
      <c r="Q882" s="286">
        <v>5.3506</v>
      </c>
      <c r="R882" s="286">
        <v>5.2544000000000004</v>
      </c>
      <c r="S882" s="286">
        <v>5.4005999999999998</v>
      </c>
      <c r="T882" s="286">
        <v>5.2313999999999998</v>
      </c>
      <c r="U882" s="284">
        <v>1.11E-2</v>
      </c>
      <c r="W882" s="168"/>
      <c r="X882" s="286"/>
      <c r="Y882" s="286"/>
      <c r="Z882" s="286"/>
      <c r="AA882" s="286"/>
      <c r="AB882" s="284"/>
      <c r="AC882" s="168"/>
      <c r="AE882" s="168"/>
      <c r="AF882" s="286"/>
      <c r="AG882" s="286"/>
      <c r="AH882" s="286"/>
      <c r="AI882" s="286"/>
      <c r="AJ882" s="284"/>
    </row>
    <row r="883" spans="9:36" x14ac:dyDescent="0.3">
      <c r="I883" s="167">
        <v>44223</v>
      </c>
      <c r="J883" s="285">
        <v>2694.42</v>
      </c>
      <c r="K883" s="285">
        <v>2755.14</v>
      </c>
      <c r="L883" s="285">
        <v>2755.83</v>
      </c>
      <c r="M883" s="285">
        <v>2685.39</v>
      </c>
      <c r="N883" s="283" t="s">
        <v>1212</v>
      </c>
      <c r="P883" s="167">
        <v>44216</v>
      </c>
      <c r="Q883" s="285">
        <v>5.2916999999999996</v>
      </c>
      <c r="R883" s="285">
        <v>5.3589000000000002</v>
      </c>
      <c r="S883" s="285">
        <v>5.3589000000000002</v>
      </c>
      <c r="T883" s="285">
        <v>5.2823000000000002</v>
      </c>
      <c r="U883" s="283">
        <v>-1.23E-2</v>
      </c>
      <c r="W883" s="167"/>
      <c r="X883" s="285"/>
      <c r="Y883" s="285"/>
      <c r="Z883" s="285"/>
      <c r="AA883" s="285"/>
      <c r="AB883" s="283"/>
      <c r="AC883" s="167"/>
      <c r="AE883" s="167"/>
      <c r="AF883" s="285"/>
      <c r="AG883" s="285"/>
      <c r="AH883" s="285"/>
      <c r="AI883" s="285"/>
      <c r="AJ883" s="283"/>
    </row>
    <row r="884" spans="9:36" x14ac:dyDescent="0.3">
      <c r="I884" s="168">
        <v>44222</v>
      </c>
      <c r="J884" s="286">
        <v>2754.12</v>
      </c>
      <c r="K884" s="286">
        <v>2757.42</v>
      </c>
      <c r="L884" s="286">
        <v>2768.23</v>
      </c>
      <c r="M884" s="286">
        <v>2752.62</v>
      </c>
      <c r="N884" s="284" t="s">
        <v>1211</v>
      </c>
      <c r="P884" s="168">
        <v>44215</v>
      </c>
      <c r="Q884" s="286">
        <v>5.3578000000000001</v>
      </c>
      <c r="R884" s="286">
        <v>5.2690999999999999</v>
      </c>
      <c r="S884" s="286">
        <v>5.3685</v>
      </c>
      <c r="T884" s="286">
        <v>5.242</v>
      </c>
      <c r="U884" s="284">
        <v>1.17E-2</v>
      </c>
      <c r="W884" s="168"/>
      <c r="X884" s="286"/>
      <c r="Y884" s="286"/>
      <c r="Z884" s="286"/>
      <c r="AA884" s="286"/>
      <c r="AB884" s="284"/>
      <c r="AC884" s="168"/>
      <c r="AE884" s="168"/>
      <c r="AF884" s="286"/>
      <c r="AG884" s="286"/>
      <c r="AH884" s="286"/>
      <c r="AI884" s="286"/>
      <c r="AJ884" s="284"/>
    </row>
    <row r="885" spans="9:36" x14ac:dyDescent="0.3">
      <c r="I885" s="167">
        <v>44221</v>
      </c>
      <c r="J885" s="285">
        <v>2756.87</v>
      </c>
      <c r="K885" s="285">
        <v>2755.36</v>
      </c>
      <c r="L885" s="285">
        <v>2762.58</v>
      </c>
      <c r="M885" s="285">
        <v>2726.18</v>
      </c>
      <c r="N885" s="283" t="s">
        <v>1210</v>
      </c>
      <c r="P885" s="167">
        <v>44214</v>
      </c>
      <c r="Q885" s="285">
        <v>5.2957000000000001</v>
      </c>
      <c r="R885" s="285">
        <v>5.3025000000000002</v>
      </c>
      <c r="S885" s="285">
        <v>5.3228999999999997</v>
      </c>
      <c r="T885" s="285">
        <v>5.2355</v>
      </c>
      <c r="U885" s="283">
        <v>5.9999999999999995E-4</v>
      </c>
      <c r="W885" s="167"/>
      <c r="X885" s="285"/>
      <c r="Y885" s="285"/>
      <c r="Z885" s="285"/>
      <c r="AA885" s="285"/>
      <c r="AB885" s="283"/>
      <c r="AC885" s="167"/>
      <c r="AE885" s="167"/>
      <c r="AF885" s="285"/>
      <c r="AG885" s="285"/>
      <c r="AH885" s="285"/>
      <c r="AI885" s="285"/>
      <c r="AJ885" s="283"/>
    </row>
    <row r="886" spans="9:36" x14ac:dyDescent="0.3">
      <c r="I886" s="168">
        <v>44218</v>
      </c>
      <c r="J886" s="286">
        <v>2755.66</v>
      </c>
      <c r="K886" s="286">
        <v>2766.27</v>
      </c>
      <c r="L886" s="286">
        <v>2766.44</v>
      </c>
      <c r="M886" s="286">
        <v>2749.02</v>
      </c>
      <c r="N886" s="284" t="s">
        <v>1209</v>
      </c>
      <c r="P886" s="168">
        <v>44211</v>
      </c>
      <c r="Q886" s="286">
        <v>5.2927</v>
      </c>
      <c r="R886" s="286">
        <v>5.1970999999999998</v>
      </c>
      <c r="S886" s="286">
        <v>5.3108000000000004</v>
      </c>
      <c r="T886" s="286">
        <v>5.1970999999999998</v>
      </c>
      <c r="U886" s="284">
        <v>1.8499999999999999E-2</v>
      </c>
      <c r="W886" s="168"/>
      <c r="X886" s="286"/>
      <c r="Y886" s="286"/>
      <c r="Z886" s="286"/>
      <c r="AA886" s="286"/>
      <c r="AB886" s="284"/>
      <c r="AC886" s="168"/>
      <c r="AE886" s="168"/>
      <c r="AF886" s="286"/>
      <c r="AG886" s="286"/>
      <c r="AH886" s="286"/>
      <c r="AI886" s="286"/>
      <c r="AJ886" s="284"/>
    </row>
    <row r="887" spans="9:36" x14ac:dyDescent="0.3">
      <c r="I887" s="167">
        <v>44217</v>
      </c>
      <c r="J887" s="285">
        <v>2765.57</v>
      </c>
      <c r="K887" s="285">
        <v>2763.62</v>
      </c>
      <c r="L887" s="285">
        <v>2770.88</v>
      </c>
      <c r="M887" s="285">
        <v>2760.68</v>
      </c>
      <c r="N887" s="283" t="s">
        <v>1208</v>
      </c>
      <c r="P887" s="167">
        <v>44210</v>
      </c>
      <c r="Q887" s="285">
        <v>5.1966999999999999</v>
      </c>
      <c r="R887" s="285">
        <v>5.2991000000000001</v>
      </c>
      <c r="S887" s="285">
        <v>5.3033999999999999</v>
      </c>
      <c r="T887" s="285">
        <v>5.1909999999999998</v>
      </c>
      <c r="U887" s="283">
        <v>-1.9300000000000001E-2</v>
      </c>
      <c r="W887" s="167"/>
      <c r="X887" s="285"/>
      <c r="Y887" s="285"/>
      <c r="Z887" s="285"/>
      <c r="AA887" s="285"/>
      <c r="AB887" s="283"/>
      <c r="AC887" s="167"/>
      <c r="AE887" s="167"/>
      <c r="AF887" s="285"/>
      <c r="AG887" s="285"/>
      <c r="AH887" s="285"/>
      <c r="AI887" s="285"/>
      <c r="AJ887" s="283"/>
    </row>
    <row r="888" spans="9:36" x14ac:dyDescent="0.3">
      <c r="I888" s="168">
        <v>44216</v>
      </c>
      <c r="J888" s="286">
        <v>2761.48</v>
      </c>
      <c r="K888" s="286">
        <v>2732.7</v>
      </c>
      <c r="L888" s="286">
        <v>2765.16</v>
      </c>
      <c r="M888" s="286">
        <v>2731.82</v>
      </c>
      <c r="N888" s="284" t="s">
        <v>1207</v>
      </c>
      <c r="P888" s="168">
        <v>44209</v>
      </c>
      <c r="Q888" s="286">
        <v>5.2990000000000004</v>
      </c>
      <c r="R888" s="286">
        <v>5.3232999999999997</v>
      </c>
      <c r="S888" s="286">
        <v>5.3550000000000004</v>
      </c>
      <c r="T888" s="286">
        <v>5.2702</v>
      </c>
      <c r="U888" s="284">
        <v>-4.4000000000000003E-3</v>
      </c>
      <c r="W888" s="168"/>
      <c r="X888" s="286"/>
      <c r="Y888" s="286"/>
      <c r="Z888" s="286"/>
      <c r="AA888" s="286"/>
      <c r="AB888" s="284"/>
      <c r="AC888" s="168"/>
      <c r="AE888" s="168"/>
      <c r="AF888" s="286"/>
      <c r="AG888" s="286"/>
      <c r="AH888" s="286"/>
      <c r="AI888" s="286"/>
      <c r="AJ888" s="284"/>
    </row>
    <row r="889" spans="9:36" x14ac:dyDescent="0.3">
      <c r="I889" s="167">
        <v>44215</v>
      </c>
      <c r="J889" s="285">
        <v>2732.48</v>
      </c>
      <c r="K889" s="285">
        <v>2713.57</v>
      </c>
      <c r="L889" s="285">
        <v>2736.01</v>
      </c>
      <c r="M889" s="285">
        <v>2713.52</v>
      </c>
      <c r="N889" s="283" t="s">
        <v>1200</v>
      </c>
      <c r="P889" s="167">
        <v>44208</v>
      </c>
      <c r="Q889" s="285">
        <v>5.3226000000000004</v>
      </c>
      <c r="R889" s="285">
        <v>5.4893000000000001</v>
      </c>
      <c r="S889" s="285">
        <v>5.4942000000000002</v>
      </c>
      <c r="T889" s="285">
        <v>5.3116000000000003</v>
      </c>
      <c r="U889" s="283">
        <v>-3.0300000000000001E-2</v>
      </c>
      <c r="W889" s="167"/>
      <c r="X889" s="285"/>
      <c r="Y889" s="285"/>
      <c r="Z889" s="285"/>
      <c r="AA889" s="285"/>
      <c r="AB889" s="283"/>
      <c r="AC889" s="167"/>
      <c r="AE889" s="167"/>
      <c r="AF889" s="285"/>
      <c r="AG889" s="285"/>
      <c r="AH889" s="285"/>
      <c r="AI889" s="285"/>
      <c r="AJ889" s="283"/>
    </row>
    <row r="890" spans="9:36" x14ac:dyDescent="0.3">
      <c r="I890" s="168">
        <v>44214</v>
      </c>
      <c r="J890" s="286">
        <v>2713.49</v>
      </c>
      <c r="K890" s="286">
        <v>2711.7</v>
      </c>
      <c r="L890" s="286">
        <v>2713.92</v>
      </c>
      <c r="M890" s="286">
        <v>2709.93</v>
      </c>
      <c r="N890" s="284" t="s">
        <v>1206</v>
      </c>
      <c r="P890" s="168">
        <v>44207</v>
      </c>
      <c r="Q890" s="286">
        <v>5.4889999999999999</v>
      </c>
      <c r="R890" s="286">
        <v>5.4665999999999997</v>
      </c>
      <c r="S890" s="286">
        <v>5.5166000000000004</v>
      </c>
      <c r="T890" s="286">
        <v>5.4490999999999996</v>
      </c>
      <c r="U890" s="284">
        <v>1.3100000000000001E-2</v>
      </c>
      <c r="W890" s="168"/>
      <c r="X890" s="286"/>
      <c r="Y890" s="286"/>
      <c r="Z890" s="286"/>
      <c r="AA890" s="286"/>
      <c r="AB890" s="284"/>
      <c r="AC890" s="168"/>
      <c r="AE890" s="168"/>
      <c r="AF890" s="286"/>
      <c r="AG890" s="286"/>
      <c r="AH890" s="286"/>
      <c r="AI890" s="286"/>
      <c r="AJ890" s="284"/>
    </row>
    <row r="891" spans="9:36" x14ac:dyDescent="0.3">
      <c r="I891" s="167">
        <v>44211</v>
      </c>
      <c r="J891" s="285">
        <v>2714.81</v>
      </c>
      <c r="K891" s="285">
        <v>2739.16</v>
      </c>
      <c r="L891" s="285">
        <v>2739.88</v>
      </c>
      <c r="M891" s="285">
        <v>2702.02</v>
      </c>
      <c r="N891" s="283" t="s">
        <v>1205</v>
      </c>
      <c r="P891" s="167">
        <v>44204</v>
      </c>
      <c r="Q891" s="285">
        <v>5.4177999999999997</v>
      </c>
      <c r="R891" s="285">
        <v>5.4108000000000001</v>
      </c>
      <c r="S891" s="285">
        <v>5.4408000000000003</v>
      </c>
      <c r="T891" s="285">
        <v>5.3208000000000002</v>
      </c>
      <c r="U891" s="283">
        <v>1.4E-3</v>
      </c>
      <c r="W891" s="167"/>
      <c r="X891" s="285"/>
      <c r="Y891" s="285"/>
      <c r="Z891" s="285"/>
      <c r="AA891" s="285"/>
      <c r="AB891" s="283"/>
      <c r="AC891" s="167"/>
      <c r="AE891" s="167"/>
      <c r="AF891" s="285"/>
      <c r="AG891" s="285"/>
      <c r="AH891" s="285"/>
      <c r="AI891" s="285"/>
      <c r="AJ891" s="283"/>
    </row>
    <row r="892" spans="9:36" x14ac:dyDescent="0.3">
      <c r="I892" s="168">
        <v>44210</v>
      </c>
      <c r="J892" s="286">
        <v>2738.09</v>
      </c>
      <c r="K892" s="286">
        <v>2739.99</v>
      </c>
      <c r="L892" s="286">
        <v>2751.99</v>
      </c>
      <c r="M892" s="286">
        <v>2738.09</v>
      </c>
      <c r="N892" s="284" t="s">
        <v>1204</v>
      </c>
      <c r="P892" s="168">
        <v>44203</v>
      </c>
      <c r="Q892" s="286">
        <v>5.4100999999999999</v>
      </c>
      <c r="R892" s="286">
        <v>5.3169000000000004</v>
      </c>
      <c r="S892" s="286">
        <v>5.4187000000000003</v>
      </c>
      <c r="T892" s="286">
        <v>5.2988999999999997</v>
      </c>
      <c r="U892" s="284">
        <v>1.8100000000000002E-2</v>
      </c>
      <c r="W892" s="168"/>
      <c r="X892" s="286"/>
      <c r="Y892" s="286"/>
      <c r="Z892" s="286"/>
      <c r="AA892" s="286"/>
      <c r="AB892" s="284"/>
      <c r="AC892" s="168"/>
      <c r="AE892" s="168"/>
      <c r="AF892" s="286"/>
      <c r="AG892" s="286"/>
      <c r="AH892" s="286"/>
      <c r="AI892" s="286"/>
      <c r="AJ892" s="284"/>
    </row>
    <row r="893" spans="9:36" x14ac:dyDescent="0.3">
      <c r="I893" s="167">
        <v>44209</v>
      </c>
      <c r="J893" s="285">
        <v>2739.87</v>
      </c>
      <c r="K893" s="285">
        <v>2737.73</v>
      </c>
      <c r="L893" s="285">
        <v>2746.01</v>
      </c>
      <c r="M893" s="285">
        <v>2731.39</v>
      </c>
      <c r="N893" s="283" t="s">
        <v>1203</v>
      </c>
      <c r="P893" s="167">
        <v>44202</v>
      </c>
      <c r="Q893" s="285">
        <v>5.3139000000000003</v>
      </c>
      <c r="R893" s="285">
        <v>5.2862999999999998</v>
      </c>
      <c r="S893" s="285">
        <v>5.3597000000000001</v>
      </c>
      <c r="T893" s="285">
        <v>5.2317999999999998</v>
      </c>
      <c r="U893" s="283">
        <v>5.4000000000000003E-3</v>
      </c>
      <c r="W893" s="167"/>
      <c r="X893" s="285"/>
      <c r="Y893" s="285"/>
      <c r="Z893" s="285"/>
      <c r="AA893" s="285"/>
      <c r="AB893" s="283"/>
      <c r="AC893" s="167"/>
      <c r="AE893" s="167"/>
      <c r="AF893" s="285"/>
      <c r="AG893" s="285"/>
      <c r="AH893" s="285"/>
      <c r="AI893" s="285"/>
      <c r="AJ893" s="283"/>
    </row>
    <row r="894" spans="9:36" x14ac:dyDescent="0.3">
      <c r="I894" s="168">
        <v>44208</v>
      </c>
      <c r="J894" s="286">
        <v>2734.4</v>
      </c>
      <c r="K894" s="286">
        <v>2730.7</v>
      </c>
      <c r="L894" s="286">
        <v>2740.53</v>
      </c>
      <c r="M894" s="286">
        <v>2722.16</v>
      </c>
      <c r="N894" s="284" t="s">
        <v>1202</v>
      </c>
      <c r="P894" s="168">
        <v>44201</v>
      </c>
      <c r="Q894" s="286">
        <v>5.2854000000000001</v>
      </c>
      <c r="R894" s="286">
        <v>5.2954999999999997</v>
      </c>
      <c r="S894" s="286">
        <v>5.3547000000000002</v>
      </c>
      <c r="T894" s="286">
        <v>5.2515000000000001</v>
      </c>
      <c r="U894" s="284">
        <v>-2.2000000000000001E-3</v>
      </c>
      <c r="W894" s="168"/>
      <c r="X894" s="286"/>
      <c r="Y894" s="286"/>
      <c r="Z894" s="286"/>
      <c r="AA894" s="286"/>
      <c r="AB894" s="284"/>
      <c r="AC894" s="168"/>
      <c r="AE894" s="168"/>
      <c r="AF894" s="286"/>
      <c r="AG894" s="286"/>
      <c r="AH894" s="286"/>
      <c r="AI894" s="286"/>
      <c r="AJ894" s="284"/>
    </row>
    <row r="895" spans="9:36" x14ac:dyDescent="0.3">
      <c r="I895" s="167">
        <v>44207</v>
      </c>
      <c r="J895" s="285">
        <v>2730.05</v>
      </c>
      <c r="K895" s="285">
        <v>2751.15</v>
      </c>
      <c r="L895" s="285">
        <v>2751.15</v>
      </c>
      <c r="M895" s="285">
        <v>2722.14</v>
      </c>
      <c r="N895" s="283" t="s">
        <v>1201</v>
      </c>
      <c r="P895" s="167">
        <v>44200</v>
      </c>
      <c r="Q895" s="285">
        <v>5.2968000000000002</v>
      </c>
      <c r="R895" s="285">
        <v>5.1351000000000004</v>
      </c>
      <c r="S895" s="285">
        <v>5.2972000000000001</v>
      </c>
      <c r="T895" s="285">
        <v>5.1196999999999999</v>
      </c>
      <c r="U895" s="283">
        <v>1.9800000000000002E-2</v>
      </c>
      <c r="W895" s="167"/>
      <c r="X895" s="285"/>
      <c r="Y895" s="285"/>
      <c r="Z895" s="285"/>
      <c r="AA895" s="285"/>
      <c r="AB895" s="283"/>
      <c r="AC895" s="167"/>
      <c r="AE895" s="167"/>
      <c r="AF895" s="285"/>
      <c r="AG895" s="285"/>
      <c r="AH895" s="285"/>
      <c r="AI895" s="285"/>
      <c r="AJ895" s="283"/>
    </row>
    <row r="896" spans="9:36" x14ac:dyDescent="0.3">
      <c r="I896" s="168">
        <v>44204</v>
      </c>
      <c r="J896" s="286">
        <v>2753.31</v>
      </c>
      <c r="K896" s="286">
        <v>2735.27</v>
      </c>
      <c r="L896" s="286">
        <v>2754.11</v>
      </c>
      <c r="M896" s="286">
        <v>2729.57</v>
      </c>
      <c r="N896" s="284" t="s">
        <v>1200</v>
      </c>
      <c r="P896" s="168">
        <v>44197</v>
      </c>
      <c r="Q896" s="286">
        <v>5.194</v>
      </c>
      <c r="R896" s="286">
        <v>5.194</v>
      </c>
      <c r="S896" s="286">
        <v>5.194</v>
      </c>
      <c r="T896" s="286">
        <v>5.194</v>
      </c>
      <c r="U896" s="284">
        <v>0</v>
      </c>
      <c r="W896" s="168"/>
      <c r="X896" s="286"/>
      <c r="Y896" s="286"/>
      <c r="Z896" s="286"/>
      <c r="AA896" s="286"/>
      <c r="AB896" s="284"/>
      <c r="AC896" s="168"/>
      <c r="AE896" s="168"/>
      <c r="AF896" s="286"/>
      <c r="AG896" s="286"/>
      <c r="AH896" s="286"/>
      <c r="AI896" s="286"/>
      <c r="AJ896" s="284"/>
    </row>
    <row r="897" spans="9:36" x14ac:dyDescent="0.3">
      <c r="I897" s="167">
        <v>44203</v>
      </c>
      <c r="J897" s="285">
        <v>2734.19</v>
      </c>
      <c r="K897" s="285">
        <v>2703.01</v>
      </c>
      <c r="L897" s="285">
        <v>2738.63</v>
      </c>
      <c r="M897" s="285">
        <v>2702.28</v>
      </c>
      <c r="N897" s="283" t="s">
        <v>1199</v>
      </c>
      <c r="P897" s="167"/>
      <c r="Q897" s="285"/>
      <c r="R897" s="285"/>
      <c r="S897" s="285"/>
      <c r="T897" s="285"/>
      <c r="U897" s="283"/>
      <c r="W897" s="167"/>
      <c r="X897" s="285"/>
      <c r="Y897" s="285"/>
      <c r="Z897" s="285"/>
      <c r="AA897" s="285"/>
      <c r="AB897" s="283"/>
      <c r="AC897" s="167"/>
      <c r="AE897" s="167"/>
      <c r="AF897" s="285"/>
      <c r="AG897" s="285"/>
      <c r="AH897" s="285"/>
      <c r="AI897" s="285"/>
      <c r="AJ897" s="283"/>
    </row>
    <row r="898" spans="9:36" x14ac:dyDescent="0.3">
      <c r="I898" s="168">
        <v>44202</v>
      </c>
      <c r="J898" s="286">
        <v>2699.51</v>
      </c>
      <c r="K898" s="286">
        <v>2685.94</v>
      </c>
      <c r="L898" s="286">
        <v>2719.15</v>
      </c>
      <c r="M898" s="286">
        <v>2677.25</v>
      </c>
      <c r="N898" s="284" t="s">
        <v>1198</v>
      </c>
      <c r="P898" s="168"/>
      <c r="Q898" s="286"/>
      <c r="R898" s="286"/>
      <c r="S898" s="286"/>
      <c r="T898" s="286"/>
      <c r="U898" s="284"/>
      <c r="W898" s="168"/>
      <c r="X898" s="286"/>
      <c r="Y898" s="286"/>
      <c r="Z898" s="286"/>
      <c r="AA898" s="286"/>
      <c r="AB898" s="284"/>
      <c r="AC898" s="168"/>
      <c r="AE898" s="168"/>
      <c r="AF898" s="286"/>
      <c r="AG898" s="286"/>
      <c r="AH898" s="286"/>
      <c r="AI898" s="286"/>
      <c r="AJ898" s="284"/>
    </row>
    <row r="899" spans="9:36" x14ac:dyDescent="0.3">
      <c r="I899" s="167">
        <v>44201</v>
      </c>
      <c r="J899" s="285">
        <v>2684.18</v>
      </c>
      <c r="K899" s="285">
        <v>2668.91</v>
      </c>
      <c r="L899" s="285">
        <v>2690.33</v>
      </c>
      <c r="M899" s="285">
        <v>2666.18</v>
      </c>
      <c r="N899" s="283" t="s">
        <v>1197</v>
      </c>
      <c r="P899" s="167"/>
      <c r="Q899" s="285"/>
      <c r="R899" s="285"/>
      <c r="S899" s="285"/>
      <c r="T899" s="285"/>
      <c r="U899" s="283"/>
      <c r="W899" s="167"/>
      <c r="X899" s="285"/>
      <c r="Y899" s="285"/>
      <c r="Z899" s="285"/>
      <c r="AA899" s="285"/>
      <c r="AB899" s="283"/>
      <c r="AC899" s="167"/>
      <c r="AE899" s="167"/>
      <c r="AF899" s="285"/>
      <c r="AG899" s="285"/>
      <c r="AH899" s="285"/>
      <c r="AI899" s="285"/>
      <c r="AJ899" s="283"/>
    </row>
    <row r="900" spans="9:36" x14ac:dyDescent="0.3">
      <c r="I900" s="168">
        <v>44200</v>
      </c>
      <c r="J900" s="286">
        <v>2670.04</v>
      </c>
      <c r="K900" s="286">
        <v>2690.12</v>
      </c>
      <c r="L900" s="286">
        <v>2709.18</v>
      </c>
      <c r="M900" s="286">
        <v>2649.36</v>
      </c>
      <c r="N900" s="284" t="s">
        <v>1196</v>
      </c>
      <c r="P900" s="168"/>
      <c r="Q900" s="286"/>
      <c r="R900" s="286"/>
      <c r="S900" s="286"/>
      <c r="T900" s="286"/>
      <c r="U900" s="284"/>
      <c r="W900" s="168"/>
      <c r="X900" s="286"/>
      <c r="Y900" s="286"/>
      <c r="Z900" s="286"/>
      <c r="AA900" s="286"/>
      <c r="AB900" s="284"/>
      <c r="AC900" s="168"/>
      <c r="AE900" s="168"/>
      <c r="AF900" s="286"/>
      <c r="AG900" s="286"/>
      <c r="AH900" s="286"/>
      <c r="AI900" s="286"/>
      <c r="AJ900" s="284"/>
    </row>
    <row r="901" spans="9:36" x14ac:dyDescent="0.3">
      <c r="I901" s="167">
        <v>44197</v>
      </c>
      <c r="J901" s="285">
        <v>2690.04</v>
      </c>
      <c r="K901" s="285">
        <v>2690.04</v>
      </c>
      <c r="L901" s="285">
        <v>2690.04</v>
      </c>
      <c r="M901" s="285">
        <v>2690.04</v>
      </c>
      <c r="N901" s="283" t="s">
        <v>1195</v>
      </c>
      <c r="P901" s="167"/>
      <c r="Q901" s="285"/>
      <c r="R901" s="285"/>
      <c r="S901" s="285"/>
      <c r="T901" s="285"/>
      <c r="U901" s="283"/>
      <c r="W901" s="167"/>
      <c r="X901" s="285"/>
      <c r="Y901" s="285"/>
      <c r="Z901" s="285"/>
      <c r="AA901" s="285"/>
      <c r="AB901" s="283"/>
      <c r="AC901" s="167"/>
      <c r="AE901" s="167"/>
      <c r="AF901" s="285"/>
      <c r="AG901" s="285"/>
      <c r="AH901" s="285"/>
      <c r="AI901" s="285"/>
      <c r="AJ901" s="283"/>
    </row>
  </sheetData>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F85F1-4C30-4008-8795-6A159678DF02}">
  <sheetPr>
    <tabColor theme="9" tint="0.79998168889431442"/>
  </sheetPr>
  <dimension ref="A1:S796"/>
  <sheetViews>
    <sheetView showGridLines="0" topLeftCell="B12" workbookViewId="0">
      <selection activeCell="P3" sqref="P3"/>
    </sheetView>
  </sheetViews>
  <sheetFormatPr defaultRowHeight="14.4" x14ac:dyDescent="0.3"/>
  <cols>
    <col min="1" max="1" width="10.5546875" bestFit="1" customWidth="1"/>
    <col min="2" max="2" width="7" bestFit="1" customWidth="1"/>
    <col min="3" max="3" width="12.6640625" bestFit="1" customWidth="1"/>
    <col min="4" max="4" width="7.33203125" bestFit="1" customWidth="1"/>
    <col min="5" max="5" width="12.109375" bestFit="1" customWidth="1"/>
    <col min="6" max="6" width="12.109375" style="282" bestFit="1" customWidth="1"/>
    <col min="7" max="7" width="8.109375" bestFit="1" customWidth="1"/>
    <col min="8" max="8" width="12.77734375" style="282" bestFit="1" customWidth="1"/>
    <col min="9" max="9" width="11.109375" bestFit="1" customWidth="1"/>
    <col min="10" max="10" width="12.5546875" style="282" bestFit="1" customWidth="1"/>
    <col min="11" max="11" width="10.77734375" bestFit="1" customWidth="1"/>
    <col min="12" max="12" width="8.109375" bestFit="1" customWidth="1"/>
    <col min="15" max="15" width="18.88671875" bestFit="1" customWidth="1"/>
    <col min="18" max="18" width="18.5546875" bestFit="1" customWidth="1"/>
  </cols>
  <sheetData>
    <row r="1" spans="1:19" ht="58.8" customHeight="1" x14ac:dyDescent="0.3">
      <c r="A1" s="291" t="s">
        <v>379</v>
      </c>
      <c r="B1" s="291" t="s">
        <v>2744</v>
      </c>
      <c r="C1" s="291" t="s">
        <v>2743</v>
      </c>
      <c r="D1" s="291" t="s">
        <v>504</v>
      </c>
      <c r="E1" s="291" t="s">
        <v>2742</v>
      </c>
      <c r="F1" s="295" t="s">
        <v>2741</v>
      </c>
      <c r="G1" s="291" t="s">
        <v>2740</v>
      </c>
      <c r="H1" s="295" t="s">
        <v>2739</v>
      </c>
      <c r="I1" s="291" t="s">
        <v>2738</v>
      </c>
      <c r="J1" s="295" t="s">
        <v>2737</v>
      </c>
    </row>
    <row r="2" spans="1:19" x14ac:dyDescent="0.3">
      <c r="A2" s="167">
        <v>44200</v>
      </c>
      <c r="B2" s="219">
        <f>VLOOKUP('Ke Alternativo'!A2,'Dados para Ke Alternativo'!$A:$B,2,0)</f>
        <v>14.96</v>
      </c>
      <c r="C2" s="219"/>
      <c r="D2" s="296">
        <f>VLOOKUP(A2,'Dados para Ke Alternativo'!$P:$Q,2,0)</f>
        <v>5.2968000000000002</v>
      </c>
      <c r="E2" s="296">
        <f t="shared" ref="E2:E65" si="0">B2/D2</f>
        <v>2.8243467754115694</v>
      </c>
      <c r="F2" s="294"/>
      <c r="G2" s="296">
        <f>VLOOKUP($A2,'Dados para Ke Alternativo'!$I:$J,2,0)</f>
        <v>2670.04</v>
      </c>
      <c r="H2" s="294"/>
      <c r="I2" s="297">
        <f>VLOOKUP(A2,'Dados para Ke Alternativo'!$W:$X,2,0)</f>
        <v>118855</v>
      </c>
      <c r="J2" s="294"/>
      <c r="O2" s="293" t="s">
        <v>2736</v>
      </c>
      <c r="P2" s="292"/>
      <c r="R2" s="293" t="s">
        <v>2735</v>
      </c>
      <c r="S2" s="292"/>
    </row>
    <row r="3" spans="1:19" x14ac:dyDescent="0.3">
      <c r="A3" s="168">
        <v>44201</v>
      </c>
      <c r="B3" s="219">
        <f>VLOOKUP('Ke Alternativo'!A3,'Dados para Ke Alternativo'!$A:$B,2,0)</f>
        <v>14.76</v>
      </c>
      <c r="C3" s="294">
        <f t="shared" ref="C3:C66" si="1">B3/B2-1</f>
        <v>-1.3368983957219305E-2</v>
      </c>
      <c r="D3" s="296">
        <f>VLOOKUP(A3,'Dados para Ke Alternativo'!$P:$Q,2,0)</f>
        <v>5.2854000000000001</v>
      </c>
      <c r="E3" s="296">
        <f t="shared" si="0"/>
        <v>2.792598478828471</v>
      </c>
      <c r="F3" s="294">
        <f t="shared" ref="F3:F66" si="2">E3/E2-1</f>
        <v>-1.1240934314261763E-2</v>
      </c>
      <c r="G3" s="296">
        <f>VLOOKUP($A3,'Dados para Ke Alternativo'!$I:$J,2,0)</f>
        <v>2684.18</v>
      </c>
      <c r="H3" s="294">
        <f t="shared" ref="H3:H66" si="3">G3/G2-1</f>
        <v>5.295800811972784E-3</v>
      </c>
      <c r="I3" s="297">
        <f>VLOOKUP(A3,'Dados para Ke Alternativo'!$W:$X,2,0)</f>
        <v>119376</v>
      </c>
      <c r="J3" s="294">
        <f t="shared" ref="J3:J66" si="4">I3/I2-1</f>
        <v>4.3834924908501272E-3</v>
      </c>
      <c r="L3" s="282"/>
      <c r="O3" t="s">
        <v>2734</v>
      </c>
      <c r="P3" s="294">
        <f>'Drivers Macroeconômico'!AR32</f>
        <v>4.4400000000000002E-2</v>
      </c>
      <c r="R3" t="s">
        <v>2734</v>
      </c>
      <c r="S3" s="294">
        <f>AVERAGE('Dados para Ke Alternativo'!AF54:AG54)</f>
        <v>5.8299999999999991E-2</v>
      </c>
    </row>
    <row r="4" spans="1:19" x14ac:dyDescent="0.3">
      <c r="A4" s="167">
        <v>44202</v>
      </c>
      <c r="B4" s="219">
        <f>VLOOKUP('Ke Alternativo'!A4,'Dados para Ke Alternativo'!$A:$B,2,0)</f>
        <v>14.53</v>
      </c>
      <c r="C4" s="294">
        <f t="shared" si="1"/>
        <v>-1.5582655826558267E-2</v>
      </c>
      <c r="D4" s="296">
        <f>VLOOKUP(A4,'Dados para Ke Alternativo'!$P:$Q,2,0)</f>
        <v>5.3139000000000003</v>
      </c>
      <c r="E4" s="296">
        <f t="shared" si="0"/>
        <v>2.7343382449801461</v>
      </c>
      <c r="F4" s="294">
        <f t="shared" si="2"/>
        <v>-2.0862373982516003E-2</v>
      </c>
      <c r="G4" s="296">
        <f>VLOOKUP($A4,'Dados para Ke Alternativo'!$I:$J,2,0)</f>
        <v>2699.51</v>
      </c>
      <c r="H4" s="294">
        <f t="shared" si="3"/>
        <v>5.7112414219613328E-3</v>
      </c>
      <c r="I4" s="297">
        <f>VLOOKUP(A4,'Dados para Ke Alternativo'!$W:$X,2,0)</f>
        <v>119100</v>
      </c>
      <c r="J4" s="294">
        <f t="shared" si="4"/>
        <v>-2.3120225170888409E-3</v>
      </c>
      <c r="O4" t="s">
        <v>2733</v>
      </c>
      <c r="P4" s="294">
        <f>COVAR(H3:H796,F3:F796)/VAR(H3:H796)</f>
        <v>1.0968428659446177</v>
      </c>
      <c r="Q4" s="240"/>
      <c r="R4" t="s">
        <v>2732</v>
      </c>
      <c r="S4" s="294">
        <f>'Avaliação e Simulações'!U22</f>
        <v>0.03</v>
      </c>
    </row>
    <row r="5" spans="1:19" x14ac:dyDescent="0.3">
      <c r="A5" s="168">
        <v>44203</v>
      </c>
      <c r="B5" s="219">
        <f>VLOOKUP('Ke Alternativo'!A5,'Dados para Ke Alternativo'!$A:$B,2,0)</f>
        <v>14.81</v>
      </c>
      <c r="C5" s="294">
        <f t="shared" si="1"/>
        <v>1.9270474879559574E-2</v>
      </c>
      <c r="D5" s="296">
        <f>VLOOKUP(A5,'Dados para Ke Alternativo'!$P:$Q,2,0)</f>
        <v>5.4100999999999999</v>
      </c>
      <c r="E5" s="296">
        <f t="shared" si="0"/>
        <v>2.7374725051292952</v>
      </c>
      <c r="F5" s="294">
        <f t="shared" si="2"/>
        <v>1.1462591195157135E-3</v>
      </c>
      <c r="G5" s="296">
        <f>VLOOKUP($A5,'Dados para Ke Alternativo'!$I:$J,2,0)</f>
        <v>2734.19</v>
      </c>
      <c r="H5" s="294">
        <f t="shared" si="3"/>
        <v>1.2846775896366402E-2</v>
      </c>
      <c r="I5" s="297">
        <f>VLOOKUP(A5,'Dados para Ke Alternativo'!$W:$X,2,0)</f>
        <v>122386</v>
      </c>
      <c r="J5" s="294">
        <f t="shared" si="4"/>
        <v>2.7590260285474288E-2</v>
      </c>
      <c r="O5" t="s">
        <v>2730</v>
      </c>
      <c r="P5" s="294">
        <f>'Avaliação e Simulações'!B8</f>
        <v>4.1799999999999997E-2</v>
      </c>
      <c r="R5" t="s">
        <v>523</v>
      </c>
      <c r="S5" s="294">
        <f>'Avaliação e Simulações'!B10</f>
        <v>2.1662000000000001E-2</v>
      </c>
    </row>
    <row r="6" spans="1:19" x14ac:dyDescent="0.3">
      <c r="A6" s="167">
        <v>44204</v>
      </c>
      <c r="B6" s="219">
        <f>VLOOKUP('Ke Alternativo'!A6,'Dados para Ke Alternativo'!$A:$B,2,0)</f>
        <v>14.89</v>
      </c>
      <c r="C6" s="294">
        <f t="shared" si="1"/>
        <v>5.4017555705603293E-3</v>
      </c>
      <c r="D6" s="296">
        <f>VLOOKUP(A6,'Dados para Ke Alternativo'!$P:$Q,2,0)</f>
        <v>5.4177999999999997</v>
      </c>
      <c r="E6" s="296">
        <f t="shared" si="0"/>
        <v>2.7483480379489831</v>
      </c>
      <c r="F6" s="294">
        <f t="shared" si="2"/>
        <v>3.9728372793919053E-3</v>
      </c>
      <c r="G6" s="296">
        <f>VLOOKUP($A6,'Dados para Ke Alternativo'!$I:$J,2,0)</f>
        <v>2753.31</v>
      </c>
      <c r="H6" s="294">
        <f t="shared" si="3"/>
        <v>6.9929302645390656E-3</v>
      </c>
      <c r="I6" s="297">
        <f>VLOOKUP(A6,'Dados para Ke Alternativo'!$W:$X,2,0)</f>
        <v>125077</v>
      </c>
      <c r="J6" s="294">
        <f t="shared" si="4"/>
        <v>2.1987809063128028E-2</v>
      </c>
      <c r="O6" s="34" t="s">
        <v>2736</v>
      </c>
      <c r="P6" s="294">
        <f>P3+P4*P5</f>
        <v>9.0248031796485023E-2</v>
      </c>
      <c r="R6" t="s">
        <v>2731</v>
      </c>
      <c r="S6" s="294">
        <f>COVAR(J3:J796,C3:C796)/VAR(J3:J796)</f>
        <v>1.0284027154218849</v>
      </c>
    </row>
    <row r="7" spans="1:19" x14ac:dyDescent="0.3">
      <c r="A7" s="168">
        <v>44207</v>
      </c>
      <c r="B7" s="219">
        <f>VLOOKUP('Ke Alternativo'!A7,'Dados para Ke Alternativo'!$A:$B,2,0)</f>
        <v>15.57</v>
      </c>
      <c r="C7" s="294">
        <f t="shared" si="1"/>
        <v>4.5668233713901829E-2</v>
      </c>
      <c r="D7" s="296">
        <f>VLOOKUP(A7,'Dados para Ke Alternativo'!$P:$Q,2,0)</f>
        <v>5.4889999999999999</v>
      </c>
      <c r="E7" s="296">
        <f t="shared" si="0"/>
        <v>2.8365822554199309</v>
      </c>
      <c r="F7" s="294">
        <f t="shared" si="2"/>
        <v>3.2104455568441992E-2</v>
      </c>
      <c r="G7" s="296">
        <f>VLOOKUP($A7,'Dados para Ke Alternativo'!$I:$J,2,0)</f>
        <v>2730.05</v>
      </c>
      <c r="H7" s="294">
        <f t="shared" si="3"/>
        <v>-8.4480134819543418E-3</v>
      </c>
      <c r="I7" s="297">
        <f>VLOOKUP(A7,'Dados para Ke Alternativo'!$W:$X,2,0)</f>
        <v>123255</v>
      </c>
      <c r="J7" s="294">
        <f t="shared" si="4"/>
        <v>-1.4567026711545639E-2</v>
      </c>
      <c r="R7" t="s">
        <v>2730</v>
      </c>
      <c r="S7" s="294">
        <v>8.25555271465966E-2</v>
      </c>
    </row>
    <row r="8" spans="1:19" x14ac:dyDescent="0.3">
      <c r="A8" s="167">
        <v>44208</v>
      </c>
      <c r="B8" s="219">
        <f>VLOOKUP('Ke Alternativo'!A8,'Dados para Ke Alternativo'!$A:$B,2,0)</f>
        <v>15.3</v>
      </c>
      <c r="C8" s="294">
        <f t="shared" si="1"/>
        <v>-1.7341040462427681E-2</v>
      </c>
      <c r="D8" s="296">
        <f>VLOOKUP(A8,'Dados para Ke Alternativo'!$P:$Q,2,0)</f>
        <v>5.3226000000000004</v>
      </c>
      <c r="E8" s="296">
        <f t="shared" si="0"/>
        <v>2.8745350016909028</v>
      </c>
      <c r="F8" s="294">
        <f t="shared" si="2"/>
        <v>1.3379744655193537E-2</v>
      </c>
      <c r="G8" s="296">
        <f>VLOOKUP($A8,'Dados para Ke Alternativo'!$I:$J,2,0)</f>
        <v>2734.4</v>
      </c>
      <c r="H8" s="294">
        <f t="shared" si="3"/>
        <v>1.5933774106700049E-3</v>
      </c>
      <c r="I8" s="297">
        <f>VLOOKUP(A8,'Dados para Ke Alternativo'!$W:$X,2,0)</f>
        <v>123998</v>
      </c>
      <c r="J8" s="294">
        <f t="shared" si="4"/>
        <v>6.0281530161048202E-3</v>
      </c>
      <c r="R8" s="34" t="s">
        <v>2735</v>
      </c>
      <c r="S8" s="294">
        <f>S3+S4+S5+S6*S7</f>
        <v>0.19486232829064506</v>
      </c>
    </row>
    <row r="9" spans="1:19" x14ac:dyDescent="0.3">
      <c r="A9" s="168">
        <v>44209</v>
      </c>
      <c r="B9" s="219">
        <f>VLOOKUP('Ke Alternativo'!A9,'Dados para Ke Alternativo'!$A:$B,2,0)</f>
        <v>15.9</v>
      </c>
      <c r="C9" s="294">
        <f t="shared" si="1"/>
        <v>3.9215686274509887E-2</v>
      </c>
      <c r="D9" s="296">
        <f>VLOOKUP(A9,'Dados para Ke Alternativo'!$P:$Q,2,0)</f>
        <v>5.2990000000000004</v>
      </c>
      <c r="E9" s="296">
        <f t="shared" si="0"/>
        <v>3.0005661445555765</v>
      </c>
      <c r="F9" s="294">
        <f t="shared" si="2"/>
        <v>4.3844010523628185E-2</v>
      </c>
      <c r="G9" s="296">
        <f>VLOOKUP($A9,'Dados para Ke Alternativo'!$I:$J,2,0)</f>
        <v>2739.87</v>
      </c>
      <c r="H9" s="294">
        <f t="shared" si="3"/>
        <v>2.000438853130504E-3</v>
      </c>
      <c r="I9" s="297">
        <f>VLOOKUP(A9,'Dados para Ke Alternativo'!$W:$X,2,0)</f>
        <v>121933</v>
      </c>
      <c r="J9" s="294">
        <f t="shared" si="4"/>
        <v>-1.6653494411200231E-2</v>
      </c>
    </row>
    <row r="10" spans="1:19" x14ac:dyDescent="0.3">
      <c r="A10" s="167">
        <v>44210</v>
      </c>
      <c r="B10" s="219">
        <f>VLOOKUP('Ke Alternativo'!A10,'Dados para Ke Alternativo'!$A:$B,2,0)</f>
        <v>15.6</v>
      </c>
      <c r="C10" s="294">
        <f t="shared" si="1"/>
        <v>-1.8867924528301883E-2</v>
      </c>
      <c r="D10" s="296">
        <f>VLOOKUP(A10,'Dados para Ke Alternativo'!$P:$Q,2,0)</f>
        <v>5.1966999999999999</v>
      </c>
      <c r="E10" s="296">
        <f t="shared" si="0"/>
        <v>3.0019050551311408</v>
      </c>
      <c r="F10" s="294">
        <f t="shared" si="2"/>
        <v>4.4621931697585993E-4</v>
      </c>
      <c r="G10" s="296">
        <f>VLOOKUP($A10,'Dados para Ke Alternativo'!$I:$J,2,0)</f>
        <v>2738.09</v>
      </c>
      <c r="H10" s="294">
        <f t="shared" si="3"/>
        <v>-6.4966586005898996E-4</v>
      </c>
      <c r="I10" s="297">
        <f>VLOOKUP(A10,'Dados para Ke Alternativo'!$W:$X,2,0)</f>
        <v>123481</v>
      </c>
      <c r="J10" s="294">
        <f t="shared" si="4"/>
        <v>1.2695496707208154E-2</v>
      </c>
    </row>
    <row r="11" spans="1:19" x14ac:dyDescent="0.3">
      <c r="A11" s="168">
        <v>44211</v>
      </c>
      <c r="B11" s="219">
        <f>VLOOKUP('Ke Alternativo'!A11,'Dados para Ke Alternativo'!$A:$B,2,0)</f>
        <v>14.86</v>
      </c>
      <c r="C11" s="294">
        <f t="shared" si="1"/>
        <v>-4.7435897435897489E-2</v>
      </c>
      <c r="D11" s="296">
        <f>VLOOKUP(A11,'Dados para Ke Alternativo'!$P:$Q,2,0)</f>
        <v>5.2927</v>
      </c>
      <c r="E11" s="296">
        <f t="shared" si="0"/>
        <v>2.8076407126797287</v>
      </c>
      <c r="F11" s="294">
        <f t="shared" si="2"/>
        <v>-6.471368643700337E-2</v>
      </c>
      <c r="G11" s="296">
        <f>VLOOKUP($A11,'Dados para Ke Alternativo'!$I:$J,2,0)</f>
        <v>2714.81</v>
      </c>
      <c r="H11" s="294">
        <f t="shared" si="3"/>
        <v>-8.5022771347911252E-3</v>
      </c>
      <c r="I11" s="297">
        <f>VLOOKUP(A11,'Dados para Ke Alternativo'!$W:$X,2,0)</f>
        <v>120349</v>
      </c>
      <c r="J11" s="294">
        <f t="shared" si="4"/>
        <v>-2.5364226075266672E-2</v>
      </c>
    </row>
    <row r="12" spans="1:19" x14ac:dyDescent="0.3">
      <c r="A12" s="167">
        <v>44214</v>
      </c>
      <c r="B12" s="219">
        <f>VLOOKUP('Ke Alternativo'!A12,'Dados para Ke Alternativo'!$A:$B,2,0)</f>
        <v>14.57</v>
      </c>
      <c r="C12" s="294">
        <f t="shared" si="1"/>
        <v>-1.9515477792732105E-2</v>
      </c>
      <c r="D12" s="296">
        <f>VLOOKUP(A12,'Dados para Ke Alternativo'!$P:$Q,2,0)</f>
        <v>5.2957000000000001</v>
      </c>
      <c r="E12" s="296">
        <f t="shared" si="0"/>
        <v>2.7512887814642069</v>
      </c>
      <c r="F12" s="294">
        <f t="shared" si="2"/>
        <v>-2.0070919673243148E-2</v>
      </c>
      <c r="G12" s="296">
        <f>VLOOKUP($A12,'Dados para Ke Alternativo'!$I:$J,2,0)</f>
        <v>2713.49</v>
      </c>
      <c r="H12" s="294">
        <f t="shared" si="3"/>
        <v>-4.8622187188063215E-4</v>
      </c>
      <c r="I12" s="297">
        <f>VLOOKUP(A12,'Dados para Ke Alternativo'!$W:$X,2,0)</f>
        <v>121242</v>
      </c>
      <c r="J12" s="294">
        <f t="shared" si="4"/>
        <v>7.4200865815254868E-3</v>
      </c>
    </row>
    <row r="13" spans="1:19" x14ac:dyDescent="0.3">
      <c r="A13" s="168">
        <v>44215</v>
      </c>
      <c r="B13" s="219">
        <f>VLOOKUP('Ke Alternativo'!A13,'Dados para Ke Alternativo'!$A:$B,2,0)</f>
        <v>14.7</v>
      </c>
      <c r="C13" s="294">
        <f t="shared" si="1"/>
        <v>8.9224433768015921E-3</v>
      </c>
      <c r="D13" s="296">
        <f>VLOOKUP(A13,'Dados para Ke Alternativo'!$P:$Q,2,0)</f>
        <v>5.3578000000000001</v>
      </c>
      <c r="E13" s="296">
        <f t="shared" si="0"/>
        <v>2.7436634439508754</v>
      </c>
      <c r="F13" s="294">
        <f t="shared" si="2"/>
        <v>-2.7715511234969181E-3</v>
      </c>
      <c r="G13" s="296">
        <f>VLOOKUP($A13,'Dados para Ke Alternativo'!$I:$J,2,0)</f>
        <v>2732.48</v>
      </c>
      <c r="H13" s="294">
        <f t="shared" si="3"/>
        <v>6.9983674161320231E-3</v>
      </c>
      <c r="I13" s="297">
        <f>VLOOKUP(A13,'Dados para Ke Alternativo'!$W:$X,2,0)</f>
        <v>120636</v>
      </c>
      <c r="J13" s="294">
        <f t="shared" si="4"/>
        <v>-4.9982679269560126E-3</v>
      </c>
    </row>
    <row r="14" spans="1:19" x14ac:dyDescent="0.3">
      <c r="A14" s="167">
        <v>44216</v>
      </c>
      <c r="B14" s="219">
        <f>VLOOKUP('Ke Alternativo'!A14,'Dados para Ke Alternativo'!$A:$B,2,0)</f>
        <v>14.16</v>
      </c>
      <c r="C14" s="294">
        <f t="shared" si="1"/>
        <v>-3.6734693877551017E-2</v>
      </c>
      <c r="D14" s="296">
        <f>VLOOKUP(A14,'Dados para Ke Alternativo'!$P:$Q,2,0)</f>
        <v>5.2916999999999996</v>
      </c>
      <c r="E14" s="296">
        <f t="shared" si="0"/>
        <v>2.6758886558194912</v>
      </c>
      <c r="F14" s="294">
        <f t="shared" si="2"/>
        <v>-2.4702296588457795E-2</v>
      </c>
      <c r="G14" s="296">
        <f>VLOOKUP($A14,'Dados para Ke Alternativo'!$I:$J,2,0)</f>
        <v>2761.48</v>
      </c>
      <c r="H14" s="294">
        <f t="shared" si="3"/>
        <v>1.0613069446070877E-2</v>
      </c>
      <c r="I14" s="297">
        <f>VLOOKUP(A14,'Dados para Ke Alternativo'!$W:$X,2,0)</f>
        <v>119646</v>
      </c>
      <c r="J14" s="294">
        <f t="shared" si="4"/>
        <v>-8.2065055207400928E-3</v>
      </c>
    </row>
    <row r="15" spans="1:19" x14ac:dyDescent="0.3">
      <c r="A15" s="168">
        <v>44217</v>
      </c>
      <c r="B15" s="219">
        <f>VLOOKUP('Ke Alternativo'!A15,'Dados para Ke Alternativo'!$A:$B,2,0)</f>
        <v>14.86</v>
      </c>
      <c r="C15" s="294">
        <f t="shared" si="1"/>
        <v>4.9435028248587587E-2</v>
      </c>
      <c r="D15" s="296">
        <f>VLOOKUP(A15,'Dados para Ke Alternativo'!$P:$Q,2,0)</f>
        <v>5.3506</v>
      </c>
      <c r="E15" s="296">
        <f t="shared" si="0"/>
        <v>2.7772586252009117</v>
      </c>
      <c r="F15" s="294">
        <f t="shared" si="2"/>
        <v>3.788273071862025E-2</v>
      </c>
      <c r="G15" s="296">
        <f>VLOOKUP($A15,'Dados para Ke Alternativo'!$I:$J,2,0)</f>
        <v>2765.57</v>
      </c>
      <c r="H15" s="294">
        <f t="shared" si="3"/>
        <v>1.4810898503700987E-3</v>
      </c>
      <c r="I15" s="297">
        <f>VLOOKUP(A15,'Dados para Ke Alternativo'!$W:$X,2,0)</f>
        <v>118329</v>
      </c>
      <c r="J15" s="294">
        <f t="shared" si="4"/>
        <v>-1.1007472042525501E-2</v>
      </c>
    </row>
    <row r="16" spans="1:19" x14ac:dyDescent="0.3">
      <c r="A16" s="167">
        <v>44218</v>
      </c>
      <c r="B16" s="219">
        <f>VLOOKUP('Ke Alternativo'!A16,'Dados para Ke Alternativo'!$A:$B,2,0)</f>
        <v>14.4</v>
      </c>
      <c r="C16" s="294">
        <f t="shared" si="1"/>
        <v>-3.0955585464333746E-2</v>
      </c>
      <c r="D16" s="296">
        <f>VLOOKUP(A16,'Dados para Ke Alternativo'!$P:$Q,2,0)</f>
        <v>5.4665999999999997</v>
      </c>
      <c r="E16" s="296">
        <f t="shared" si="0"/>
        <v>2.6341784655910438</v>
      </c>
      <c r="F16" s="294">
        <f t="shared" si="2"/>
        <v>-5.1518486003267805E-2</v>
      </c>
      <c r="G16" s="296">
        <f>VLOOKUP($A16,'Dados para Ke Alternativo'!$I:$J,2,0)</f>
        <v>2755.66</v>
      </c>
      <c r="H16" s="294">
        <f t="shared" si="3"/>
        <v>-3.5833480982221388E-3</v>
      </c>
      <c r="I16" s="297">
        <f>VLOOKUP(A16,'Dados para Ke Alternativo'!$W:$X,2,0)</f>
        <v>117380</v>
      </c>
      <c r="J16" s="294">
        <f t="shared" si="4"/>
        <v>-8.0200120004394471E-3</v>
      </c>
    </row>
    <row r="17" spans="1:10" x14ac:dyDescent="0.3">
      <c r="A17" s="168">
        <v>44222</v>
      </c>
      <c r="B17" s="219">
        <f>VLOOKUP('Ke Alternativo'!A17,'Dados para Ke Alternativo'!$A:$B,2,0)</f>
        <v>14.12</v>
      </c>
      <c r="C17" s="294">
        <f t="shared" si="1"/>
        <v>-1.9444444444444486E-2</v>
      </c>
      <c r="D17" s="296">
        <f>VLOOKUP(A17,'Dados para Ke Alternativo'!$P:$Q,2,0)</f>
        <v>5.3552</v>
      </c>
      <c r="E17" s="296">
        <f t="shared" si="0"/>
        <v>2.6366895727517177</v>
      </c>
      <c r="F17" s="294">
        <f t="shared" si="2"/>
        <v>9.5327905587083706E-4</v>
      </c>
      <c r="G17" s="296">
        <f>VLOOKUP($A17,'Dados para Ke Alternativo'!$I:$J,2,0)</f>
        <v>2754.12</v>
      </c>
      <c r="H17" s="294">
        <f t="shared" si="3"/>
        <v>-5.5884978553233378E-4</v>
      </c>
      <c r="I17" s="297">
        <f>VLOOKUP(A17,'Dados para Ke Alternativo'!$W:$X,2,0)</f>
        <v>116464</v>
      </c>
      <c r="J17" s="294">
        <f t="shared" si="4"/>
        <v>-7.8037144317600893E-3</v>
      </c>
    </row>
    <row r="18" spans="1:10" x14ac:dyDescent="0.3">
      <c r="A18" s="167">
        <v>44223</v>
      </c>
      <c r="B18" s="219">
        <f>VLOOKUP('Ke Alternativo'!A18,'Dados para Ke Alternativo'!$A:$B,2,0)</f>
        <v>13.82</v>
      </c>
      <c r="C18" s="294">
        <f t="shared" si="1"/>
        <v>-2.1246458923512623E-2</v>
      </c>
      <c r="D18" s="296">
        <f>VLOOKUP(A18,'Dados para Ke Alternativo'!$P:$Q,2,0)</f>
        <v>5.4138000000000002</v>
      </c>
      <c r="E18" s="296">
        <f t="shared" si="0"/>
        <v>2.5527356016106983</v>
      </c>
      <c r="F18" s="294">
        <f t="shared" si="2"/>
        <v>-3.1840673247477858E-2</v>
      </c>
      <c r="G18" s="296">
        <f>VLOOKUP($A18,'Dados para Ke Alternativo'!$I:$J,2,0)</f>
        <v>2694.42</v>
      </c>
      <c r="H18" s="294">
        <f t="shared" si="3"/>
        <v>-2.1676615398021792E-2</v>
      </c>
      <c r="I18" s="297">
        <f>VLOOKUP(A18,'Dados para Ke Alternativo'!$W:$X,2,0)</f>
        <v>115882</v>
      </c>
      <c r="J18" s="294">
        <f t="shared" si="4"/>
        <v>-4.9972523698310622E-3</v>
      </c>
    </row>
    <row r="19" spans="1:10" x14ac:dyDescent="0.3">
      <c r="A19" s="168">
        <v>44224</v>
      </c>
      <c r="B19" s="219">
        <f>VLOOKUP('Ke Alternativo'!A19,'Dados para Ke Alternativo'!$A:$B,2,0)</f>
        <v>14.36</v>
      </c>
      <c r="C19" s="294">
        <f t="shared" si="1"/>
        <v>3.9073806078147477E-2</v>
      </c>
      <c r="D19" s="296">
        <f>VLOOKUP(A19,'Dados para Ke Alternativo'!$P:$Q,2,0)</f>
        <v>5.4409999999999998</v>
      </c>
      <c r="E19" s="296">
        <f t="shared" si="0"/>
        <v>2.6392207314831833</v>
      </c>
      <c r="F19" s="294">
        <f t="shared" si="2"/>
        <v>3.3879391903303802E-2</v>
      </c>
      <c r="G19" s="296">
        <f>VLOOKUP($A19,'Dados para Ke Alternativo'!$I:$J,2,0)</f>
        <v>2710.6</v>
      </c>
      <c r="H19" s="294">
        <f t="shared" si="3"/>
        <v>6.0050029319853593E-3</v>
      </c>
      <c r="I19" s="297">
        <f>VLOOKUP(A19,'Dados para Ke Alternativo'!$W:$X,2,0)</f>
        <v>118883</v>
      </c>
      <c r="J19" s="294">
        <f t="shared" si="4"/>
        <v>2.589703318893366E-2</v>
      </c>
    </row>
    <row r="20" spans="1:10" x14ac:dyDescent="0.3">
      <c r="A20" s="167">
        <v>44225</v>
      </c>
      <c r="B20" s="219">
        <f>VLOOKUP('Ke Alternativo'!A20,'Dados para Ke Alternativo'!$A:$B,2,0)</f>
        <v>14.1</v>
      </c>
      <c r="C20" s="294">
        <f t="shared" si="1"/>
        <v>-1.8105849582172651E-2</v>
      </c>
      <c r="D20" s="296">
        <f>VLOOKUP(A20,'Dados para Ke Alternativo'!$P:$Q,2,0)</f>
        <v>5.4625000000000004</v>
      </c>
      <c r="E20" s="296">
        <f t="shared" si="0"/>
        <v>2.5812356979405031</v>
      </c>
      <c r="F20" s="294">
        <f t="shared" si="2"/>
        <v>-2.1970513057501528E-2</v>
      </c>
      <c r="G20" s="296">
        <f>VLOOKUP($A20,'Dados para Ke Alternativo'!$I:$J,2,0)</f>
        <v>2661.69</v>
      </c>
      <c r="H20" s="294">
        <f t="shared" si="3"/>
        <v>-1.8043975503578502E-2</v>
      </c>
      <c r="I20" s="297">
        <f>VLOOKUP(A20,'Dados para Ke Alternativo'!$W:$X,2,0)</f>
        <v>115068</v>
      </c>
      <c r="J20" s="294">
        <f t="shared" si="4"/>
        <v>-3.2090374569955338E-2</v>
      </c>
    </row>
    <row r="21" spans="1:10" x14ac:dyDescent="0.3">
      <c r="A21" s="168">
        <v>44228</v>
      </c>
      <c r="B21" s="219">
        <f>VLOOKUP('Ke Alternativo'!A21,'Dados para Ke Alternativo'!$A:$B,2,0)</f>
        <v>14.69</v>
      </c>
      <c r="C21" s="294">
        <f t="shared" si="1"/>
        <v>4.1843971631205568E-2</v>
      </c>
      <c r="D21" s="296">
        <f>VLOOKUP(A21,'Dados para Ke Alternativo'!$P:$Q,2,0)</f>
        <v>5.4321999999999999</v>
      </c>
      <c r="E21" s="296">
        <f t="shared" si="0"/>
        <v>2.7042450572512058</v>
      </c>
      <c r="F21" s="294">
        <f t="shared" si="2"/>
        <v>4.7655221647852075E-2</v>
      </c>
      <c r="G21" s="296">
        <f>VLOOKUP($A21,'Dados para Ke Alternativo'!$I:$J,2,0)</f>
        <v>2697.88</v>
      </c>
      <c r="H21" s="294">
        <f t="shared" si="3"/>
        <v>1.3596624700847881E-2</v>
      </c>
      <c r="I21" s="297">
        <f>VLOOKUP(A21,'Dados para Ke Alternativo'!$W:$X,2,0)</f>
        <v>117518</v>
      </c>
      <c r="J21" s="294">
        <f t="shared" si="4"/>
        <v>2.129175791705773E-2</v>
      </c>
    </row>
    <row r="22" spans="1:10" x14ac:dyDescent="0.3">
      <c r="A22" s="167">
        <v>44229</v>
      </c>
      <c r="B22" s="219">
        <f>VLOOKUP('Ke Alternativo'!A22,'Dados para Ke Alternativo'!$A:$B,2,0)</f>
        <v>15.57</v>
      </c>
      <c r="C22" s="294">
        <f t="shared" si="1"/>
        <v>5.9904697072838742E-2</v>
      </c>
      <c r="D22" s="296">
        <f>VLOOKUP(A22,'Dados para Ke Alternativo'!$P:$Q,2,0)</f>
        <v>5.3680000000000003</v>
      </c>
      <c r="E22" s="296">
        <f t="shared" si="0"/>
        <v>2.9005216095380026</v>
      </c>
      <c r="F22" s="294">
        <f t="shared" si="2"/>
        <v>7.2580904515475719E-2</v>
      </c>
      <c r="G22" s="296">
        <f>VLOOKUP($A22,'Dados para Ke Alternativo'!$I:$J,2,0)</f>
        <v>2731.95</v>
      </c>
      <c r="H22" s="294">
        <f t="shared" si="3"/>
        <v>1.2628434177947012E-2</v>
      </c>
      <c r="I22" s="297">
        <f>VLOOKUP(A22,'Dados para Ke Alternativo'!$W:$X,2,0)</f>
        <v>118234</v>
      </c>
      <c r="J22" s="294">
        <f t="shared" si="4"/>
        <v>6.0926836739902956E-3</v>
      </c>
    </row>
    <row r="23" spans="1:10" x14ac:dyDescent="0.3">
      <c r="A23" s="168">
        <v>44230</v>
      </c>
      <c r="B23" s="219">
        <f>VLOOKUP('Ke Alternativo'!A23,'Dados para Ke Alternativo'!$A:$B,2,0)</f>
        <v>15.38</v>
      </c>
      <c r="C23" s="294">
        <f t="shared" si="1"/>
        <v>-1.2202954399486154E-2</v>
      </c>
      <c r="D23" s="296">
        <f>VLOOKUP(A23,'Dados para Ke Alternativo'!$P:$Q,2,0)</f>
        <v>5.3533999999999997</v>
      </c>
      <c r="E23" s="296">
        <f t="shared" si="0"/>
        <v>2.8729405611387158</v>
      </c>
      <c r="F23" s="294">
        <f t="shared" si="2"/>
        <v>-9.5089960056116141E-3</v>
      </c>
      <c r="G23" s="296">
        <f>VLOOKUP($A23,'Dados para Ke Alternativo'!$I:$J,2,0)</f>
        <v>2737.93</v>
      </c>
      <c r="H23" s="294">
        <f t="shared" si="3"/>
        <v>2.1889126814180759E-3</v>
      </c>
      <c r="I23" s="297">
        <f>VLOOKUP(A23,'Dados para Ke Alternativo'!$W:$X,2,0)</f>
        <v>119725</v>
      </c>
      <c r="J23" s="294">
        <f t="shared" si="4"/>
        <v>1.2610585787506068E-2</v>
      </c>
    </row>
    <row r="24" spans="1:10" x14ac:dyDescent="0.3">
      <c r="A24" s="167">
        <v>44231</v>
      </c>
      <c r="B24" s="219">
        <f>VLOOKUP('Ke Alternativo'!A24,'Dados para Ke Alternativo'!$A:$B,2,0)</f>
        <v>15.18</v>
      </c>
      <c r="C24" s="294">
        <f t="shared" si="1"/>
        <v>-1.3003901170351218E-2</v>
      </c>
      <c r="D24" s="296">
        <f>VLOOKUP(A24,'Dados para Ke Alternativo'!$P:$Q,2,0)</f>
        <v>5.4265999999999996</v>
      </c>
      <c r="E24" s="296">
        <f t="shared" si="0"/>
        <v>2.7973316625511373</v>
      </c>
      <c r="F24" s="294">
        <f t="shared" si="2"/>
        <v>-2.6317599330217378E-2</v>
      </c>
      <c r="G24" s="296">
        <f>VLOOKUP($A24,'Dados para Ke Alternativo'!$I:$J,2,0)</f>
        <v>2757.66</v>
      </c>
      <c r="H24" s="294">
        <f t="shared" si="3"/>
        <v>7.2061740073705582E-3</v>
      </c>
      <c r="I24" s="297">
        <f>VLOOKUP(A24,'Dados para Ke Alternativo'!$W:$X,2,0)</f>
        <v>119261</v>
      </c>
      <c r="J24" s="294">
        <f t="shared" si="4"/>
        <v>-3.875548131133888E-3</v>
      </c>
    </row>
    <row r="25" spans="1:10" x14ac:dyDescent="0.3">
      <c r="A25" s="168">
        <v>44232</v>
      </c>
      <c r="B25" s="219">
        <f>VLOOKUP('Ke Alternativo'!A25,'Dados para Ke Alternativo'!$A:$B,2,0)</f>
        <v>15.7</v>
      </c>
      <c r="C25" s="294">
        <f t="shared" si="1"/>
        <v>3.4255599472990728E-2</v>
      </c>
      <c r="D25" s="296">
        <f>VLOOKUP(A25,'Dados para Ke Alternativo'!$P:$Q,2,0)</f>
        <v>5.3704000000000001</v>
      </c>
      <c r="E25" s="296">
        <f t="shared" si="0"/>
        <v>2.92343214658126</v>
      </c>
      <c r="F25" s="294">
        <f t="shared" si="2"/>
        <v>4.5078846287079255E-2</v>
      </c>
      <c r="G25" s="296">
        <f>VLOOKUP($A25,'Dados para Ke Alternativo'!$I:$J,2,0)</f>
        <v>2773.45</v>
      </c>
      <c r="H25" s="294">
        <f t="shared" si="3"/>
        <v>5.7258690338910512E-3</v>
      </c>
      <c r="I25" s="297">
        <f>VLOOKUP(A25,'Dados para Ke Alternativo'!$W:$X,2,0)</f>
        <v>120240</v>
      </c>
      <c r="J25" s="294">
        <f t="shared" si="4"/>
        <v>8.2088863920308786E-3</v>
      </c>
    </row>
    <row r="26" spans="1:10" x14ac:dyDescent="0.3">
      <c r="A26" s="167">
        <v>44235</v>
      </c>
      <c r="B26" s="219">
        <f>VLOOKUP('Ke Alternativo'!A26,'Dados para Ke Alternativo'!$A:$B,2,0)</f>
        <v>16.22</v>
      </c>
      <c r="C26" s="294">
        <f t="shared" si="1"/>
        <v>3.3121019108280247E-2</v>
      </c>
      <c r="D26" s="296">
        <f>VLOOKUP(A26,'Dados para Ke Alternativo'!$P:$Q,2,0)</f>
        <v>5.3657000000000004</v>
      </c>
      <c r="E26" s="296">
        <f t="shared" si="0"/>
        <v>3.0229047468177495</v>
      </c>
      <c r="F26" s="294">
        <f t="shared" si="2"/>
        <v>3.4025965115289436E-2</v>
      </c>
      <c r="G26" s="296">
        <f>VLOOKUP($A26,'Dados para Ke Alternativo'!$I:$J,2,0)</f>
        <v>2795.89</v>
      </c>
      <c r="H26" s="294">
        <f t="shared" si="3"/>
        <v>8.0910057870162699E-3</v>
      </c>
      <c r="I26" s="297">
        <f>VLOOKUP(A26,'Dados para Ke Alternativo'!$W:$X,2,0)</f>
        <v>119696</v>
      </c>
      <c r="J26" s="294">
        <f t="shared" si="4"/>
        <v>-4.5242847638057304E-3</v>
      </c>
    </row>
    <row r="27" spans="1:10" x14ac:dyDescent="0.3">
      <c r="A27" s="168">
        <v>44236</v>
      </c>
      <c r="B27" s="219">
        <f>VLOOKUP('Ke Alternativo'!A27,'Dados para Ke Alternativo'!$A:$B,2,0)</f>
        <v>15.55</v>
      </c>
      <c r="C27" s="294">
        <f t="shared" si="1"/>
        <v>-4.1307028360049181E-2</v>
      </c>
      <c r="D27" s="296">
        <f>VLOOKUP(A27,'Dados para Ke Alternativo'!$P:$Q,2,0)</f>
        <v>5.3780999999999999</v>
      </c>
      <c r="E27" s="296">
        <f t="shared" si="0"/>
        <v>2.8913556832338561</v>
      </c>
      <c r="F27" s="294">
        <f t="shared" si="2"/>
        <v>-4.3517435910733426E-2</v>
      </c>
      <c r="G27" s="296">
        <f>VLOOKUP($A27,'Dados para Ke Alternativo'!$I:$J,2,0)</f>
        <v>2798.55</v>
      </c>
      <c r="H27" s="294">
        <f t="shared" si="3"/>
        <v>9.5139651416920046E-4</v>
      </c>
      <c r="I27" s="297">
        <f>VLOOKUP(A27,'Dados para Ke Alternativo'!$W:$X,2,0)</f>
        <v>119472</v>
      </c>
      <c r="J27" s="294">
        <f t="shared" si="4"/>
        <v>-1.8714075658334828E-3</v>
      </c>
    </row>
    <row r="28" spans="1:10" x14ac:dyDescent="0.3">
      <c r="A28" s="167">
        <v>44237</v>
      </c>
      <c r="B28" s="219">
        <f>VLOOKUP('Ke Alternativo'!A28,'Dados para Ke Alternativo'!$A:$B,2,0)</f>
        <v>15.89</v>
      </c>
      <c r="C28" s="294">
        <f t="shared" si="1"/>
        <v>2.1864951768488794E-2</v>
      </c>
      <c r="D28" s="296">
        <f>VLOOKUP(A28,'Dados para Ke Alternativo'!$P:$Q,2,0)</f>
        <v>5.3860000000000001</v>
      </c>
      <c r="E28" s="296">
        <f t="shared" si="0"/>
        <v>2.9502413665057556</v>
      </c>
      <c r="F28" s="294">
        <f t="shared" si="2"/>
        <v>2.036611531862409E-2</v>
      </c>
      <c r="G28" s="296">
        <f>VLOOKUP($A28,'Dados para Ke Alternativo'!$I:$J,2,0)</f>
        <v>2800.68</v>
      </c>
      <c r="H28" s="294">
        <f t="shared" si="3"/>
        <v>7.6110843115162474E-4</v>
      </c>
      <c r="I28" s="297">
        <f>VLOOKUP(A28,'Dados para Ke Alternativo'!$W:$X,2,0)</f>
        <v>118435</v>
      </c>
      <c r="J28" s="294">
        <f t="shared" si="4"/>
        <v>-8.6798580420517357E-3</v>
      </c>
    </row>
    <row r="29" spans="1:10" x14ac:dyDescent="0.3">
      <c r="A29" s="168">
        <v>44238</v>
      </c>
      <c r="B29" s="219">
        <f>VLOOKUP('Ke Alternativo'!A29,'Dados para Ke Alternativo'!$A:$B,2,0)</f>
        <v>15.47</v>
      </c>
      <c r="C29" s="294">
        <f t="shared" si="1"/>
        <v>-2.6431718061673992E-2</v>
      </c>
      <c r="D29" s="296">
        <f>VLOOKUP(A29,'Dados para Ke Alternativo'!$P:$Q,2,0)</f>
        <v>5.3665000000000003</v>
      </c>
      <c r="E29" s="296">
        <f t="shared" si="0"/>
        <v>2.8826982204416285</v>
      </c>
      <c r="F29" s="294">
        <f t="shared" si="2"/>
        <v>-2.2894108540049696E-2</v>
      </c>
      <c r="G29" s="296">
        <f>VLOOKUP($A29,'Dados para Ke Alternativo'!$I:$J,2,0)</f>
        <v>2807.16</v>
      </c>
      <c r="H29" s="294">
        <f t="shared" si="3"/>
        <v>2.3137238099317781E-3</v>
      </c>
      <c r="I29" s="297">
        <f>VLOOKUP(A29,'Dados para Ke Alternativo'!$W:$X,2,0)</f>
        <v>119300</v>
      </c>
      <c r="J29" s="294">
        <f t="shared" si="4"/>
        <v>7.3035842445223764E-3</v>
      </c>
    </row>
    <row r="30" spans="1:10" x14ac:dyDescent="0.3">
      <c r="A30" s="167">
        <v>44239</v>
      </c>
      <c r="B30" s="219">
        <f>VLOOKUP('Ke Alternativo'!A30,'Dados para Ke Alternativo'!$A:$B,2,0)</f>
        <v>15.92</v>
      </c>
      <c r="C30" s="294">
        <f t="shared" si="1"/>
        <v>2.9088558500323103E-2</v>
      </c>
      <c r="D30" s="296">
        <f>VLOOKUP(A30,'Dados para Ke Alternativo'!$P:$Q,2,0)</f>
        <v>5.3697999999999997</v>
      </c>
      <c r="E30" s="296">
        <f t="shared" si="0"/>
        <v>2.9647286677343665</v>
      </c>
      <c r="F30" s="294">
        <f t="shared" si="2"/>
        <v>2.8456134156204183E-2</v>
      </c>
      <c r="G30" s="296">
        <f>VLOOKUP($A30,'Dados para Ke Alternativo'!$I:$J,2,0)</f>
        <v>2818.85</v>
      </c>
      <c r="H30" s="294">
        <f t="shared" si="3"/>
        <v>4.1643511591786808E-3</v>
      </c>
      <c r="I30" s="297">
        <f>VLOOKUP(A30,'Dados para Ke Alternativo'!$W:$X,2,0)</f>
        <v>119429</v>
      </c>
      <c r="J30" s="294">
        <f t="shared" si="4"/>
        <v>1.0813076278290978E-3</v>
      </c>
    </row>
    <row r="31" spans="1:10" x14ac:dyDescent="0.3">
      <c r="A31" s="168">
        <v>44244</v>
      </c>
      <c r="B31" s="219">
        <f>VLOOKUP('Ke Alternativo'!A31,'Dados para Ke Alternativo'!$A:$B,2,0)</f>
        <v>17.420000000000002</v>
      </c>
      <c r="C31" s="294">
        <f t="shared" si="1"/>
        <v>9.4221105527638294E-2</v>
      </c>
      <c r="D31" s="296">
        <f>VLOOKUP(A31,'Dados para Ke Alternativo'!$P:$Q,2,0)</f>
        <v>5.4104999999999999</v>
      </c>
      <c r="E31" s="296">
        <f t="shared" si="0"/>
        <v>3.2196654652989563</v>
      </c>
      <c r="F31" s="294">
        <f t="shared" si="2"/>
        <v>8.5989925600649109E-2</v>
      </c>
      <c r="G31" s="296">
        <f>VLOOKUP($A31,'Dados para Ke Alternativo'!$I:$J,2,0)</f>
        <v>2815.98</v>
      </c>
      <c r="H31" s="294">
        <f t="shared" si="3"/>
        <v>-1.0181456977135239E-3</v>
      </c>
      <c r="I31" s="297">
        <f>VLOOKUP(A31,'Dados para Ke Alternativo'!$W:$X,2,0)</f>
        <v>120356</v>
      </c>
      <c r="J31" s="294">
        <f t="shared" si="4"/>
        <v>7.7619338686583106E-3</v>
      </c>
    </row>
    <row r="32" spans="1:10" x14ac:dyDescent="0.3">
      <c r="A32" s="167">
        <v>44245</v>
      </c>
      <c r="B32" s="219">
        <f>VLOOKUP('Ke Alternativo'!A32,'Dados para Ke Alternativo'!$A:$B,2,0)</f>
        <v>17.68</v>
      </c>
      <c r="C32" s="294">
        <f t="shared" si="1"/>
        <v>1.4925373134328179E-2</v>
      </c>
      <c r="D32" s="296">
        <f>VLOOKUP(A32,'Dados para Ke Alternativo'!$P:$Q,2,0)</f>
        <v>5.4269999999999996</v>
      </c>
      <c r="E32" s="296">
        <f t="shared" si="0"/>
        <v>3.2577851483324123</v>
      </c>
      <c r="F32" s="294">
        <f t="shared" si="2"/>
        <v>1.1839640932980178E-2</v>
      </c>
      <c r="G32" s="296">
        <f>VLOOKUP($A32,'Dados para Ke Alternativo'!$I:$J,2,0)</f>
        <v>2802.92</v>
      </c>
      <c r="H32" s="294">
        <f t="shared" si="3"/>
        <v>-4.6378170299504751E-3</v>
      </c>
      <c r="I32" s="297">
        <f>VLOOKUP(A32,'Dados para Ke Alternativo'!$W:$X,2,0)</f>
        <v>119199</v>
      </c>
      <c r="J32" s="294">
        <f t="shared" si="4"/>
        <v>-9.6131476619362166E-3</v>
      </c>
    </row>
    <row r="33" spans="1:10" x14ac:dyDescent="0.3">
      <c r="A33" s="168">
        <v>44246</v>
      </c>
      <c r="B33" s="219">
        <f>VLOOKUP('Ke Alternativo'!A33,'Dados para Ke Alternativo'!$A:$B,2,0)</f>
        <v>17.78</v>
      </c>
      <c r="C33" s="294">
        <f t="shared" si="1"/>
        <v>5.6561085972850478E-3</v>
      </c>
      <c r="D33" s="296">
        <f>VLOOKUP(A33,'Dados para Ke Alternativo'!$P:$Q,2,0)</f>
        <v>5.3822999999999999</v>
      </c>
      <c r="E33" s="296">
        <f t="shared" si="0"/>
        <v>3.3034204708024455</v>
      </c>
      <c r="F33" s="294">
        <f t="shared" si="2"/>
        <v>1.4008082298917923E-2</v>
      </c>
      <c r="G33" s="296">
        <f>VLOOKUP($A33,'Dados para Ke Alternativo'!$I:$J,2,0)</f>
        <v>2806.47</v>
      </c>
      <c r="H33" s="294">
        <f t="shared" si="3"/>
        <v>1.2665363264023899E-3</v>
      </c>
      <c r="I33" s="297">
        <f>VLOOKUP(A33,'Dados para Ke Alternativo'!$W:$X,2,0)</f>
        <v>118431</v>
      </c>
      <c r="J33" s="294">
        <f t="shared" si="4"/>
        <v>-6.4430070722070187E-3</v>
      </c>
    </row>
    <row r="34" spans="1:10" x14ac:dyDescent="0.3">
      <c r="A34" s="167">
        <v>44249</v>
      </c>
      <c r="B34" s="219">
        <f>VLOOKUP('Ke Alternativo'!A34,'Dados para Ke Alternativo'!$A:$B,2,0)</f>
        <v>18.440000000000001</v>
      </c>
      <c r="C34" s="294">
        <f t="shared" si="1"/>
        <v>3.7120359955005622E-2</v>
      </c>
      <c r="D34" s="296">
        <f>VLOOKUP(A34,'Dados para Ke Alternativo'!$P:$Q,2,0)</f>
        <v>5.4659000000000004</v>
      </c>
      <c r="E34" s="296">
        <f t="shared" si="0"/>
        <v>3.3736438646883404</v>
      </c>
      <c r="F34" s="294">
        <f t="shared" si="2"/>
        <v>2.1257782503490086E-2</v>
      </c>
      <c r="G34" s="296">
        <f>VLOOKUP($A34,'Dados para Ke Alternativo'!$I:$J,2,0)</f>
        <v>2788.11</v>
      </c>
      <c r="H34" s="294">
        <f t="shared" si="3"/>
        <v>-6.5420261039668137E-3</v>
      </c>
      <c r="I34" s="297">
        <f>VLOOKUP(A34,'Dados para Ke Alternativo'!$W:$X,2,0)</f>
        <v>112668</v>
      </c>
      <c r="J34" s="294">
        <f t="shared" si="4"/>
        <v>-4.8661245788687135E-2</v>
      </c>
    </row>
    <row r="35" spans="1:10" x14ac:dyDescent="0.3">
      <c r="A35" s="168">
        <v>44250</v>
      </c>
      <c r="B35" s="219">
        <f>VLOOKUP('Ke Alternativo'!A35,'Dados para Ke Alternativo'!$A:$B,2,0)</f>
        <v>17.75</v>
      </c>
      <c r="C35" s="294">
        <f t="shared" si="1"/>
        <v>-3.7418655097613995E-2</v>
      </c>
      <c r="D35" s="296">
        <f>VLOOKUP(A35,'Dados para Ke Alternativo'!$P:$Q,2,0)</f>
        <v>5.4409000000000001</v>
      </c>
      <c r="E35" s="296">
        <f t="shared" si="0"/>
        <v>3.2623279236890954</v>
      </c>
      <c r="F35" s="294">
        <f t="shared" si="2"/>
        <v>-3.2995759322547391E-2</v>
      </c>
      <c r="G35" s="296">
        <f>VLOOKUP($A35,'Dados para Ke Alternativo'!$I:$J,2,0)</f>
        <v>2789.21</v>
      </c>
      <c r="H35" s="294">
        <f t="shared" si="3"/>
        <v>3.9453249692433801E-4</v>
      </c>
      <c r="I35" s="297">
        <f>VLOOKUP(A35,'Dados para Ke Alternativo'!$W:$X,2,0)</f>
        <v>115227</v>
      </c>
      <c r="J35" s="294">
        <f t="shared" si="4"/>
        <v>2.2712748961550844E-2</v>
      </c>
    </row>
    <row r="36" spans="1:10" x14ac:dyDescent="0.3">
      <c r="A36" s="167">
        <v>44251</v>
      </c>
      <c r="B36" s="219">
        <f>VLOOKUP('Ke Alternativo'!A36,'Dados para Ke Alternativo'!$A:$B,2,0)</f>
        <v>17.47</v>
      </c>
      <c r="C36" s="294">
        <f t="shared" si="1"/>
        <v>-1.5774647887323967E-2</v>
      </c>
      <c r="D36" s="296">
        <f>VLOOKUP(A36,'Dados para Ke Alternativo'!$P:$Q,2,0)</f>
        <v>5.4062000000000001</v>
      </c>
      <c r="E36" s="296">
        <f t="shared" si="0"/>
        <v>3.2314749731789423</v>
      </c>
      <c r="F36" s="294">
        <f t="shared" si="2"/>
        <v>-9.4573418834192902E-3</v>
      </c>
      <c r="G36" s="296">
        <f>VLOOKUP($A36,'Dados para Ke Alternativo'!$I:$J,2,0)</f>
        <v>2802.4</v>
      </c>
      <c r="H36" s="294">
        <f t="shared" si="3"/>
        <v>4.728937584477455E-3</v>
      </c>
      <c r="I36" s="297">
        <f>VLOOKUP(A36,'Dados para Ke Alternativo'!$W:$X,2,0)</f>
        <v>115668</v>
      </c>
      <c r="J36" s="294">
        <f t="shared" si="4"/>
        <v>3.8272279934390419E-3</v>
      </c>
    </row>
    <row r="37" spans="1:10" x14ac:dyDescent="0.3">
      <c r="A37" s="168">
        <v>44252</v>
      </c>
      <c r="B37" s="219">
        <f>VLOOKUP('Ke Alternativo'!A37,'Dados para Ke Alternativo'!$A:$B,2,0)</f>
        <v>16.78</v>
      </c>
      <c r="C37" s="294">
        <f t="shared" si="1"/>
        <v>-3.9496279336004414E-2</v>
      </c>
      <c r="D37" s="296">
        <f>VLOOKUP(A37,'Dados para Ke Alternativo'!$P:$Q,2,0)</f>
        <v>5.5308000000000002</v>
      </c>
      <c r="E37" s="296">
        <f t="shared" si="0"/>
        <v>3.0339191437043467</v>
      </c>
      <c r="F37" s="294">
        <f t="shared" si="2"/>
        <v>-6.1134878380398328E-2</v>
      </c>
      <c r="G37" s="296">
        <f>VLOOKUP($A37,'Dados para Ke Alternativo'!$I:$J,2,0)</f>
        <v>2760.26</v>
      </c>
      <c r="H37" s="294">
        <f t="shared" si="3"/>
        <v>-1.5037111047673357E-2</v>
      </c>
      <c r="I37" s="297">
        <f>VLOOKUP(A37,'Dados para Ke Alternativo'!$W:$X,2,0)</f>
        <v>112256</v>
      </c>
      <c r="J37" s="294">
        <f t="shared" si="4"/>
        <v>-2.9498219040702711E-2</v>
      </c>
    </row>
    <row r="38" spans="1:10" x14ac:dyDescent="0.3">
      <c r="A38" s="167">
        <v>44253</v>
      </c>
      <c r="B38" s="219">
        <f>VLOOKUP('Ke Alternativo'!A38,'Dados para Ke Alternativo'!$A:$B,2,0)</f>
        <v>16.72</v>
      </c>
      <c r="C38" s="294">
        <f t="shared" si="1"/>
        <v>-3.5756853396902155E-3</v>
      </c>
      <c r="D38" s="296">
        <f>VLOOKUP(A38,'Dados para Ke Alternativo'!$P:$Q,2,0)</f>
        <v>5.5986000000000002</v>
      </c>
      <c r="E38" s="296">
        <f t="shared" si="0"/>
        <v>2.9864609009395204</v>
      </c>
      <c r="F38" s="294">
        <f t="shared" si="2"/>
        <v>-1.5642553580673457E-2</v>
      </c>
      <c r="G38" s="296">
        <f>VLOOKUP($A38,'Dados para Ke Alternativo'!$I:$J,2,0)</f>
        <v>2726.91</v>
      </c>
      <c r="H38" s="294">
        <f t="shared" si="3"/>
        <v>-1.2082195155528996E-2</v>
      </c>
      <c r="I38" s="297">
        <f>VLOOKUP(A38,'Dados para Ke Alternativo'!$W:$X,2,0)</f>
        <v>110035</v>
      </c>
      <c r="J38" s="294">
        <f t="shared" si="4"/>
        <v>-1.9785133979475455E-2</v>
      </c>
    </row>
    <row r="39" spans="1:10" x14ac:dyDescent="0.3">
      <c r="A39" s="168">
        <v>44256</v>
      </c>
      <c r="B39" s="219">
        <f>VLOOKUP('Ke Alternativo'!A39,'Dados para Ke Alternativo'!$A:$B,2,0)</f>
        <v>17.649999999999999</v>
      </c>
      <c r="C39" s="294">
        <f t="shared" si="1"/>
        <v>5.5622009569378017E-2</v>
      </c>
      <c r="D39" s="296">
        <f>VLOOKUP(A39,'Dados para Ke Alternativo'!$P:$Q,2,0)</f>
        <v>5.6417999999999999</v>
      </c>
      <c r="E39" s="296">
        <f t="shared" si="0"/>
        <v>3.1284341876706012</v>
      </c>
      <c r="F39" s="294">
        <f t="shared" si="2"/>
        <v>4.7538973869176271E-2</v>
      </c>
      <c r="G39" s="296">
        <f>VLOOKUP($A39,'Dados para Ke Alternativo'!$I:$J,2,0)</f>
        <v>2783.7</v>
      </c>
      <c r="H39" s="294">
        <f t="shared" si="3"/>
        <v>2.0825769827387042E-2</v>
      </c>
      <c r="I39" s="297">
        <f>VLOOKUP(A39,'Dados para Ke Alternativo'!$W:$X,2,0)</f>
        <v>110335</v>
      </c>
      <c r="J39" s="294">
        <f t="shared" si="4"/>
        <v>2.7264052346980261E-3</v>
      </c>
    </row>
    <row r="40" spans="1:10" x14ac:dyDescent="0.3">
      <c r="A40" s="167">
        <v>44257</v>
      </c>
      <c r="B40" s="219">
        <f>VLOOKUP('Ke Alternativo'!A40,'Dados para Ke Alternativo'!$A:$B,2,0)</f>
        <v>17.13</v>
      </c>
      <c r="C40" s="294">
        <f t="shared" si="1"/>
        <v>-2.9461756373937664E-2</v>
      </c>
      <c r="D40" s="296">
        <f>VLOOKUP(A40,'Dados para Ke Alternativo'!$P:$Q,2,0)</f>
        <v>5.6760999999999999</v>
      </c>
      <c r="E40" s="296">
        <f t="shared" si="0"/>
        <v>3.0179172319021861</v>
      </c>
      <c r="F40" s="294">
        <f t="shared" si="2"/>
        <v>-3.5326604025736286E-2</v>
      </c>
      <c r="G40" s="296">
        <f>VLOOKUP($A40,'Dados para Ke Alternativo'!$I:$J,2,0)</f>
        <v>2768.25</v>
      </c>
      <c r="H40" s="294">
        <f t="shared" si="3"/>
        <v>-5.550167043862464E-3</v>
      </c>
      <c r="I40" s="297">
        <f>VLOOKUP(A40,'Dados para Ke Alternativo'!$W:$X,2,0)</f>
        <v>111540</v>
      </c>
      <c r="J40" s="294">
        <f t="shared" si="4"/>
        <v>1.0921285176961115E-2</v>
      </c>
    </row>
    <row r="41" spans="1:10" x14ac:dyDescent="0.3">
      <c r="A41" s="168">
        <v>44258</v>
      </c>
      <c r="B41" s="219">
        <f>VLOOKUP('Ke Alternativo'!A41,'Dados para Ke Alternativo'!$A:$B,2,0)</f>
        <v>17.920000000000002</v>
      </c>
      <c r="C41" s="294">
        <f t="shared" si="1"/>
        <v>4.6117921774664561E-2</v>
      </c>
      <c r="D41" s="296">
        <f>VLOOKUP(A41,'Dados para Ke Alternativo'!$P:$Q,2,0)</f>
        <v>5.6193</v>
      </c>
      <c r="E41" s="296">
        <f t="shared" si="0"/>
        <v>3.1890093072090835</v>
      </c>
      <c r="F41" s="294">
        <f t="shared" si="2"/>
        <v>5.6692103248656256E-2</v>
      </c>
      <c r="G41" s="296">
        <f>VLOOKUP($A41,'Dados para Ke Alternativo'!$I:$J,2,0)</f>
        <v>2741.68</v>
      </c>
      <c r="H41" s="294">
        <f t="shared" si="3"/>
        <v>-9.5981215569403977E-3</v>
      </c>
      <c r="I41" s="297">
        <f>VLOOKUP(A41,'Dados para Ke Alternativo'!$W:$X,2,0)</f>
        <v>111184</v>
      </c>
      <c r="J41" s="294">
        <f t="shared" si="4"/>
        <v>-3.1916801147570117E-3</v>
      </c>
    </row>
    <row r="42" spans="1:10" x14ac:dyDescent="0.3">
      <c r="A42" s="167">
        <v>44259</v>
      </c>
      <c r="B42" s="219">
        <f>VLOOKUP('Ke Alternativo'!A42,'Dados para Ke Alternativo'!$A:$B,2,0)</f>
        <v>18.600000000000001</v>
      </c>
      <c r="C42" s="294">
        <f t="shared" si="1"/>
        <v>3.7946428571428603E-2</v>
      </c>
      <c r="D42" s="296">
        <f>VLOOKUP(A42,'Dados para Ke Alternativo'!$P:$Q,2,0)</f>
        <v>5.6692999999999998</v>
      </c>
      <c r="E42" s="296">
        <f t="shared" si="0"/>
        <v>3.2808283209567324</v>
      </c>
      <c r="F42" s="294">
        <f t="shared" si="2"/>
        <v>2.8792331693759055E-2</v>
      </c>
      <c r="G42" s="296">
        <f>VLOOKUP($A42,'Dados para Ke Alternativo'!$I:$J,2,0)</f>
        <v>2706.48</v>
      </c>
      <c r="H42" s="294">
        <f t="shared" si="3"/>
        <v>-1.2838843336932082E-2</v>
      </c>
      <c r="I42" s="297">
        <f>VLOOKUP(A42,'Dados para Ke Alternativo'!$W:$X,2,0)</f>
        <v>112690</v>
      </c>
      <c r="J42" s="294">
        <f t="shared" si="4"/>
        <v>1.354511440495032E-2</v>
      </c>
    </row>
    <row r="43" spans="1:10" x14ac:dyDescent="0.3">
      <c r="A43" s="168">
        <v>44260</v>
      </c>
      <c r="B43" s="219">
        <f>VLOOKUP('Ke Alternativo'!A43,'Dados para Ke Alternativo'!$A:$B,2,0)</f>
        <v>20.010000000000002</v>
      </c>
      <c r="C43" s="294">
        <f t="shared" si="1"/>
        <v>7.5806451612903336E-2</v>
      </c>
      <c r="D43" s="296">
        <f>VLOOKUP(A43,'Dados para Ke Alternativo'!$P:$Q,2,0)</f>
        <v>5.6908000000000003</v>
      </c>
      <c r="E43" s="296">
        <f t="shared" si="0"/>
        <v>3.5162015885288538</v>
      </c>
      <c r="F43" s="294">
        <f t="shared" si="2"/>
        <v>7.1742025045517632E-2</v>
      </c>
      <c r="G43" s="296">
        <f>VLOOKUP($A43,'Dados para Ke Alternativo'!$I:$J,2,0)</f>
        <v>2728.56</v>
      </c>
      <c r="H43" s="294">
        <f t="shared" si="3"/>
        <v>8.1581981023322037E-3</v>
      </c>
      <c r="I43" s="297">
        <f>VLOOKUP(A43,'Dados para Ke Alternativo'!$W:$X,2,0)</f>
        <v>115202</v>
      </c>
      <c r="J43" s="294">
        <f t="shared" si="4"/>
        <v>2.2291241458869404E-2</v>
      </c>
    </row>
    <row r="44" spans="1:10" x14ac:dyDescent="0.3">
      <c r="A44" s="167">
        <v>44263</v>
      </c>
      <c r="B44" s="219">
        <f>VLOOKUP('Ke Alternativo'!A44,'Dados para Ke Alternativo'!$A:$B,2,0)</f>
        <v>19</v>
      </c>
      <c r="C44" s="294">
        <f t="shared" si="1"/>
        <v>-5.0474762618690772E-2</v>
      </c>
      <c r="D44" s="296">
        <f>VLOOKUP(A44,'Dados para Ke Alternativo'!$P:$Q,2,0)</f>
        <v>5.8754999999999997</v>
      </c>
      <c r="E44" s="296">
        <f t="shared" si="0"/>
        <v>3.2337673389498769</v>
      </c>
      <c r="F44" s="294">
        <f t="shared" si="2"/>
        <v>-8.03236795354344E-2</v>
      </c>
      <c r="G44" s="296">
        <f>VLOOKUP($A44,'Dados para Ke Alternativo'!$I:$J,2,0)</f>
        <v>2722.64</v>
      </c>
      <c r="H44" s="294">
        <f t="shared" si="3"/>
        <v>-2.169642595361676E-3</v>
      </c>
      <c r="I44" s="297">
        <f>VLOOKUP(A44,'Dados para Ke Alternativo'!$W:$X,2,0)</f>
        <v>110612</v>
      </c>
      <c r="J44" s="294">
        <f t="shared" si="4"/>
        <v>-3.9843058280238153E-2</v>
      </c>
    </row>
    <row r="45" spans="1:10" x14ac:dyDescent="0.3">
      <c r="A45" s="168">
        <v>44264</v>
      </c>
      <c r="B45" s="219">
        <f>VLOOKUP('Ke Alternativo'!A45,'Dados para Ke Alternativo'!$A:$B,2,0)</f>
        <v>19.75</v>
      </c>
      <c r="C45" s="294">
        <f t="shared" si="1"/>
        <v>3.9473684210526327E-2</v>
      </c>
      <c r="D45" s="296">
        <f>VLOOKUP(A45,'Dados para Ke Alternativo'!$P:$Q,2,0)</f>
        <v>5.8025000000000002</v>
      </c>
      <c r="E45" s="296">
        <f t="shared" si="0"/>
        <v>3.4037052994398964</v>
      </c>
      <c r="F45" s="294">
        <f t="shared" si="2"/>
        <v>5.2551078255742567E-2</v>
      </c>
      <c r="G45" s="296">
        <f>VLOOKUP($A45,'Dados para Ke Alternativo'!$I:$J,2,0)</f>
        <v>2761.82</v>
      </c>
      <c r="H45" s="294">
        <f t="shared" si="3"/>
        <v>1.4390444568507244E-2</v>
      </c>
      <c r="I45" s="297">
        <f>VLOOKUP(A45,'Dados para Ke Alternativo'!$W:$X,2,0)</f>
        <v>111331</v>
      </c>
      <c r="J45" s="294">
        <f t="shared" si="4"/>
        <v>6.5001988934292321E-3</v>
      </c>
    </row>
    <row r="46" spans="1:10" x14ac:dyDescent="0.3">
      <c r="A46" s="167">
        <v>44265</v>
      </c>
      <c r="B46" s="219">
        <f>VLOOKUP('Ke Alternativo'!A46,'Dados para Ke Alternativo'!$A:$B,2,0)</f>
        <v>18.88</v>
      </c>
      <c r="C46" s="294">
        <f t="shared" si="1"/>
        <v>-4.405063291139244E-2</v>
      </c>
      <c r="D46" s="296">
        <f>VLOOKUP(A46,'Dados para Ke Alternativo'!$P:$Q,2,0)</f>
        <v>5.6719999999999997</v>
      </c>
      <c r="E46" s="296">
        <f t="shared" si="0"/>
        <v>3.3286318758815234</v>
      </c>
      <c r="F46" s="294">
        <f t="shared" si="2"/>
        <v>-2.2056381782149859E-2</v>
      </c>
      <c r="G46" s="296">
        <f>VLOOKUP($A46,'Dados para Ke Alternativo'!$I:$J,2,0)</f>
        <v>2775.34</v>
      </c>
      <c r="H46" s="294">
        <f t="shared" si="3"/>
        <v>4.8953226495571656E-3</v>
      </c>
      <c r="I46" s="297">
        <f>VLOOKUP(A46,'Dados para Ke Alternativo'!$W:$X,2,0)</f>
        <v>112776</v>
      </c>
      <c r="J46" s="294">
        <f t="shared" si="4"/>
        <v>1.297931393771723E-2</v>
      </c>
    </row>
    <row r="47" spans="1:10" x14ac:dyDescent="0.3">
      <c r="A47" s="168">
        <v>44266</v>
      </c>
      <c r="B47" s="219">
        <f>VLOOKUP('Ke Alternativo'!A47,'Dados para Ke Alternativo'!$A:$B,2,0)</f>
        <v>18.57</v>
      </c>
      <c r="C47" s="294">
        <f t="shared" si="1"/>
        <v>-1.6419491525423657E-2</v>
      </c>
      <c r="D47" s="296">
        <f>VLOOKUP(A47,'Dados para Ke Alternativo'!$P:$Q,2,0)</f>
        <v>5.5357000000000003</v>
      </c>
      <c r="E47" s="296">
        <f t="shared" si="0"/>
        <v>3.354589302165941</v>
      </c>
      <c r="F47" s="294">
        <f t="shared" si="2"/>
        <v>7.7982267947678263E-3</v>
      </c>
      <c r="G47" s="296">
        <f>VLOOKUP($A47,'Dados para Ke Alternativo'!$I:$J,2,0)</f>
        <v>2806.07</v>
      </c>
      <c r="H47" s="294">
        <f t="shared" si="3"/>
        <v>1.1072517241130786E-2</v>
      </c>
      <c r="I47" s="297">
        <f>VLOOKUP(A47,'Dados para Ke Alternativo'!$W:$X,2,0)</f>
        <v>114984</v>
      </c>
      <c r="J47" s="294">
        <f t="shared" si="4"/>
        <v>1.9578633751862196E-2</v>
      </c>
    </row>
    <row r="48" spans="1:10" x14ac:dyDescent="0.3">
      <c r="A48" s="167">
        <v>44267</v>
      </c>
      <c r="B48" s="219">
        <f>VLOOKUP('Ke Alternativo'!A48,'Dados para Ke Alternativo'!$A:$B,2,0)</f>
        <v>18.7</v>
      </c>
      <c r="C48" s="294">
        <f t="shared" si="1"/>
        <v>7.0005385029616729E-3</v>
      </c>
      <c r="D48" s="296">
        <f>VLOOKUP(A48,'Dados para Ke Alternativo'!$P:$Q,2,0)</f>
        <v>5.5518000000000001</v>
      </c>
      <c r="E48" s="296">
        <f t="shared" si="0"/>
        <v>3.3682769552217295</v>
      </c>
      <c r="F48" s="294">
        <f t="shared" si="2"/>
        <v>4.0802768454997196E-3</v>
      </c>
      <c r="G48" s="296">
        <f>VLOOKUP($A48,'Dados para Ke Alternativo'!$I:$J,2,0)</f>
        <v>2807.21</v>
      </c>
      <c r="H48" s="294">
        <f t="shared" si="3"/>
        <v>4.0626213886318929E-4</v>
      </c>
      <c r="I48" s="297">
        <f>VLOOKUP(A48,'Dados para Ke Alternativo'!$W:$X,2,0)</f>
        <v>114160</v>
      </c>
      <c r="J48" s="294">
        <f t="shared" si="4"/>
        <v>-7.1662144298336727E-3</v>
      </c>
    </row>
    <row r="49" spans="1:10" x14ac:dyDescent="0.3">
      <c r="A49" s="168">
        <v>44270</v>
      </c>
      <c r="B49" s="219">
        <f>VLOOKUP('Ke Alternativo'!A49,'Dados para Ke Alternativo'!$A:$B,2,0)</f>
        <v>18.16</v>
      </c>
      <c r="C49" s="294">
        <f t="shared" si="1"/>
        <v>-2.8877005347593521E-2</v>
      </c>
      <c r="D49" s="296">
        <f>VLOOKUP(A49,'Dados para Ke Alternativo'!$P:$Q,2,0)</f>
        <v>5.6155999999999997</v>
      </c>
      <c r="E49" s="296">
        <f t="shared" si="0"/>
        <v>3.2338485647125865</v>
      </c>
      <c r="F49" s="294">
        <f t="shared" si="2"/>
        <v>-3.9910135744848141E-2</v>
      </c>
      <c r="G49" s="296">
        <f>VLOOKUP($A49,'Dados para Ke Alternativo'!$I:$J,2,0)</f>
        <v>2821.85</v>
      </c>
      <c r="H49" s="294">
        <f t="shared" si="3"/>
        <v>5.2151424367965493E-3</v>
      </c>
      <c r="I49" s="297">
        <f>VLOOKUP(A49,'Dados para Ke Alternativo'!$W:$X,2,0)</f>
        <v>114851</v>
      </c>
      <c r="J49" s="294">
        <f t="shared" si="4"/>
        <v>6.0529081990188249E-3</v>
      </c>
    </row>
    <row r="50" spans="1:10" x14ac:dyDescent="0.3">
      <c r="A50" s="167">
        <v>44271</v>
      </c>
      <c r="B50" s="219">
        <f>VLOOKUP('Ke Alternativo'!A50,'Dados para Ke Alternativo'!$A:$B,2,0)</f>
        <v>18.2</v>
      </c>
      <c r="C50" s="294">
        <f t="shared" si="1"/>
        <v>2.2026431718060735E-3</v>
      </c>
      <c r="D50" s="296">
        <f>VLOOKUP(A50,'Dados para Ke Alternativo'!$P:$Q,2,0)</f>
        <v>5.6246</v>
      </c>
      <c r="E50" s="296">
        <f t="shared" si="0"/>
        <v>3.2357856558688618</v>
      </c>
      <c r="F50" s="294">
        <f t="shared" si="2"/>
        <v>5.990049062323255E-4</v>
      </c>
      <c r="G50" s="296">
        <f>VLOOKUP($A50,'Dados para Ke Alternativo'!$I:$J,2,0)</f>
        <v>2823.69</v>
      </c>
      <c r="H50" s="294">
        <f t="shared" si="3"/>
        <v>6.5205450325156455E-4</v>
      </c>
      <c r="I50" s="297">
        <f>VLOOKUP(A50,'Dados para Ke Alternativo'!$W:$X,2,0)</f>
        <v>114019</v>
      </c>
      <c r="J50" s="294">
        <f t="shared" si="4"/>
        <v>-7.2441685314015292E-3</v>
      </c>
    </row>
    <row r="51" spans="1:10" x14ac:dyDescent="0.3">
      <c r="A51" s="168">
        <v>44272</v>
      </c>
      <c r="B51" s="219">
        <f>VLOOKUP('Ke Alternativo'!A51,'Dados para Ke Alternativo'!$A:$B,2,0)</f>
        <v>19.3</v>
      </c>
      <c r="C51" s="294">
        <f t="shared" si="1"/>
        <v>6.0439560439560447E-2</v>
      </c>
      <c r="D51" s="296">
        <f>VLOOKUP(A51,'Dados para Ke Alternativo'!$P:$Q,2,0)</f>
        <v>5.5831999999999997</v>
      </c>
      <c r="E51" s="296">
        <f t="shared" si="0"/>
        <v>3.4567989683335725</v>
      </c>
      <c r="F51" s="294">
        <f t="shared" si="2"/>
        <v>6.830282842247315E-2</v>
      </c>
      <c r="G51" s="296">
        <f>VLOOKUP($A51,'Dados para Ke Alternativo'!$I:$J,2,0)</f>
        <v>2826.79</v>
      </c>
      <c r="H51" s="294">
        <f t="shared" si="3"/>
        <v>1.0978542262074509E-3</v>
      </c>
      <c r="I51" s="297">
        <f>VLOOKUP(A51,'Dados para Ke Alternativo'!$W:$X,2,0)</f>
        <v>116549</v>
      </c>
      <c r="J51" s="294">
        <f t="shared" si="4"/>
        <v>2.2189284242100094E-2</v>
      </c>
    </row>
    <row r="52" spans="1:10" x14ac:dyDescent="0.3">
      <c r="A52" s="167">
        <v>44273</v>
      </c>
      <c r="B52" s="219">
        <f>VLOOKUP('Ke Alternativo'!A52,'Dados para Ke Alternativo'!$A:$B,2,0)</f>
        <v>17.64</v>
      </c>
      <c r="C52" s="294">
        <f t="shared" si="1"/>
        <v>-8.6010362694300513E-2</v>
      </c>
      <c r="D52" s="296">
        <f>VLOOKUP(A52,'Dados para Ke Alternativo'!$P:$Q,2,0)</f>
        <v>5.5603999999999996</v>
      </c>
      <c r="E52" s="296">
        <f t="shared" si="0"/>
        <v>3.1724336378677798</v>
      </c>
      <c r="F52" s="294">
        <f t="shared" si="2"/>
        <v>-8.2262617256819381E-2</v>
      </c>
      <c r="G52" s="296">
        <f>VLOOKUP($A52,'Dados para Ke Alternativo'!$I:$J,2,0)</f>
        <v>2802.27</v>
      </c>
      <c r="H52" s="294">
        <f t="shared" si="3"/>
        <v>-8.674149830726674E-3</v>
      </c>
      <c r="I52" s="297">
        <f>VLOOKUP(A52,'Dados para Ke Alternativo'!$W:$X,2,0)</f>
        <v>114835</v>
      </c>
      <c r="J52" s="294">
        <f t="shared" si="4"/>
        <v>-1.4706260885979261E-2</v>
      </c>
    </row>
    <row r="53" spans="1:10" x14ac:dyDescent="0.3">
      <c r="A53" s="168">
        <v>44274</v>
      </c>
      <c r="B53" s="219">
        <f>VLOOKUP('Ke Alternativo'!A53,'Dados para Ke Alternativo'!$A:$B,2,0)</f>
        <v>18.79</v>
      </c>
      <c r="C53" s="294">
        <f t="shared" si="1"/>
        <v>6.5192743764172167E-2</v>
      </c>
      <c r="D53" s="296">
        <f>VLOOKUP(A53,'Dados para Ke Alternativo'!$P:$Q,2,0)</f>
        <v>5.4916999999999998</v>
      </c>
      <c r="E53" s="296">
        <f t="shared" si="0"/>
        <v>3.4215270317023871</v>
      </c>
      <c r="F53" s="294">
        <f t="shared" si="2"/>
        <v>7.8518078632536792E-2</v>
      </c>
      <c r="G53" s="296">
        <f>VLOOKUP($A53,'Dados para Ke Alternativo'!$I:$J,2,0)</f>
        <v>2796.14</v>
      </c>
      <c r="H53" s="294">
        <f t="shared" si="3"/>
        <v>-2.1875122668408853E-3</v>
      </c>
      <c r="I53" s="297">
        <f>VLOOKUP(A53,'Dados para Ke Alternativo'!$W:$X,2,0)</f>
        <v>116222</v>
      </c>
      <c r="J53" s="294">
        <f t="shared" si="4"/>
        <v>1.2078199155309832E-2</v>
      </c>
    </row>
    <row r="54" spans="1:10" x14ac:dyDescent="0.3">
      <c r="A54" s="167">
        <v>44277</v>
      </c>
      <c r="B54" s="219">
        <f>VLOOKUP('Ke Alternativo'!A54,'Dados para Ke Alternativo'!$A:$B,2,0)</f>
        <v>18.11</v>
      </c>
      <c r="C54" s="294">
        <f t="shared" si="1"/>
        <v>-3.6189462480042511E-2</v>
      </c>
      <c r="D54" s="296">
        <f>VLOOKUP(A54,'Dados para Ke Alternativo'!$P:$Q,2,0)</f>
        <v>5.5045000000000002</v>
      </c>
      <c r="E54" s="296">
        <f t="shared" si="0"/>
        <v>3.2900354255609043</v>
      </c>
      <c r="F54" s="294">
        <f t="shared" si="2"/>
        <v>-3.8430678735879797E-2</v>
      </c>
      <c r="G54" s="296">
        <f>VLOOKUP($A54,'Dados para Ke Alternativo'!$I:$J,2,0)</f>
        <v>2809.65</v>
      </c>
      <c r="H54" s="294">
        <f t="shared" si="3"/>
        <v>4.8316607895171337E-3</v>
      </c>
      <c r="I54" s="297">
        <f>VLOOKUP(A54,'Dados para Ke Alternativo'!$W:$X,2,0)</f>
        <v>114979</v>
      </c>
      <c r="J54" s="294">
        <f t="shared" si="4"/>
        <v>-1.0695049130113099E-2</v>
      </c>
    </row>
    <row r="55" spans="1:10" x14ac:dyDescent="0.3">
      <c r="A55" s="168">
        <v>44278</v>
      </c>
      <c r="B55" s="219">
        <f>VLOOKUP('Ke Alternativo'!A55,'Dados para Ke Alternativo'!$A:$B,2,0)</f>
        <v>17.41</v>
      </c>
      <c r="C55" s="294">
        <f t="shared" si="1"/>
        <v>-3.8652678078409664E-2</v>
      </c>
      <c r="D55" s="296">
        <f>VLOOKUP(A55,'Dados para Ke Alternativo'!$P:$Q,2,0)</f>
        <v>5.5213999999999999</v>
      </c>
      <c r="E55" s="296">
        <f t="shared" si="0"/>
        <v>3.1531857862136414</v>
      </c>
      <c r="F55" s="294">
        <f t="shared" si="2"/>
        <v>-4.1595187177637105E-2</v>
      </c>
      <c r="G55" s="296">
        <f>VLOOKUP($A55,'Dados para Ke Alternativo'!$I:$J,2,0)</f>
        <v>2788.01</v>
      </c>
      <c r="H55" s="294">
        <f t="shared" si="3"/>
        <v>-7.7020269428575983E-3</v>
      </c>
      <c r="I55" s="297">
        <f>VLOOKUP(A55,'Dados para Ke Alternativo'!$W:$X,2,0)</f>
        <v>113262</v>
      </c>
      <c r="J55" s="294">
        <f t="shared" si="4"/>
        <v>-1.4933161707790132E-2</v>
      </c>
    </row>
    <row r="56" spans="1:10" x14ac:dyDescent="0.3">
      <c r="A56" s="167">
        <v>44279</v>
      </c>
      <c r="B56" s="219">
        <f>VLOOKUP('Ke Alternativo'!A56,'Dados para Ke Alternativo'!$A:$B,2,0)</f>
        <v>17.600000000000001</v>
      </c>
      <c r="C56" s="294">
        <f t="shared" si="1"/>
        <v>1.0913268236645735E-2</v>
      </c>
      <c r="D56" s="296">
        <f>VLOOKUP(A56,'Dados para Ke Alternativo'!$P:$Q,2,0)</f>
        <v>5.6208999999999998</v>
      </c>
      <c r="E56" s="296">
        <f t="shared" si="0"/>
        <v>3.1311711647600924</v>
      </c>
      <c r="F56" s="294">
        <f t="shared" si="2"/>
        <v>-6.9817076906160125E-3</v>
      </c>
      <c r="G56" s="296">
        <f>VLOOKUP($A56,'Dados para Ke Alternativo'!$I:$J,2,0)</f>
        <v>2767.26</v>
      </c>
      <c r="H56" s="294">
        <f t="shared" si="3"/>
        <v>-7.4425844957514142E-3</v>
      </c>
      <c r="I56" s="297">
        <f>VLOOKUP(A56,'Dados para Ke Alternativo'!$W:$X,2,0)</f>
        <v>112064</v>
      </c>
      <c r="J56" s="294">
        <f t="shared" si="4"/>
        <v>-1.0577245678162095E-2</v>
      </c>
    </row>
    <row r="57" spans="1:10" x14ac:dyDescent="0.3">
      <c r="A57" s="168">
        <v>44280</v>
      </c>
      <c r="B57" s="219">
        <f>VLOOKUP('Ke Alternativo'!A57,'Dados para Ke Alternativo'!$A:$B,2,0)</f>
        <v>17.88</v>
      </c>
      <c r="C57" s="294">
        <f t="shared" si="1"/>
        <v>1.5909090909090873E-2</v>
      </c>
      <c r="D57" s="296">
        <f>VLOOKUP(A57,'Dados para Ke Alternativo'!$P:$Q,2,0)</f>
        <v>5.6475</v>
      </c>
      <c r="E57" s="296">
        <f t="shared" si="0"/>
        <v>3.1660026560424965</v>
      </c>
      <c r="F57" s="294">
        <f t="shared" si="2"/>
        <v>1.1124109622117295E-2</v>
      </c>
      <c r="G57" s="296">
        <f>VLOOKUP($A57,'Dados para Ke Alternativo'!$I:$J,2,0)</f>
        <v>2775.05</v>
      </c>
      <c r="H57" s="294">
        <f t="shared" si="3"/>
        <v>2.8150589391673364E-3</v>
      </c>
      <c r="I57" s="297">
        <f>VLOOKUP(A57,'Dados para Ke Alternativo'!$W:$X,2,0)</f>
        <v>113750</v>
      </c>
      <c r="J57" s="294">
        <f t="shared" si="4"/>
        <v>1.5044974300399749E-2</v>
      </c>
    </row>
    <row r="58" spans="1:10" x14ac:dyDescent="0.3">
      <c r="A58" s="167">
        <v>44281</v>
      </c>
      <c r="B58" s="219">
        <f>VLOOKUP('Ke Alternativo'!A58,'Dados para Ke Alternativo'!$A:$B,2,0)</f>
        <v>18.5</v>
      </c>
      <c r="C58" s="294">
        <f t="shared" si="1"/>
        <v>3.4675615212528044E-2</v>
      </c>
      <c r="D58" s="296">
        <f>VLOOKUP(A58,'Dados para Ke Alternativo'!$P:$Q,2,0)</f>
        <v>5.7565999999999997</v>
      </c>
      <c r="E58" s="296">
        <f t="shared" si="0"/>
        <v>3.2137025327450233</v>
      </c>
      <c r="F58" s="294">
        <f t="shared" si="2"/>
        <v>1.5066278169883596E-2</v>
      </c>
      <c r="G58" s="296">
        <f>VLOOKUP($A58,'Dados para Ke Alternativo'!$I:$J,2,0)</f>
        <v>2814.86</v>
      </c>
      <c r="H58" s="294">
        <f t="shared" si="3"/>
        <v>1.4345687465090684E-2</v>
      </c>
      <c r="I58" s="297">
        <f>VLOOKUP(A58,'Dados para Ke Alternativo'!$W:$X,2,0)</f>
        <v>114781</v>
      </c>
      <c r="J58" s="294">
        <f t="shared" si="4"/>
        <v>9.063736263736244E-3</v>
      </c>
    </row>
    <row r="59" spans="1:10" x14ac:dyDescent="0.3">
      <c r="A59" s="168">
        <v>44284</v>
      </c>
      <c r="B59" s="219">
        <f>VLOOKUP('Ke Alternativo'!A59,'Dados para Ke Alternativo'!$A:$B,2,0)</f>
        <v>18.88</v>
      </c>
      <c r="C59" s="294">
        <f t="shared" si="1"/>
        <v>2.0540540540540553E-2</v>
      </c>
      <c r="D59" s="296">
        <f>VLOOKUP(A59,'Dados para Ke Alternativo'!$P:$Q,2,0)</f>
        <v>5.7798999999999996</v>
      </c>
      <c r="E59" s="296">
        <f t="shared" si="0"/>
        <v>3.2664924998702398</v>
      </c>
      <c r="F59" s="294">
        <f t="shared" si="2"/>
        <v>1.6426525662325497E-2</v>
      </c>
      <c r="G59" s="296">
        <f>VLOOKUP($A59,'Dados para Ke Alternativo'!$I:$J,2,0)</f>
        <v>2811.53</v>
      </c>
      <c r="H59" s="294">
        <f t="shared" si="3"/>
        <v>-1.1830073254086582E-3</v>
      </c>
      <c r="I59" s="297">
        <f>VLOOKUP(A59,'Dados para Ke Alternativo'!$W:$X,2,0)</f>
        <v>115419</v>
      </c>
      <c r="J59" s="294">
        <f t="shared" si="4"/>
        <v>5.5584112353088688E-3</v>
      </c>
    </row>
    <row r="60" spans="1:10" x14ac:dyDescent="0.3">
      <c r="A60" s="167">
        <v>44285</v>
      </c>
      <c r="B60" s="219">
        <f>VLOOKUP('Ke Alternativo'!A60,'Dados para Ke Alternativo'!$A:$B,2,0)</f>
        <v>18.45</v>
      </c>
      <c r="C60" s="294">
        <f t="shared" si="1"/>
        <v>-2.2775423728813582E-2</v>
      </c>
      <c r="D60" s="296">
        <f>VLOOKUP(A60,'Dados para Ke Alternativo'!$P:$Q,2,0)</f>
        <v>5.7744999999999997</v>
      </c>
      <c r="E60" s="296">
        <f t="shared" si="0"/>
        <v>3.1950818252662567</v>
      </c>
      <c r="F60" s="294">
        <f t="shared" si="2"/>
        <v>-2.186157617285811E-2</v>
      </c>
      <c r="G60" s="296">
        <f>VLOOKUP($A60,'Dados para Ke Alternativo'!$I:$J,2,0)</f>
        <v>2805.1</v>
      </c>
      <c r="H60" s="294">
        <f t="shared" si="3"/>
        <v>-2.2870109869004285E-3</v>
      </c>
      <c r="I60" s="297">
        <f>VLOOKUP(A60,'Dados para Ke Alternativo'!$W:$X,2,0)</f>
        <v>116850</v>
      </c>
      <c r="J60" s="294">
        <f t="shared" si="4"/>
        <v>1.2398305305019175E-2</v>
      </c>
    </row>
    <row r="61" spans="1:10" x14ac:dyDescent="0.3">
      <c r="A61" s="168">
        <v>44286</v>
      </c>
      <c r="B61" s="219">
        <f>VLOOKUP('Ke Alternativo'!A61,'Dados para Ke Alternativo'!$A:$B,2,0)</f>
        <v>18.46</v>
      </c>
      <c r="C61" s="294">
        <f t="shared" si="1"/>
        <v>5.420054200542257E-4</v>
      </c>
      <c r="D61" s="296">
        <f>VLOOKUP(A61,'Dados para Ke Alternativo'!$P:$Q,2,0)</f>
        <v>5.6315</v>
      </c>
      <c r="E61" s="296">
        <f t="shared" si="0"/>
        <v>3.277989878362781</v>
      </c>
      <c r="F61" s="294">
        <f t="shared" si="2"/>
        <v>2.5948647837717109E-2</v>
      </c>
      <c r="G61" s="296">
        <f>VLOOKUP($A61,'Dados para Ke Alternativo'!$I:$J,2,0)</f>
        <v>2811.7</v>
      </c>
      <c r="H61" s="294">
        <f t="shared" si="3"/>
        <v>2.3528572956399429E-3</v>
      </c>
      <c r="I61" s="297">
        <f>VLOOKUP(A61,'Dados para Ke Alternativo'!$W:$X,2,0)</f>
        <v>116634</v>
      </c>
      <c r="J61" s="294">
        <f t="shared" si="4"/>
        <v>-1.848523748395392E-3</v>
      </c>
    </row>
    <row r="62" spans="1:10" x14ac:dyDescent="0.3">
      <c r="A62" s="167">
        <v>44287</v>
      </c>
      <c r="B62" s="219">
        <f>VLOOKUP('Ke Alternativo'!A62,'Dados para Ke Alternativo'!$A:$B,2,0)</f>
        <v>18.2</v>
      </c>
      <c r="C62" s="294">
        <f t="shared" si="1"/>
        <v>-1.4084507042253613E-2</v>
      </c>
      <c r="D62" s="296">
        <f>VLOOKUP(A62,'Dados para Ke Alternativo'!$P:$Q,2,0)</f>
        <v>5.7070999999999996</v>
      </c>
      <c r="E62" s="296">
        <f t="shared" si="0"/>
        <v>3.1890101803017297</v>
      </c>
      <c r="F62" s="294">
        <f t="shared" si="2"/>
        <v>-2.7144592071008167E-2</v>
      </c>
      <c r="G62" s="296">
        <f>VLOOKUP($A62,'Dados para Ke Alternativo'!$I:$J,2,0)</f>
        <v>2840.19</v>
      </c>
      <c r="H62" s="294">
        <f t="shared" si="3"/>
        <v>1.0132659956610057E-2</v>
      </c>
      <c r="I62" s="297">
        <f>VLOOKUP(A62,'Dados para Ke Alternativo'!$W:$X,2,0)</f>
        <v>115253</v>
      </c>
      <c r="J62" s="294">
        <f t="shared" si="4"/>
        <v>-1.1840458185434777E-2</v>
      </c>
    </row>
    <row r="63" spans="1:10" x14ac:dyDescent="0.3">
      <c r="A63" s="168">
        <v>44291</v>
      </c>
      <c r="B63" s="219">
        <f>VLOOKUP('Ke Alternativo'!A63,'Dados para Ke Alternativo'!$A:$B,2,0)</f>
        <v>18.12</v>
      </c>
      <c r="C63" s="294">
        <f t="shared" si="1"/>
        <v>-4.395604395604269E-3</v>
      </c>
      <c r="D63" s="296">
        <f>VLOOKUP(A63,'Dados para Ke Alternativo'!$P:$Q,2,0)</f>
        <v>5.6631999999999998</v>
      </c>
      <c r="E63" s="296">
        <f t="shared" si="0"/>
        <v>3.199604463907332</v>
      </c>
      <c r="F63" s="294">
        <f t="shared" si="2"/>
        <v>3.3221228552491322E-3</v>
      </c>
      <c r="G63" s="296">
        <f>VLOOKUP($A63,'Dados para Ke Alternativo'!$I:$J,2,0)</f>
        <v>2872.97</v>
      </c>
      <c r="H63" s="294">
        <f t="shared" si="3"/>
        <v>1.1541481379766738E-2</v>
      </c>
      <c r="I63" s="297">
        <f>VLOOKUP(A63,'Dados para Ke Alternativo'!$W:$X,2,0)</f>
        <v>117518</v>
      </c>
      <c r="J63" s="294">
        <f t="shared" si="4"/>
        <v>1.9652416856827948E-2</v>
      </c>
    </row>
    <row r="64" spans="1:10" x14ac:dyDescent="0.3">
      <c r="A64" s="167">
        <v>44292</v>
      </c>
      <c r="B64" s="219">
        <f>VLOOKUP('Ke Alternativo'!A64,'Dados para Ke Alternativo'!$A:$B,2,0)</f>
        <v>18.7</v>
      </c>
      <c r="C64" s="294">
        <f t="shared" si="1"/>
        <v>3.2008830022074886E-2</v>
      </c>
      <c r="D64" s="296">
        <f>VLOOKUP(A64,'Dados para Ke Alternativo'!$P:$Q,2,0)</f>
        <v>5.5903999999999998</v>
      </c>
      <c r="E64" s="296">
        <f t="shared" si="0"/>
        <v>3.3450200343445906</v>
      </c>
      <c r="F64" s="294">
        <f t="shared" si="2"/>
        <v>4.544798336094269E-2</v>
      </c>
      <c r="G64" s="296">
        <f>VLOOKUP($A64,'Dados para Ke Alternativo'!$I:$J,2,0)</f>
        <v>2876.23</v>
      </c>
      <c r="H64" s="294">
        <f t="shared" si="3"/>
        <v>1.1347142504098962E-3</v>
      </c>
      <c r="I64" s="297">
        <f>VLOOKUP(A64,'Dados para Ke Alternativo'!$W:$X,2,0)</f>
        <v>117499</v>
      </c>
      <c r="J64" s="294">
        <f t="shared" si="4"/>
        <v>-1.6167736006400535E-4</v>
      </c>
    </row>
    <row r="65" spans="1:10" x14ac:dyDescent="0.3">
      <c r="A65" s="168">
        <v>44293</v>
      </c>
      <c r="B65" s="219">
        <f>VLOOKUP('Ke Alternativo'!A65,'Dados para Ke Alternativo'!$A:$B,2,0)</f>
        <v>18.920000000000002</v>
      </c>
      <c r="C65" s="294">
        <f t="shared" si="1"/>
        <v>1.1764705882353121E-2</v>
      </c>
      <c r="D65" s="296">
        <f>VLOOKUP(A65,'Dados para Ke Alternativo'!$P:$Q,2,0)</f>
        <v>5.6143000000000001</v>
      </c>
      <c r="E65" s="296">
        <f t="shared" si="0"/>
        <v>3.3699659797303316</v>
      </c>
      <c r="F65" s="294">
        <f t="shared" si="2"/>
        <v>7.4576370633394617E-3</v>
      </c>
      <c r="G65" s="296">
        <f>VLOOKUP($A65,'Dados para Ke Alternativo'!$I:$J,2,0)</f>
        <v>2881.15</v>
      </c>
      <c r="H65" s="294">
        <f t="shared" si="3"/>
        <v>1.7105725202783972E-3</v>
      </c>
      <c r="I65" s="297">
        <f>VLOOKUP(A65,'Dados para Ke Alternativo'!$W:$X,2,0)</f>
        <v>117624</v>
      </c>
      <c r="J65" s="294">
        <f t="shared" si="4"/>
        <v>1.0638388411816635E-3</v>
      </c>
    </row>
    <row r="66" spans="1:10" x14ac:dyDescent="0.3">
      <c r="A66" s="167">
        <v>44294</v>
      </c>
      <c r="B66" s="219">
        <f>VLOOKUP('Ke Alternativo'!A66,'Dados para Ke Alternativo'!$A:$B,2,0)</f>
        <v>18.95</v>
      </c>
      <c r="C66" s="294">
        <f t="shared" si="1"/>
        <v>1.5856236786468969E-3</v>
      </c>
      <c r="D66" s="296">
        <f>VLOOKUP(A66,'Dados para Ke Alternativo'!$P:$Q,2,0)</f>
        <v>5.5720000000000001</v>
      </c>
      <c r="E66" s="296">
        <f t="shared" ref="E66:E129" si="5">B66/D66</f>
        <v>3.4009332376166546</v>
      </c>
      <c r="F66" s="294">
        <f t="shared" si="2"/>
        <v>9.1891900608447319E-3</v>
      </c>
      <c r="G66" s="296">
        <f>VLOOKUP($A66,'Dados para Ke Alternativo'!$I:$J,2,0)</f>
        <v>2895.61</v>
      </c>
      <c r="H66" s="294">
        <f t="shared" si="3"/>
        <v>5.0188292869166595E-3</v>
      </c>
      <c r="I66" s="297">
        <f>VLOOKUP(A66,'Dados para Ke Alternativo'!$W:$X,2,0)</f>
        <v>118313</v>
      </c>
      <c r="J66" s="294">
        <f t="shared" si="4"/>
        <v>5.857648099027335E-3</v>
      </c>
    </row>
    <row r="67" spans="1:10" x14ac:dyDescent="0.3">
      <c r="A67" s="168">
        <v>44295</v>
      </c>
      <c r="B67" s="219">
        <f>VLOOKUP('Ke Alternativo'!A67,'Dados para Ke Alternativo'!$A:$B,2,0)</f>
        <v>18.899999999999999</v>
      </c>
      <c r="C67" s="294">
        <f t="shared" ref="C67:C130" si="6">B67/B66-1</f>
        <v>-2.6385224274406704E-3</v>
      </c>
      <c r="D67" s="296">
        <f>VLOOKUP(A67,'Dados para Ke Alternativo'!$P:$Q,2,0)</f>
        <v>5.6821000000000002</v>
      </c>
      <c r="E67" s="296">
        <f t="shared" si="5"/>
        <v>3.3262350187430698</v>
      </c>
      <c r="F67" s="294">
        <f t="shared" ref="F67:F130" si="7">E67/E66-1</f>
        <v>-2.1964035649794988E-2</v>
      </c>
      <c r="G67" s="296">
        <f>VLOOKUP($A67,'Dados para Ke Alternativo'!$I:$J,2,0)</f>
        <v>2910.1</v>
      </c>
      <c r="H67" s="294">
        <f t="shared" ref="H67:H130" si="8">G67/G66-1</f>
        <v>5.0041269369838215E-3</v>
      </c>
      <c r="I67" s="297">
        <f>VLOOKUP(A67,'Dados para Ke Alternativo'!$W:$X,2,0)</f>
        <v>117670</v>
      </c>
      <c r="J67" s="294">
        <f t="shared" ref="J67:J130" si="9">I67/I66-1</f>
        <v>-5.4347366730621571E-3</v>
      </c>
    </row>
    <row r="68" spans="1:10" x14ac:dyDescent="0.3">
      <c r="A68" s="167">
        <v>44298</v>
      </c>
      <c r="B68" s="219">
        <f>VLOOKUP('Ke Alternativo'!A68,'Dados para Ke Alternativo'!$A:$B,2,0)</f>
        <v>19.38</v>
      </c>
      <c r="C68" s="294">
        <f t="shared" si="6"/>
        <v>2.5396825396825529E-2</v>
      </c>
      <c r="D68" s="296">
        <f>VLOOKUP(A68,'Dados para Ke Alternativo'!$P:$Q,2,0)</f>
        <v>5.7332999999999998</v>
      </c>
      <c r="E68" s="296">
        <f t="shared" si="5"/>
        <v>3.380252210768667</v>
      </c>
      <c r="F68" s="294">
        <f t="shared" si="7"/>
        <v>1.6239740042785389E-2</v>
      </c>
      <c r="G68" s="296">
        <f>VLOOKUP($A68,'Dados para Ke Alternativo'!$I:$J,2,0)</f>
        <v>2907.25</v>
      </c>
      <c r="H68" s="294">
        <f t="shared" si="8"/>
        <v>-9.7934778873576267E-4</v>
      </c>
      <c r="I68" s="297">
        <f>VLOOKUP(A68,'Dados para Ke Alternativo'!$W:$X,2,0)</f>
        <v>118812</v>
      </c>
      <c r="J68" s="294">
        <f t="shared" si="9"/>
        <v>9.7051075040366364E-3</v>
      </c>
    </row>
    <row r="69" spans="1:10" x14ac:dyDescent="0.3">
      <c r="A69" s="168">
        <v>44299</v>
      </c>
      <c r="B69" s="219">
        <f>VLOOKUP('Ke Alternativo'!A69,'Dados para Ke Alternativo'!$A:$B,2,0)</f>
        <v>20.100000000000001</v>
      </c>
      <c r="C69" s="294">
        <f t="shared" si="6"/>
        <v>3.7151702786377916E-2</v>
      </c>
      <c r="D69" s="296">
        <f>VLOOKUP(A69,'Dados para Ke Alternativo'!$P:$Q,2,0)</f>
        <v>5.7165999999999997</v>
      </c>
      <c r="E69" s="296">
        <f t="shared" si="5"/>
        <v>3.5160759892243645</v>
      </c>
      <c r="F69" s="294">
        <f t="shared" si="7"/>
        <v>4.0181551549022254E-2</v>
      </c>
      <c r="G69" s="296">
        <f>VLOOKUP($A69,'Dados para Ke Alternativo'!$I:$J,2,0)</f>
        <v>2918.19</v>
      </c>
      <c r="H69" s="294">
        <f t="shared" si="8"/>
        <v>3.763006277409886E-3</v>
      </c>
      <c r="I69" s="297">
        <f>VLOOKUP(A69,'Dados para Ke Alternativo'!$W:$X,2,0)</f>
        <v>119297</v>
      </c>
      <c r="J69" s="294">
        <f t="shared" si="9"/>
        <v>4.0820792512541448E-3</v>
      </c>
    </row>
    <row r="70" spans="1:10" x14ac:dyDescent="0.3">
      <c r="A70" s="167">
        <v>44300</v>
      </c>
      <c r="B70" s="219">
        <f>VLOOKUP('Ke Alternativo'!A70,'Dados para Ke Alternativo'!$A:$B,2,0)</f>
        <v>20.36</v>
      </c>
      <c r="C70" s="294">
        <f t="shared" si="6"/>
        <v>1.2935323383084452E-2</v>
      </c>
      <c r="D70" s="296">
        <f>VLOOKUP(A70,'Dados para Ke Alternativo'!$P:$Q,2,0)</f>
        <v>5.6525999999999996</v>
      </c>
      <c r="E70" s="296">
        <f t="shared" si="5"/>
        <v>3.6018823196405196</v>
      </c>
      <c r="F70" s="294">
        <f t="shared" si="7"/>
        <v>2.4404003405820607E-2</v>
      </c>
      <c r="G70" s="296">
        <f>VLOOKUP($A70,'Dados para Ke Alternativo'!$I:$J,2,0)</f>
        <v>2913.53</v>
      </c>
      <c r="H70" s="294">
        <f t="shared" si="8"/>
        <v>-1.5968802579681141E-3</v>
      </c>
      <c r="I70" s="297">
        <f>VLOOKUP(A70,'Dados para Ke Alternativo'!$W:$X,2,0)</f>
        <v>120295</v>
      </c>
      <c r="J70" s="294">
        <f t="shared" si="9"/>
        <v>8.3656755827892226E-3</v>
      </c>
    </row>
    <row r="71" spans="1:10" x14ac:dyDescent="0.3">
      <c r="A71" s="168">
        <v>44301</v>
      </c>
      <c r="B71" s="219">
        <f>VLOOKUP('Ke Alternativo'!A71,'Dados para Ke Alternativo'!$A:$B,2,0)</f>
        <v>19.52</v>
      </c>
      <c r="C71" s="294">
        <f t="shared" si="6"/>
        <v>-4.1257367387033339E-2</v>
      </c>
      <c r="D71" s="296">
        <f>VLOOKUP(A71,'Dados para Ke Alternativo'!$P:$Q,2,0)</f>
        <v>5.6162000000000001</v>
      </c>
      <c r="E71" s="296">
        <f t="shared" si="5"/>
        <v>3.4756596987286774</v>
      </c>
      <c r="F71" s="294">
        <f t="shared" si="7"/>
        <v>-3.5043516059247493E-2</v>
      </c>
      <c r="G71" s="296">
        <f>VLOOKUP($A71,'Dados para Ke Alternativo'!$I:$J,2,0)</f>
        <v>2941.75</v>
      </c>
      <c r="H71" s="294">
        <f t="shared" si="8"/>
        <v>9.6858450058863177E-3</v>
      </c>
      <c r="I71" s="297">
        <f>VLOOKUP(A71,'Dados para Ke Alternativo'!$W:$X,2,0)</f>
        <v>120701</v>
      </c>
      <c r="J71" s="294">
        <f t="shared" si="9"/>
        <v>3.3750363689264429E-3</v>
      </c>
    </row>
    <row r="72" spans="1:10" x14ac:dyDescent="0.3">
      <c r="A72" s="167">
        <v>44302</v>
      </c>
      <c r="B72" s="219">
        <f>VLOOKUP('Ke Alternativo'!A72,'Dados para Ke Alternativo'!$A:$B,2,0)</f>
        <v>19.63</v>
      </c>
      <c r="C72" s="294">
        <f t="shared" si="6"/>
        <v>5.6352459016393297E-3</v>
      </c>
      <c r="D72" s="296">
        <f>VLOOKUP(A72,'Dados para Ke Alternativo'!$P:$Q,2,0)</f>
        <v>5.5883000000000003</v>
      </c>
      <c r="E72" s="296">
        <f t="shared" si="5"/>
        <v>3.5126961687812033</v>
      </c>
      <c r="F72" s="294">
        <f t="shared" si="7"/>
        <v>1.0655954052714911E-2</v>
      </c>
      <c r="G72" s="296">
        <f>VLOOKUP($A72,'Dados para Ke Alternativo'!$I:$J,2,0)</f>
        <v>2953.35</v>
      </c>
      <c r="H72" s="294">
        <f t="shared" si="8"/>
        <v>3.943231069941433E-3</v>
      </c>
      <c r="I72" s="297">
        <f>VLOOKUP(A72,'Dados para Ke Alternativo'!$W:$X,2,0)</f>
        <v>121114</v>
      </c>
      <c r="J72" s="294">
        <f t="shared" si="9"/>
        <v>3.4216783622340596E-3</v>
      </c>
    </row>
    <row r="73" spans="1:10" x14ac:dyDescent="0.3">
      <c r="A73" s="168">
        <v>44305</v>
      </c>
      <c r="B73" s="219">
        <f>VLOOKUP('Ke Alternativo'!A73,'Dados para Ke Alternativo'!$A:$B,2,0)</f>
        <v>19.2</v>
      </c>
      <c r="C73" s="294">
        <f t="shared" si="6"/>
        <v>-2.1905247070809986E-2</v>
      </c>
      <c r="D73" s="296">
        <f>VLOOKUP(A73,'Dados para Ke Alternativo'!$P:$Q,2,0)</f>
        <v>5.5461</v>
      </c>
      <c r="E73" s="296">
        <f t="shared" si="5"/>
        <v>3.4618921404229996</v>
      </c>
      <c r="F73" s="294">
        <f t="shared" si="7"/>
        <v>-1.4462972576370303E-2</v>
      </c>
      <c r="G73" s="296">
        <f>VLOOKUP($A73,'Dados para Ke Alternativo'!$I:$J,2,0)</f>
        <v>2944.05</v>
      </c>
      <c r="H73" s="294">
        <f t="shared" si="8"/>
        <v>-3.1489664279545915E-3</v>
      </c>
      <c r="I73" s="297">
        <f>VLOOKUP(A73,'Dados para Ke Alternativo'!$W:$X,2,0)</f>
        <v>120934</v>
      </c>
      <c r="J73" s="294">
        <f t="shared" si="9"/>
        <v>-1.486203081394355E-3</v>
      </c>
    </row>
    <row r="74" spans="1:10" x14ac:dyDescent="0.3">
      <c r="A74" s="167">
        <v>44306</v>
      </c>
      <c r="B74" s="219">
        <f>VLOOKUP('Ke Alternativo'!A74,'Dados para Ke Alternativo'!$A:$B,2,0)</f>
        <v>18.59</v>
      </c>
      <c r="C74" s="294">
        <f t="shared" si="6"/>
        <v>-3.1770833333333304E-2</v>
      </c>
      <c r="D74" s="296">
        <f>VLOOKUP(A74,'Dados para Ke Alternativo'!$P:$Q,2,0)</f>
        <v>5.5686999999999998</v>
      </c>
      <c r="E74" s="296">
        <f t="shared" si="5"/>
        <v>3.3383015784653511</v>
      </c>
      <c r="F74" s="294">
        <f t="shared" si="7"/>
        <v>-3.5700292482985119E-2</v>
      </c>
      <c r="G74" s="296">
        <f>VLOOKUP($A74,'Dados para Ke Alternativo'!$I:$J,2,0)</f>
        <v>2915.78</v>
      </c>
      <c r="H74" s="294">
        <f t="shared" si="8"/>
        <v>-9.6024184371868992E-3</v>
      </c>
      <c r="I74" s="297">
        <f>VLOOKUP(A74,'Dados para Ke Alternativo'!$W:$X,2,0)</f>
        <v>120062</v>
      </c>
      <c r="J74" s="294">
        <f t="shared" si="9"/>
        <v>-7.2105445945722657E-3</v>
      </c>
    </row>
    <row r="75" spans="1:10" x14ac:dyDescent="0.3">
      <c r="A75" s="168">
        <v>44308</v>
      </c>
      <c r="B75" s="219">
        <f>VLOOKUP('Ke Alternativo'!A75,'Dados para Ke Alternativo'!$A:$B,2,0)</f>
        <v>18.190000000000001</v>
      </c>
      <c r="C75" s="294">
        <f t="shared" si="6"/>
        <v>-2.1516944593867549E-2</v>
      </c>
      <c r="D75" s="296">
        <f>VLOOKUP(A75,'Dados para Ke Alternativo'!$P:$Q,2,0)</f>
        <v>5.4447999999999999</v>
      </c>
      <c r="E75" s="296">
        <f t="shared" si="5"/>
        <v>3.3408022333235383</v>
      </c>
      <c r="F75" s="294">
        <f t="shared" si="7"/>
        <v>7.4907997357653855E-4</v>
      </c>
      <c r="G75" s="296">
        <f>VLOOKUP($A75,'Dados para Ke Alternativo'!$I:$J,2,0)</f>
        <v>2923.91</v>
      </c>
      <c r="H75" s="294">
        <f t="shared" si="8"/>
        <v>2.7882762073954126E-3</v>
      </c>
      <c r="I75" s="297">
        <f>VLOOKUP(A75,'Dados para Ke Alternativo'!$W:$X,2,0)</f>
        <v>119371</v>
      </c>
      <c r="J75" s="294">
        <f t="shared" si="9"/>
        <v>-5.7553597308057647E-3</v>
      </c>
    </row>
    <row r="76" spans="1:10" x14ac:dyDescent="0.3">
      <c r="A76" s="167">
        <v>44309</v>
      </c>
      <c r="B76" s="219">
        <f>VLOOKUP('Ke Alternativo'!A76,'Dados para Ke Alternativo'!$A:$B,2,0)</f>
        <v>18.37</v>
      </c>
      <c r="C76" s="294">
        <f t="shared" si="6"/>
        <v>9.8955470038482041E-3</v>
      </c>
      <c r="D76" s="296">
        <f>VLOOKUP(A76,'Dados para Ke Alternativo'!$P:$Q,2,0)</f>
        <v>5.4751000000000003</v>
      </c>
      <c r="E76" s="296">
        <f t="shared" si="5"/>
        <v>3.3551898595459444</v>
      </c>
      <c r="F76" s="294">
        <f t="shared" si="7"/>
        <v>4.3066381119163388E-3</v>
      </c>
      <c r="G76" s="296">
        <f>VLOOKUP($A76,'Dados para Ke Alternativo'!$I:$J,2,0)</f>
        <v>2946.11</v>
      </c>
      <c r="H76" s="294">
        <f t="shared" si="8"/>
        <v>7.5925729588119939E-3</v>
      </c>
      <c r="I76" s="297">
        <f>VLOOKUP(A76,'Dados para Ke Alternativo'!$W:$X,2,0)</f>
        <v>120530</v>
      </c>
      <c r="J76" s="294">
        <f t="shared" si="9"/>
        <v>9.709225858876902E-3</v>
      </c>
    </row>
    <row r="77" spans="1:10" x14ac:dyDescent="0.3">
      <c r="A77" s="168">
        <v>44312</v>
      </c>
      <c r="B77" s="219">
        <f>VLOOKUP('Ke Alternativo'!A77,'Dados para Ke Alternativo'!$A:$B,2,0)</f>
        <v>18.059999999999999</v>
      </c>
      <c r="C77" s="294">
        <f t="shared" si="6"/>
        <v>-1.6875340228633795E-2</v>
      </c>
      <c r="D77" s="296">
        <f>VLOOKUP(A77,'Dados para Ke Alternativo'!$P:$Q,2,0)</f>
        <v>5.4363999999999999</v>
      </c>
      <c r="E77" s="296">
        <f t="shared" si="5"/>
        <v>3.3220513575160031</v>
      </c>
      <c r="F77" s="294">
        <f t="shared" si="7"/>
        <v>-9.8767889202031611E-3</v>
      </c>
      <c r="G77" s="296">
        <f>VLOOKUP($A77,'Dados para Ke Alternativo'!$I:$J,2,0)</f>
        <v>2956.13</v>
      </c>
      <c r="H77" s="294">
        <f t="shared" si="8"/>
        <v>3.4010950032414833E-3</v>
      </c>
      <c r="I77" s="297">
        <f>VLOOKUP(A77,'Dados para Ke Alternativo'!$W:$X,2,0)</f>
        <v>120595</v>
      </c>
      <c r="J77" s="294">
        <f t="shared" si="9"/>
        <v>5.3928482535470224E-4</v>
      </c>
    </row>
    <row r="78" spans="1:10" x14ac:dyDescent="0.3">
      <c r="A78" s="167">
        <v>44313</v>
      </c>
      <c r="B78" s="219">
        <f>VLOOKUP('Ke Alternativo'!A78,'Dados para Ke Alternativo'!$A:$B,2,0)</f>
        <v>18.02</v>
      </c>
      <c r="C78" s="294">
        <f t="shared" si="6"/>
        <v>-2.2148394241416902E-3</v>
      </c>
      <c r="D78" s="296">
        <f>VLOOKUP(A78,'Dados para Ke Alternativo'!$P:$Q,2,0)</f>
        <v>5.4489999999999998</v>
      </c>
      <c r="E78" s="296">
        <f t="shared" si="5"/>
        <v>3.3070288126261698</v>
      </c>
      <c r="F78" s="294">
        <f t="shared" si="7"/>
        <v>-4.5220688282995303E-3</v>
      </c>
      <c r="G78" s="296">
        <f>VLOOKUP($A78,'Dados para Ke Alternativo'!$I:$J,2,0)</f>
        <v>2952.01</v>
      </c>
      <c r="H78" s="294">
        <f t="shared" si="8"/>
        <v>-1.393714078880115E-3</v>
      </c>
      <c r="I78" s="297">
        <f>VLOOKUP(A78,'Dados para Ke Alternativo'!$W:$X,2,0)</f>
        <v>119388</v>
      </c>
      <c r="J78" s="294">
        <f t="shared" si="9"/>
        <v>-1.0008706828641301E-2</v>
      </c>
    </row>
    <row r="79" spans="1:10" x14ac:dyDescent="0.3">
      <c r="A79" s="168">
        <v>44314</v>
      </c>
      <c r="B79" s="219">
        <f>VLOOKUP('Ke Alternativo'!A79,'Dados para Ke Alternativo'!$A:$B,2,0)</f>
        <v>18.45</v>
      </c>
      <c r="C79" s="294">
        <f t="shared" si="6"/>
        <v>2.3862375138734793E-2</v>
      </c>
      <c r="D79" s="296">
        <f>VLOOKUP(A79,'Dados para Ke Alternativo'!$P:$Q,2,0)</f>
        <v>5.343</v>
      </c>
      <c r="E79" s="296">
        <f t="shared" si="5"/>
        <v>3.4531162268388544</v>
      </c>
      <c r="F79" s="294">
        <f t="shared" si="7"/>
        <v>4.4174823531904384E-2</v>
      </c>
      <c r="G79" s="296">
        <f>VLOOKUP($A79,'Dados para Ke Alternativo'!$I:$J,2,0)</f>
        <v>2951.88</v>
      </c>
      <c r="H79" s="294">
        <f t="shared" si="8"/>
        <v>-4.4037791199880161E-5</v>
      </c>
      <c r="I79" s="297">
        <f>VLOOKUP(A79,'Dados para Ke Alternativo'!$W:$X,2,0)</f>
        <v>121053</v>
      </c>
      <c r="J79" s="294">
        <f t="shared" si="9"/>
        <v>1.3946125238717411E-2</v>
      </c>
    </row>
    <row r="80" spans="1:10" x14ac:dyDescent="0.3">
      <c r="A80" s="167">
        <v>44315</v>
      </c>
      <c r="B80" s="219">
        <f>VLOOKUP('Ke Alternativo'!A80,'Dados para Ke Alternativo'!$A:$B,2,0)</f>
        <v>18.52</v>
      </c>
      <c r="C80" s="294">
        <f t="shared" si="6"/>
        <v>3.7940379403793578E-3</v>
      </c>
      <c r="D80" s="296">
        <f>VLOOKUP(A80,'Dados para Ke Alternativo'!$P:$Q,2,0)</f>
        <v>5.3375000000000004</v>
      </c>
      <c r="E80" s="296">
        <f t="shared" si="5"/>
        <v>3.469789227166276</v>
      </c>
      <c r="F80" s="294">
        <f t="shared" si="7"/>
        <v>4.8283924525427402E-3</v>
      </c>
      <c r="G80" s="296">
        <f>VLOOKUP($A80,'Dados para Ke Alternativo'!$I:$J,2,0)</f>
        <v>2963.31</v>
      </c>
      <c r="H80" s="294">
        <f t="shared" si="8"/>
        <v>3.8721086223016954E-3</v>
      </c>
      <c r="I80" s="297">
        <f>VLOOKUP(A80,'Dados para Ke Alternativo'!$W:$X,2,0)</f>
        <v>120066</v>
      </c>
      <c r="J80" s="294">
        <f t="shared" si="9"/>
        <v>-8.1534534460112607E-3</v>
      </c>
    </row>
    <row r="81" spans="1:10" x14ac:dyDescent="0.3">
      <c r="A81" s="168">
        <v>44316</v>
      </c>
      <c r="B81" s="219">
        <f>VLOOKUP('Ke Alternativo'!A81,'Dados para Ke Alternativo'!$A:$B,2,0)</f>
        <v>18.32</v>
      </c>
      <c r="C81" s="294">
        <f t="shared" si="6"/>
        <v>-1.0799136069114423E-2</v>
      </c>
      <c r="D81" s="296">
        <f>VLOOKUP(A81,'Dados para Ke Alternativo'!$P:$Q,2,0)</f>
        <v>5.4366000000000003</v>
      </c>
      <c r="E81" s="296">
        <f t="shared" si="5"/>
        <v>3.36975315454512</v>
      </c>
      <c r="F81" s="294">
        <f t="shared" si="7"/>
        <v>-2.883059058398596E-2</v>
      </c>
      <c r="G81" s="296">
        <f>VLOOKUP($A81,'Dados para Ke Alternativo'!$I:$J,2,0)</f>
        <v>2938.76</v>
      </c>
      <c r="H81" s="294">
        <f t="shared" si="8"/>
        <v>-8.2846546598228654E-3</v>
      </c>
      <c r="I81" s="297">
        <f>VLOOKUP(A81,'Dados para Ke Alternativo'!$W:$X,2,0)</f>
        <v>118894</v>
      </c>
      <c r="J81" s="294">
        <f t="shared" si="9"/>
        <v>-9.7612979527926802E-3</v>
      </c>
    </row>
    <row r="82" spans="1:10" x14ac:dyDescent="0.3">
      <c r="A82" s="167">
        <v>44319</v>
      </c>
      <c r="B82" s="219">
        <f>VLOOKUP('Ke Alternativo'!A82,'Dados para Ke Alternativo'!$A:$B,2,0)</f>
        <v>18.37</v>
      </c>
      <c r="C82" s="294">
        <f t="shared" si="6"/>
        <v>2.7292576419213344E-3</v>
      </c>
      <c r="D82" s="296">
        <f>VLOOKUP(A82,'Dados para Ke Alternativo'!$P:$Q,2,0)</f>
        <v>5.4420000000000002</v>
      </c>
      <c r="E82" s="296">
        <f t="shared" si="5"/>
        <v>3.3755972069092248</v>
      </c>
      <c r="F82" s="294">
        <f t="shared" si="7"/>
        <v>1.7342671988369585E-3</v>
      </c>
      <c r="G82" s="296">
        <f>VLOOKUP($A82,'Dados para Ke Alternativo'!$I:$J,2,0)</f>
        <v>2948.67</v>
      </c>
      <c r="H82" s="294">
        <f t="shared" si="8"/>
        <v>3.3721705753446685E-3</v>
      </c>
      <c r="I82" s="297">
        <f>VLOOKUP(A82,'Dados para Ke Alternativo'!$W:$X,2,0)</f>
        <v>119209</v>
      </c>
      <c r="J82" s="294">
        <f t="shared" si="9"/>
        <v>2.6494188100325555E-3</v>
      </c>
    </row>
    <row r="83" spans="1:10" x14ac:dyDescent="0.3">
      <c r="A83" s="168">
        <v>44320</v>
      </c>
      <c r="B83" s="219">
        <f>VLOOKUP('Ke Alternativo'!A83,'Dados para Ke Alternativo'!$A:$B,2,0)</f>
        <v>19.05</v>
      </c>
      <c r="C83" s="294">
        <f t="shared" si="6"/>
        <v>3.7016875340228683E-2</v>
      </c>
      <c r="D83" s="296">
        <f>VLOOKUP(A83,'Dados para Ke Alternativo'!$P:$Q,2,0)</f>
        <v>5.4435000000000002</v>
      </c>
      <c r="E83" s="296">
        <f t="shared" si="5"/>
        <v>3.4995866629925598</v>
      </c>
      <c r="F83" s="294">
        <f t="shared" si="7"/>
        <v>3.6731117038949934E-2</v>
      </c>
      <c r="G83" s="296">
        <f>VLOOKUP($A83,'Dados para Ke Alternativo'!$I:$J,2,0)</f>
        <v>2922.5</v>
      </c>
      <c r="H83" s="294">
        <f t="shared" si="8"/>
        <v>-8.8751877965320691E-3</v>
      </c>
      <c r="I83" s="297">
        <f>VLOOKUP(A83,'Dados para Ke Alternativo'!$W:$X,2,0)</f>
        <v>117712</v>
      </c>
      <c r="J83" s="294">
        <f t="shared" si="9"/>
        <v>-1.2557776677935339E-2</v>
      </c>
    </row>
    <row r="84" spans="1:10" x14ac:dyDescent="0.3">
      <c r="A84" s="167">
        <v>44321</v>
      </c>
      <c r="B84" s="219">
        <f>VLOOKUP('Ke Alternativo'!A84,'Dados para Ke Alternativo'!$A:$B,2,0)</f>
        <v>19.399999999999999</v>
      </c>
      <c r="C84" s="294">
        <f t="shared" si="6"/>
        <v>1.837270341207331E-2</v>
      </c>
      <c r="D84" s="296">
        <f>VLOOKUP(A84,'Dados para Ke Alternativo'!$P:$Q,2,0)</f>
        <v>5.3541999999999996</v>
      </c>
      <c r="E84" s="296">
        <f t="shared" si="5"/>
        <v>3.6233237458443837</v>
      </c>
      <c r="F84" s="294">
        <f t="shared" si="7"/>
        <v>3.5357627847973916E-2</v>
      </c>
      <c r="G84" s="296">
        <f>VLOOKUP($A84,'Dados para Ke Alternativo'!$I:$J,2,0)</f>
        <v>2932.84</v>
      </c>
      <c r="H84" s="294">
        <f t="shared" si="8"/>
        <v>3.5380667236954988E-3</v>
      </c>
      <c r="I84" s="297">
        <f>VLOOKUP(A84,'Dados para Ke Alternativo'!$W:$X,2,0)</f>
        <v>119564</v>
      </c>
      <c r="J84" s="294">
        <f t="shared" si="9"/>
        <v>1.5733315210004095E-2</v>
      </c>
    </row>
    <row r="85" spans="1:10" x14ac:dyDescent="0.3">
      <c r="A85" s="168">
        <v>44322</v>
      </c>
      <c r="B85" s="219">
        <f>VLOOKUP('Ke Alternativo'!A85,'Dados para Ke Alternativo'!$A:$B,2,0)</f>
        <v>19.2</v>
      </c>
      <c r="C85" s="294">
        <f t="shared" si="6"/>
        <v>-1.0309278350515427E-2</v>
      </c>
      <c r="D85" s="296">
        <f>VLOOKUP(A85,'Dados para Ke Alternativo'!$P:$Q,2,0)</f>
        <v>5.2759999999999998</v>
      </c>
      <c r="E85" s="296">
        <f t="shared" si="5"/>
        <v>3.639120545868082</v>
      </c>
      <c r="F85" s="294">
        <f t="shared" si="7"/>
        <v>4.3597539529323104E-3</v>
      </c>
      <c r="G85" s="296">
        <f>VLOOKUP($A85,'Dados para Ke Alternativo'!$I:$J,2,0)</f>
        <v>2952.03</v>
      </c>
      <c r="H85" s="294">
        <f t="shared" si="8"/>
        <v>6.5431458927183161E-3</v>
      </c>
      <c r="I85" s="297">
        <f>VLOOKUP(A85,'Dados para Ke Alternativo'!$W:$X,2,0)</f>
        <v>119921</v>
      </c>
      <c r="J85" s="294">
        <f t="shared" si="9"/>
        <v>2.985848583185513E-3</v>
      </c>
    </row>
    <row r="86" spans="1:10" x14ac:dyDescent="0.3">
      <c r="A86" s="167">
        <v>44323</v>
      </c>
      <c r="B86" s="219">
        <f>VLOOKUP('Ke Alternativo'!A86,'Dados para Ke Alternativo'!$A:$B,2,0)</f>
        <v>19.21</v>
      </c>
      <c r="C86" s="294">
        <f t="shared" si="6"/>
        <v>5.2083333333330373E-4</v>
      </c>
      <c r="D86" s="296">
        <f>VLOOKUP(A86,'Dados para Ke Alternativo'!$P:$Q,2,0)</f>
        <v>5.2367999999999997</v>
      </c>
      <c r="E86" s="296">
        <f t="shared" si="5"/>
        <v>3.6682706996639172</v>
      </c>
      <c r="F86" s="294">
        <f t="shared" si="7"/>
        <v>8.0102193451472292E-3</v>
      </c>
      <c r="G86" s="296">
        <f>VLOOKUP($A86,'Dados para Ke Alternativo'!$I:$J,2,0)</f>
        <v>2979.41</v>
      </c>
      <c r="H86" s="294">
        <f t="shared" si="8"/>
        <v>9.274973492816585E-3</v>
      </c>
      <c r="I86" s="297">
        <f>VLOOKUP(A86,'Dados para Ke Alternativo'!$W:$X,2,0)</f>
        <v>122038</v>
      </c>
      <c r="J86" s="294">
        <f t="shared" si="9"/>
        <v>1.7653288414873014E-2</v>
      </c>
    </row>
    <row r="87" spans="1:10" x14ac:dyDescent="0.3">
      <c r="A87" s="168">
        <v>44326</v>
      </c>
      <c r="B87" s="219">
        <f>VLOOKUP('Ke Alternativo'!A87,'Dados para Ke Alternativo'!$A:$B,2,0)</f>
        <v>18.48</v>
      </c>
      <c r="C87" s="294">
        <f t="shared" si="6"/>
        <v>-3.8001041124414381E-2</v>
      </c>
      <c r="D87" s="296">
        <f>VLOOKUP(A87,'Dados para Ke Alternativo'!$P:$Q,2,0)</f>
        <v>5.2271999999999998</v>
      </c>
      <c r="E87" s="296">
        <f t="shared" si="5"/>
        <v>3.5353535353535355</v>
      </c>
      <c r="F87" s="294">
        <f t="shared" si="7"/>
        <v>-3.6234284542457362E-2</v>
      </c>
      <c r="G87" s="296">
        <f>VLOOKUP($A87,'Dados para Ke Alternativo'!$I:$J,2,0)</f>
        <v>2961.57</v>
      </c>
      <c r="H87" s="294">
        <f t="shared" si="8"/>
        <v>-5.9877626778455095E-3</v>
      </c>
      <c r="I87" s="297">
        <f>VLOOKUP(A87,'Dados para Ke Alternativo'!$W:$X,2,0)</f>
        <v>121909</v>
      </c>
      <c r="J87" s="294">
        <f t="shared" si="9"/>
        <v>-1.0570478047821075E-3</v>
      </c>
    </row>
    <row r="88" spans="1:10" x14ac:dyDescent="0.3">
      <c r="A88" s="167">
        <v>44327</v>
      </c>
      <c r="B88" s="219">
        <f>VLOOKUP('Ke Alternativo'!A88,'Dados para Ke Alternativo'!$A:$B,2,0)</f>
        <v>18.170000000000002</v>
      </c>
      <c r="C88" s="294">
        <f t="shared" si="6"/>
        <v>-1.6774891774891665E-2</v>
      </c>
      <c r="D88" s="296">
        <f>VLOOKUP(A88,'Dados para Ke Alternativo'!$P:$Q,2,0)</f>
        <v>5.2207999999999997</v>
      </c>
      <c r="E88" s="296">
        <f t="shared" si="5"/>
        <v>3.4803095311063443</v>
      </c>
      <c r="F88" s="294">
        <f t="shared" si="7"/>
        <v>-1.5569589772776893E-2</v>
      </c>
      <c r="G88" s="296">
        <f>VLOOKUP($A88,'Dados para Ke Alternativo'!$I:$J,2,0)</f>
        <v>2928.33</v>
      </c>
      <c r="H88" s="294">
        <f t="shared" si="8"/>
        <v>-1.1223776577963807E-2</v>
      </c>
      <c r="I88" s="297">
        <f>VLOOKUP(A88,'Dados para Ke Alternativo'!$W:$X,2,0)</f>
        <v>122964</v>
      </c>
      <c r="J88" s="294">
        <f t="shared" si="9"/>
        <v>8.6539960134197624E-3</v>
      </c>
    </row>
    <row r="89" spans="1:10" x14ac:dyDescent="0.3">
      <c r="A89" s="168">
        <v>44328</v>
      </c>
      <c r="B89" s="219">
        <f>VLOOKUP('Ke Alternativo'!A89,'Dados para Ke Alternativo'!$A:$B,2,0)</f>
        <v>17.809999999999999</v>
      </c>
      <c r="C89" s="294">
        <f t="shared" si="6"/>
        <v>-1.9812878370941256E-2</v>
      </c>
      <c r="D89" s="296">
        <f>VLOOKUP(A89,'Dados para Ke Alternativo'!$P:$Q,2,0)</f>
        <v>5.3060999999999998</v>
      </c>
      <c r="E89" s="296">
        <f t="shared" si="5"/>
        <v>3.3565142006370028</v>
      </c>
      <c r="F89" s="294">
        <f t="shared" si="7"/>
        <v>-3.5570207006843102E-2</v>
      </c>
      <c r="G89" s="296">
        <f>VLOOKUP($A89,'Dados para Ke Alternativo'!$I:$J,2,0)</f>
        <v>2876.79</v>
      </c>
      <c r="H89" s="294">
        <f t="shared" si="8"/>
        <v>-1.7600475356261081E-2</v>
      </c>
      <c r="I89" s="297">
        <f>VLOOKUP(A89,'Dados para Ke Alternativo'!$W:$X,2,0)</f>
        <v>119710</v>
      </c>
      <c r="J89" s="294">
        <f t="shared" si="9"/>
        <v>-2.6463029829868923E-2</v>
      </c>
    </row>
    <row r="90" spans="1:10" x14ac:dyDescent="0.3">
      <c r="A90" s="167">
        <v>44329</v>
      </c>
      <c r="B90" s="219">
        <f>VLOOKUP('Ke Alternativo'!A90,'Dados para Ke Alternativo'!$A:$B,2,0)</f>
        <v>17.329999999999998</v>
      </c>
      <c r="C90" s="294">
        <f t="shared" si="6"/>
        <v>-2.6951151038742349E-2</v>
      </c>
      <c r="D90" s="296">
        <f>VLOOKUP(A90,'Dados para Ke Alternativo'!$P:$Q,2,0)</f>
        <v>5.3090000000000002</v>
      </c>
      <c r="E90" s="296">
        <f t="shared" si="5"/>
        <v>3.2642682237709546</v>
      </c>
      <c r="F90" s="294">
        <f t="shared" si="7"/>
        <v>-2.7482671412068393E-2</v>
      </c>
      <c r="G90" s="296">
        <f>VLOOKUP($A90,'Dados para Ke Alternativo'!$I:$J,2,0)</f>
        <v>2892.48</v>
      </c>
      <c r="H90" s="294">
        <f t="shared" si="8"/>
        <v>5.4539955992616296E-3</v>
      </c>
      <c r="I90" s="297">
        <f>VLOOKUP(A90,'Dados para Ke Alternativo'!$W:$X,2,0)</f>
        <v>120706</v>
      </c>
      <c r="J90" s="294">
        <f t="shared" si="9"/>
        <v>8.3201069250689041E-3</v>
      </c>
    </row>
    <row r="91" spans="1:10" x14ac:dyDescent="0.3">
      <c r="A91" s="168">
        <v>44330</v>
      </c>
      <c r="B91" s="219">
        <f>VLOOKUP('Ke Alternativo'!A91,'Dados para Ke Alternativo'!$A:$B,2,0)</f>
        <v>18.32</v>
      </c>
      <c r="C91" s="294">
        <f t="shared" si="6"/>
        <v>5.7126370455857112E-2</v>
      </c>
      <c r="D91" s="296">
        <f>VLOOKUP(A91,'Dados para Ke Alternativo'!$P:$Q,2,0)</f>
        <v>5.2728000000000002</v>
      </c>
      <c r="E91" s="296">
        <f t="shared" si="5"/>
        <v>3.4744348353815808</v>
      </c>
      <c r="F91" s="294">
        <f t="shared" si="7"/>
        <v>6.4383989673445718E-2</v>
      </c>
      <c r="G91" s="296">
        <f>VLOOKUP($A91,'Dados para Ke Alternativo'!$I:$J,2,0)</f>
        <v>2938.63</v>
      </c>
      <c r="H91" s="294">
        <f t="shared" si="8"/>
        <v>1.5955166500719153E-2</v>
      </c>
      <c r="I91" s="297">
        <f>VLOOKUP(A91,'Dados para Ke Alternativo'!$W:$X,2,0)</f>
        <v>121881</v>
      </c>
      <c r="J91" s="294">
        <f t="shared" si="9"/>
        <v>9.7343959703743987E-3</v>
      </c>
    </row>
    <row r="92" spans="1:10" x14ac:dyDescent="0.3">
      <c r="A92" s="167">
        <v>44333</v>
      </c>
      <c r="B92" s="219">
        <f>VLOOKUP('Ke Alternativo'!A92,'Dados para Ke Alternativo'!$A:$B,2,0)</f>
        <v>18.809999999999999</v>
      </c>
      <c r="C92" s="294">
        <f t="shared" si="6"/>
        <v>2.6746724890829521E-2</v>
      </c>
      <c r="D92" s="296">
        <f>VLOOKUP(A92,'Dados para Ke Alternativo'!$P:$Q,2,0)</f>
        <v>5.2728999999999999</v>
      </c>
      <c r="E92" s="296">
        <f t="shared" si="5"/>
        <v>3.56729693337632</v>
      </c>
      <c r="F92" s="294">
        <f t="shared" si="7"/>
        <v>2.6727252745996743E-2</v>
      </c>
      <c r="G92" s="296">
        <f>VLOOKUP($A92,'Dados para Ke Alternativo'!$I:$J,2,0)</f>
        <v>2934.18</v>
      </c>
      <c r="H92" s="294">
        <f t="shared" si="8"/>
        <v>-1.5143110905422308E-3</v>
      </c>
      <c r="I92" s="297">
        <f>VLOOKUP(A92,'Dados para Ke Alternativo'!$W:$X,2,0)</f>
        <v>122938</v>
      </c>
      <c r="J92" s="294">
        <f t="shared" si="9"/>
        <v>8.6723935642143424E-3</v>
      </c>
    </row>
    <row r="93" spans="1:10" x14ac:dyDescent="0.3">
      <c r="A93" s="168">
        <v>44334</v>
      </c>
      <c r="B93" s="219">
        <f>VLOOKUP('Ke Alternativo'!A93,'Dados para Ke Alternativo'!$A:$B,2,0)</f>
        <v>18.63</v>
      </c>
      <c r="C93" s="294">
        <f t="shared" si="6"/>
        <v>-9.5693779904305609E-3</v>
      </c>
      <c r="D93" s="296">
        <f>VLOOKUP(A93,'Dados para Ke Alternativo'!$P:$Q,2,0)</f>
        <v>5.2605000000000004</v>
      </c>
      <c r="E93" s="296">
        <f t="shared" si="5"/>
        <v>3.541488451668092</v>
      </c>
      <c r="F93" s="294">
        <f t="shared" si="7"/>
        <v>-7.234744455040687E-3</v>
      </c>
      <c r="G93" s="296">
        <f>VLOOKUP($A93,'Dados para Ke Alternativo'!$I:$J,2,0)</f>
        <v>2928.68</v>
      </c>
      <c r="H93" s="294">
        <f t="shared" si="8"/>
        <v>-1.874458962981107E-3</v>
      </c>
      <c r="I93" s="297">
        <f>VLOOKUP(A93,'Dados para Ke Alternativo'!$W:$X,2,0)</f>
        <v>122980</v>
      </c>
      <c r="J93" s="294">
        <f t="shared" si="9"/>
        <v>3.4163562120737012E-4</v>
      </c>
    </row>
    <row r="94" spans="1:10" x14ac:dyDescent="0.3">
      <c r="A94" s="167">
        <v>44335</v>
      </c>
      <c r="B94" s="219">
        <f>VLOOKUP('Ke Alternativo'!A94,'Dados para Ke Alternativo'!$A:$B,2,0)</f>
        <v>18.260000000000002</v>
      </c>
      <c r="C94" s="294">
        <f t="shared" si="6"/>
        <v>-1.9860440150295089E-2</v>
      </c>
      <c r="D94" s="296">
        <f>VLOOKUP(A94,'Dados para Ke Alternativo'!$P:$Q,2,0)</f>
        <v>5.3094000000000001</v>
      </c>
      <c r="E94" s="296">
        <f t="shared" si="5"/>
        <v>3.4391833352167853</v>
      </c>
      <c r="F94" s="294">
        <f t="shared" si="7"/>
        <v>-2.8887604138062239E-2</v>
      </c>
      <c r="G94" s="296">
        <f>VLOOKUP($A94,'Dados para Ke Alternativo'!$I:$J,2,0)</f>
        <v>2910.94</v>
      </c>
      <c r="H94" s="294">
        <f t="shared" si="8"/>
        <v>-6.0573364109427486E-3</v>
      </c>
      <c r="I94" s="297">
        <f>VLOOKUP(A94,'Dados para Ke Alternativo'!$W:$X,2,0)</f>
        <v>122636</v>
      </c>
      <c r="J94" s="294">
        <f t="shared" si="9"/>
        <v>-2.7972027972027469E-3</v>
      </c>
    </row>
    <row r="95" spans="1:10" x14ac:dyDescent="0.3">
      <c r="A95" s="168">
        <v>44336</v>
      </c>
      <c r="B95" s="219">
        <f>VLOOKUP('Ke Alternativo'!A95,'Dados para Ke Alternativo'!$A:$B,2,0)</f>
        <v>17.73</v>
      </c>
      <c r="C95" s="294">
        <f t="shared" si="6"/>
        <v>-2.9025191675794093E-2</v>
      </c>
      <c r="D95" s="296">
        <f>VLOOKUP(A95,'Dados para Ke Alternativo'!$P:$Q,2,0)</f>
        <v>5.2824999999999998</v>
      </c>
      <c r="E95" s="296">
        <f t="shared" si="5"/>
        <v>3.356365357311879</v>
      </c>
      <c r="F95" s="294">
        <f t="shared" si="7"/>
        <v>-2.4080710399140726E-2</v>
      </c>
      <c r="G95" s="296">
        <f>VLOOKUP($A95,'Dados para Ke Alternativo'!$I:$J,2,0)</f>
        <v>2942.21</v>
      </c>
      <c r="H95" s="294">
        <f t="shared" si="8"/>
        <v>1.0742234467216782E-2</v>
      </c>
      <c r="I95" s="297">
        <f>VLOOKUP(A95,'Dados para Ke Alternativo'!$W:$X,2,0)</f>
        <v>122701</v>
      </c>
      <c r="J95" s="294">
        <f t="shared" si="9"/>
        <v>5.3002381030031742E-4</v>
      </c>
    </row>
    <row r="96" spans="1:10" x14ac:dyDescent="0.3">
      <c r="A96" s="167">
        <v>44337</v>
      </c>
      <c r="B96" s="219">
        <f>VLOOKUP('Ke Alternativo'!A96,'Dados para Ke Alternativo'!$A:$B,2,0)</f>
        <v>18.02</v>
      </c>
      <c r="C96" s="294">
        <f t="shared" si="6"/>
        <v>1.6356457980823524E-2</v>
      </c>
      <c r="D96" s="296">
        <f>VLOOKUP(A96,'Dados para Ke Alternativo'!$P:$Q,2,0)</f>
        <v>5.3616999999999999</v>
      </c>
      <c r="E96" s="296">
        <f t="shared" si="5"/>
        <v>3.3608743495533133</v>
      </c>
      <c r="F96" s="294">
        <f t="shared" si="7"/>
        <v>1.3434152010929346E-3</v>
      </c>
      <c r="G96" s="296">
        <f>VLOOKUP($A96,'Dados para Ke Alternativo'!$I:$J,2,0)</f>
        <v>2943.13</v>
      </c>
      <c r="H96" s="294">
        <f t="shared" si="8"/>
        <v>3.126901206915722E-4</v>
      </c>
      <c r="I96" s="297">
        <f>VLOOKUP(A96,'Dados para Ke Alternativo'!$W:$X,2,0)</f>
        <v>122592</v>
      </c>
      <c r="J96" s="294">
        <f t="shared" si="9"/>
        <v>-8.8833831835111177E-4</v>
      </c>
    </row>
    <row r="97" spans="1:10" x14ac:dyDescent="0.3">
      <c r="A97" s="168">
        <v>44340</v>
      </c>
      <c r="B97" s="219">
        <f>VLOOKUP('Ke Alternativo'!A97,'Dados para Ke Alternativo'!$A:$B,2,0)</f>
        <v>19.2</v>
      </c>
      <c r="C97" s="294">
        <f t="shared" si="6"/>
        <v>6.5482796892341932E-2</v>
      </c>
      <c r="D97" s="296">
        <f>VLOOKUP(A97,'Dados para Ke Alternativo'!$P:$Q,2,0)</f>
        <v>5.3174999999999999</v>
      </c>
      <c r="E97" s="296">
        <f t="shared" si="5"/>
        <v>3.6107193229901267</v>
      </c>
      <c r="F97" s="294">
        <f t="shared" si="7"/>
        <v>7.4339278250619367E-2</v>
      </c>
      <c r="G97" s="296">
        <f>VLOOKUP($A97,'Dados para Ke Alternativo'!$I:$J,2,0)</f>
        <v>2966.44</v>
      </c>
      <c r="H97" s="294">
        <f t="shared" si="8"/>
        <v>7.9201394433816574E-3</v>
      </c>
      <c r="I97" s="297">
        <f>VLOOKUP(A97,'Dados para Ke Alternativo'!$W:$X,2,0)</f>
        <v>124032</v>
      </c>
      <c r="J97" s="294">
        <f t="shared" si="9"/>
        <v>1.1746280344557603E-2</v>
      </c>
    </row>
    <row r="98" spans="1:10" x14ac:dyDescent="0.3">
      <c r="A98" s="167">
        <v>44341</v>
      </c>
      <c r="B98" s="219">
        <f>VLOOKUP('Ke Alternativo'!A98,'Dados para Ke Alternativo'!$A:$B,2,0)</f>
        <v>18.829999999999998</v>
      </c>
      <c r="C98" s="294">
        <f t="shared" si="6"/>
        <v>-1.9270833333333348E-2</v>
      </c>
      <c r="D98" s="296">
        <f>VLOOKUP(A98,'Dados para Ke Alternativo'!$P:$Q,2,0)</f>
        <v>5.3311999999999999</v>
      </c>
      <c r="E98" s="296">
        <f t="shared" si="5"/>
        <v>3.5320378151260501</v>
      </c>
      <c r="F98" s="294">
        <f t="shared" si="7"/>
        <v>-2.1791089482668058E-2</v>
      </c>
      <c r="G98" s="296">
        <f>VLOOKUP($A98,'Dados para Ke Alternativo'!$I:$J,2,0)</f>
        <v>2965.51</v>
      </c>
      <c r="H98" s="294">
        <f t="shared" si="8"/>
        <v>-3.1350709941879717E-4</v>
      </c>
      <c r="I98" s="297">
        <f>VLOOKUP(A98,'Dados para Ke Alternativo'!$W:$X,2,0)</f>
        <v>122988</v>
      </c>
      <c r="J98" s="294">
        <f t="shared" si="9"/>
        <v>-8.4171826625386581E-3</v>
      </c>
    </row>
    <row r="99" spans="1:10" x14ac:dyDescent="0.3">
      <c r="A99" s="168">
        <v>44342</v>
      </c>
      <c r="B99" s="219">
        <f>VLOOKUP('Ke Alternativo'!A99,'Dados para Ke Alternativo'!$A:$B,2,0)</f>
        <v>18.850000000000001</v>
      </c>
      <c r="C99" s="294">
        <f t="shared" si="6"/>
        <v>1.0621348911312722E-3</v>
      </c>
      <c r="D99" s="296">
        <f>VLOOKUP(A99,'Dados para Ke Alternativo'!$P:$Q,2,0)</f>
        <v>5.3114999999999997</v>
      </c>
      <c r="E99" s="296">
        <f t="shared" si="5"/>
        <v>3.5489033229784437</v>
      </c>
      <c r="F99" s="294">
        <f t="shared" si="7"/>
        <v>4.7750077250494627E-3</v>
      </c>
      <c r="G99" s="296">
        <f>VLOOKUP($A99,'Dados para Ke Alternativo'!$I:$J,2,0)</f>
        <v>2969.51</v>
      </c>
      <c r="H99" s="294">
        <f t="shared" si="8"/>
        <v>1.3488405029826733E-3</v>
      </c>
      <c r="I99" s="297">
        <f>VLOOKUP(A99,'Dados para Ke Alternativo'!$W:$X,2,0)</f>
        <v>123989</v>
      </c>
      <c r="J99" s="294">
        <f t="shared" si="9"/>
        <v>8.1390054314240956E-3</v>
      </c>
    </row>
    <row r="100" spans="1:10" x14ac:dyDescent="0.3">
      <c r="A100" s="167">
        <v>44343</v>
      </c>
      <c r="B100" s="219">
        <f>VLOOKUP('Ke Alternativo'!A100,'Dados para Ke Alternativo'!$A:$B,2,0)</f>
        <v>19.329999999999998</v>
      </c>
      <c r="C100" s="294">
        <f t="shared" si="6"/>
        <v>2.5464190981432155E-2</v>
      </c>
      <c r="D100" s="296">
        <f>VLOOKUP(A100,'Dados para Ke Alternativo'!$P:$Q,2,0)</f>
        <v>5.2382999999999997</v>
      </c>
      <c r="E100" s="296">
        <f t="shared" si="5"/>
        <v>3.6901284767959068</v>
      </c>
      <c r="F100" s="294">
        <f t="shared" si="7"/>
        <v>3.9794026764002899E-2</v>
      </c>
      <c r="G100" s="296">
        <f>VLOOKUP($A100,'Dados para Ke Alternativo'!$I:$J,2,0)</f>
        <v>2970.64</v>
      </c>
      <c r="H100" s="294">
        <f t="shared" si="8"/>
        <v>3.8053416220162894E-4</v>
      </c>
      <c r="I100" s="297">
        <f>VLOOKUP(A100,'Dados para Ke Alternativo'!$W:$X,2,0)</f>
        <v>124367</v>
      </c>
      <c r="J100" s="294">
        <f t="shared" si="9"/>
        <v>3.048657542201294E-3</v>
      </c>
    </row>
    <row r="101" spans="1:10" x14ac:dyDescent="0.3">
      <c r="A101" s="168">
        <v>44344</v>
      </c>
      <c r="B101" s="219">
        <f>VLOOKUP('Ke Alternativo'!A101,'Dados para Ke Alternativo'!$A:$B,2,0)</f>
        <v>19.66</v>
      </c>
      <c r="C101" s="294">
        <f t="shared" si="6"/>
        <v>1.7071908949819026E-2</v>
      </c>
      <c r="D101" s="296">
        <f>VLOOKUP(A101,'Dados para Ke Alternativo'!$P:$Q,2,0)</f>
        <v>5.2244000000000002</v>
      </c>
      <c r="E101" s="296">
        <f t="shared" si="5"/>
        <v>3.7631115534798254</v>
      </c>
      <c r="F101" s="294">
        <f t="shared" si="7"/>
        <v>1.9777922948441384E-2</v>
      </c>
      <c r="G101" s="296">
        <f>VLOOKUP($A101,'Dados para Ke Alternativo'!$I:$J,2,0)</f>
        <v>2979.3</v>
      </c>
      <c r="H101" s="294">
        <f t="shared" si="8"/>
        <v>2.915196725284952E-3</v>
      </c>
      <c r="I101" s="297">
        <f>VLOOKUP(A101,'Dados para Ke Alternativo'!$W:$X,2,0)</f>
        <v>125561</v>
      </c>
      <c r="J101" s="294">
        <f t="shared" si="9"/>
        <v>9.6006175271574623E-3</v>
      </c>
    </row>
    <row r="102" spans="1:10" x14ac:dyDescent="0.3">
      <c r="A102" s="167">
        <v>44347</v>
      </c>
      <c r="B102" s="219">
        <f>VLOOKUP('Ke Alternativo'!A102,'Dados para Ke Alternativo'!$A:$B,2,0)</f>
        <v>19.73</v>
      </c>
      <c r="C102" s="294">
        <f t="shared" si="6"/>
        <v>3.560528992879064E-3</v>
      </c>
      <c r="D102" s="296">
        <f>VLOOKUP(A102,'Dados para Ke Alternativo'!$P:$Q,2,0)</f>
        <v>5.2172000000000001</v>
      </c>
      <c r="E102" s="296">
        <f t="shared" si="5"/>
        <v>3.7817219964732041</v>
      </c>
      <c r="F102" s="294">
        <f t="shared" si="7"/>
        <v>4.945493304914006E-3</v>
      </c>
      <c r="G102" s="296">
        <f>VLOOKUP($A102,'Dados para Ke Alternativo'!$I:$J,2,0)</f>
        <v>2975.7</v>
      </c>
      <c r="H102" s="294">
        <f t="shared" si="8"/>
        <v>-1.2083375289498877E-3</v>
      </c>
      <c r="I102" s="297">
        <f>VLOOKUP(A102,'Dados para Ke Alternativo'!$W:$X,2,0)</f>
        <v>126216</v>
      </c>
      <c r="J102" s="294">
        <f t="shared" si="9"/>
        <v>5.2165879532657389E-3</v>
      </c>
    </row>
    <row r="103" spans="1:10" x14ac:dyDescent="0.3">
      <c r="A103" s="168">
        <v>44348</v>
      </c>
      <c r="B103" s="219">
        <f>VLOOKUP('Ke Alternativo'!A103,'Dados para Ke Alternativo'!$A:$B,2,0)</f>
        <v>19.66</v>
      </c>
      <c r="C103" s="294">
        <f t="shared" si="6"/>
        <v>-3.5478966041561089E-3</v>
      </c>
      <c r="D103" s="296">
        <f>VLOOKUP(A103,'Dados para Ke Alternativo'!$P:$Q,2,0)</f>
        <v>5.1509</v>
      </c>
      <c r="E103" s="296">
        <f t="shared" si="5"/>
        <v>3.8168087130404396</v>
      </c>
      <c r="F103" s="294">
        <f t="shared" si="7"/>
        <v>9.2779735263346375E-3</v>
      </c>
      <c r="G103" s="296">
        <f>VLOOKUP($A103,'Dados para Ke Alternativo'!$I:$J,2,0)</f>
        <v>2982.02</v>
      </c>
      <c r="H103" s="294">
        <f t="shared" si="8"/>
        <v>2.1238700137782285E-3</v>
      </c>
      <c r="I103" s="297">
        <f>VLOOKUP(A103,'Dados para Ke Alternativo'!$W:$X,2,0)</f>
        <v>128267</v>
      </c>
      <c r="J103" s="294">
        <f t="shared" si="9"/>
        <v>1.6249920770742277E-2</v>
      </c>
    </row>
    <row r="104" spans="1:10" x14ac:dyDescent="0.3">
      <c r="A104" s="167">
        <v>44349</v>
      </c>
      <c r="B104" s="219">
        <f>VLOOKUP('Ke Alternativo'!A104,'Dados para Ke Alternativo'!$A:$B,2,0)</f>
        <v>20.28</v>
      </c>
      <c r="C104" s="294">
        <f t="shared" si="6"/>
        <v>3.1536113936927901E-2</v>
      </c>
      <c r="D104" s="296">
        <f>VLOOKUP(A104,'Dados para Ke Alternativo'!$P:$Q,2,0)</f>
        <v>5.0754000000000001</v>
      </c>
      <c r="E104" s="296">
        <f t="shared" si="5"/>
        <v>3.9957441777987941</v>
      </c>
      <c r="F104" s="294">
        <f t="shared" si="7"/>
        <v>4.688090973671466E-2</v>
      </c>
      <c r="G104" s="296">
        <f>VLOOKUP($A104,'Dados para Ke Alternativo'!$I:$J,2,0)</f>
        <v>2985.97</v>
      </c>
      <c r="H104" s="294">
        <f t="shared" si="8"/>
        <v>1.3246054687761077E-3</v>
      </c>
      <c r="I104" s="297">
        <f>VLOOKUP(A104,'Dados para Ke Alternativo'!$W:$X,2,0)</f>
        <v>129601</v>
      </c>
      <c r="J104" s="294">
        <f t="shared" si="9"/>
        <v>1.0400180872710774E-2</v>
      </c>
    </row>
    <row r="105" spans="1:10" x14ac:dyDescent="0.3">
      <c r="A105" s="168">
        <v>44351</v>
      </c>
      <c r="B105" s="219">
        <f>VLOOKUP('Ke Alternativo'!A105,'Dados para Ke Alternativo'!$A:$B,2,0)</f>
        <v>20.5</v>
      </c>
      <c r="C105" s="294">
        <f t="shared" si="6"/>
        <v>1.0848126232741562E-2</v>
      </c>
      <c r="D105" s="296">
        <f>VLOOKUP(A105,'Dados para Ke Alternativo'!$P:$Q,2,0)</f>
        <v>5.0495000000000001</v>
      </c>
      <c r="E105" s="296">
        <f t="shared" si="5"/>
        <v>4.0598079017724524</v>
      </c>
      <c r="F105" s="294">
        <f t="shared" si="7"/>
        <v>1.603298938145481E-2</v>
      </c>
      <c r="G105" s="296">
        <f>VLOOKUP($A105,'Dados para Ke Alternativo'!$I:$J,2,0)</f>
        <v>2997.36</v>
      </c>
      <c r="H105" s="294">
        <f t="shared" si="8"/>
        <v>3.8145058389738029E-3</v>
      </c>
      <c r="I105" s="297">
        <f>VLOOKUP(A105,'Dados para Ke Alternativo'!$W:$X,2,0)</f>
        <v>130126</v>
      </c>
      <c r="J105" s="294">
        <f t="shared" si="9"/>
        <v>4.0508946690225311E-3</v>
      </c>
    </row>
    <row r="106" spans="1:10" x14ac:dyDescent="0.3">
      <c r="A106" s="167">
        <v>44354</v>
      </c>
      <c r="B106" s="219">
        <f>VLOOKUP('Ke Alternativo'!A106,'Dados para Ke Alternativo'!$A:$B,2,0)</f>
        <v>19.7</v>
      </c>
      <c r="C106" s="294">
        <f t="shared" si="6"/>
        <v>-3.9024390243902474E-2</v>
      </c>
      <c r="D106" s="296">
        <f>VLOOKUP(A106,'Dados para Ke Alternativo'!$P:$Q,2,0)</f>
        <v>5.0450999999999997</v>
      </c>
      <c r="E106" s="296">
        <f t="shared" si="5"/>
        <v>3.9047788943727579</v>
      </c>
      <c r="F106" s="294">
        <f t="shared" si="7"/>
        <v>-3.8186291359256441E-2</v>
      </c>
      <c r="G106" s="296">
        <f>VLOOKUP($A106,'Dados para Ke Alternativo'!$I:$J,2,0)</f>
        <v>3000.97</v>
      </c>
      <c r="H106" s="294">
        <f t="shared" si="8"/>
        <v>1.204393199348619E-3</v>
      </c>
      <c r="I106" s="297">
        <f>VLOOKUP(A106,'Dados para Ke Alternativo'!$W:$X,2,0)</f>
        <v>130776</v>
      </c>
      <c r="J106" s="294">
        <f t="shared" si="9"/>
        <v>4.995158538647182E-3</v>
      </c>
    </row>
    <row r="107" spans="1:10" x14ac:dyDescent="0.3">
      <c r="A107" s="168">
        <v>44355</v>
      </c>
      <c r="B107" s="219">
        <f>VLOOKUP('Ke Alternativo'!A107,'Dados para Ke Alternativo'!$A:$B,2,0)</f>
        <v>19.32</v>
      </c>
      <c r="C107" s="294">
        <f t="shared" si="6"/>
        <v>-1.9289340101522834E-2</v>
      </c>
      <c r="D107" s="296">
        <f>VLOOKUP(A107,'Dados para Ke Alternativo'!$P:$Q,2,0)</f>
        <v>5.0324999999999998</v>
      </c>
      <c r="E107" s="296">
        <f t="shared" si="5"/>
        <v>3.8390461997019378</v>
      </c>
      <c r="F107" s="294">
        <f t="shared" si="7"/>
        <v>-1.6833909537246394E-2</v>
      </c>
      <c r="G107" s="296">
        <f>VLOOKUP($A107,'Dados para Ke Alternativo'!$I:$J,2,0)</f>
        <v>3001.83</v>
      </c>
      <c r="H107" s="294">
        <f t="shared" si="8"/>
        <v>2.8657400773757224E-4</v>
      </c>
      <c r="I107" s="297">
        <f>VLOOKUP(A107,'Dados para Ke Alternativo'!$W:$X,2,0)</f>
        <v>129787</v>
      </c>
      <c r="J107" s="294">
        <f t="shared" si="9"/>
        <v>-7.5625497033094957E-3</v>
      </c>
    </row>
    <row r="108" spans="1:10" x14ac:dyDescent="0.3">
      <c r="A108" s="167">
        <v>44356</v>
      </c>
      <c r="B108" s="219">
        <f>VLOOKUP('Ke Alternativo'!A108,'Dados para Ke Alternativo'!$A:$B,2,0)</f>
        <v>19</v>
      </c>
      <c r="C108" s="294">
        <f t="shared" si="6"/>
        <v>-1.6563146997929601E-2</v>
      </c>
      <c r="D108" s="296">
        <f>VLOOKUP(A108,'Dados para Ke Alternativo'!$P:$Q,2,0)</f>
        <v>5.0621</v>
      </c>
      <c r="E108" s="296">
        <f t="shared" si="5"/>
        <v>3.7533829833468322</v>
      </c>
      <c r="F108" s="294">
        <f t="shared" si="7"/>
        <v>-2.2313671651504663E-2</v>
      </c>
      <c r="G108" s="296">
        <f>VLOOKUP($A108,'Dados para Ke Alternativo'!$I:$J,2,0)</f>
        <v>2996.64</v>
      </c>
      <c r="H108" s="294">
        <f t="shared" si="8"/>
        <v>-1.7289453433405599E-3</v>
      </c>
      <c r="I108" s="297">
        <f>VLOOKUP(A108,'Dados para Ke Alternativo'!$W:$X,2,0)</f>
        <v>129907</v>
      </c>
      <c r="J108" s="294">
        <f t="shared" si="9"/>
        <v>9.2459183123128064E-4</v>
      </c>
    </row>
    <row r="109" spans="1:10" x14ac:dyDescent="0.3">
      <c r="A109" s="168">
        <v>44357</v>
      </c>
      <c r="B109" s="219">
        <f>VLOOKUP('Ke Alternativo'!A109,'Dados para Ke Alternativo'!$A:$B,2,0)</f>
        <v>19.52</v>
      </c>
      <c r="C109" s="294">
        <f t="shared" si="6"/>
        <v>2.7368421052631486E-2</v>
      </c>
      <c r="D109" s="296">
        <f>VLOOKUP(A109,'Dados para Ke Alternativo'!$P:$Q,2,0)</f>
        <v>5.0552000000000001</v>
      </c>
      <c r="E109" s="296">
        <f t="shared" si="5"/>
        <v>3.8613704700110776</v>
      </c>
      <c r="F109" s="294">
        <f t="shared" si="7"/>
        <v>2.877070822331973E-2</v>
      </c>
      <c r="G109" s="296">
        <f>VLOOKUP($A109,'Dados para Ke Alternativo'!$I:$J,2,0)</f>
        <v>3007.46</v>
      </c>
      <c r="H109" s="294">
        <f t="shared" si="8"/>
        <v>3.6107106626088736E-3</v>
      </c>
      <c r="I109" s="297">
        <f>VLOOKUP(A109,'Dados para Ke Alternativo'!$W:$X,2,0)</f>
        <v>130076</v>
      </c>
      <c r="J109" s="294">
        <f t="shared" si="9"/>
        <v>1.3009306657840725E-3</v>
      </c>
    </row>
    <row r="110" spans="1:10" x14ac:dyDescent="0.3">
      <c r="A110" s="167">
        <v>44358</v>
      </c>
      <c r="B110" s="219">
        <f>VLOOKUP('Ke Alternativo'!A110,'Dados para Ke Alternativo'!$A:$B,2,0)</f>
        <v>19.690000000000001</v>
      </c>
      <c r="C110" s="294">
        <f t="shared" si="6"/>
        <v>8.7090163934426812E-3</v>
      </c>
      <c r="D110" s="296">
        <f>VLOOKUP(A110,'Dados para Ke Alternativo'!$P:$Q,2,0)</f>
        <v>5.1170999999999998</v>
      </c>
      <c r="E110" s="296">
        <f t="shared" si="5"/>
        <v>3.8478825897480999</v>
      </c>
      <c r="F110" s="294">
        <f t="shared" si="7"/>
        <v>-3.4930293189243677E-3</v>
      </c>
      <c r="G110" s="296">
        <f>VLOOKUP($A110,'Dados para Ke Alternativo'!$I:$J,2,0)</f>
        <v>3012.67</v>
      </c>
      <c r="H110" s="294">
        <f t="shared" si="8"/>
        <v>1.732358867615913E-3</v>
      </c>
      <c r="I110" s="297">
        <f>VLOOKUP(A110,'Dados para Ke Alternativo'!$W:$X,2,0)</f>
        <v>129441</v>
      </c>
      <c r="J110" s="294">
        <f t="shared" si="9"/>
        <v>-4.8817614317783198E-3</v>
      </c>
    </row>
    <row r="111" spans="1:10" x14ac:dyDescent="0.3">
      <c r="A111" s="168">
        <v>44361</v>
      </c>
      <c r="B111" s="219">
        <f>VLOOKUP('Ke Alternativo'!A111,'Dados para Ke Alternativo'!$A:$B,2,0)</f>
        <v>19.38</v>
      </c>
      <c r="C111" s="294">
        <f t="shared" si="6"/>
        <v>-1.574403250380918E-2</v>
      </c>
      <c r="D111" s="296">
        <f>VLOOKUP(A111,'Dados para Ke Alternativo'!$P:$Q,2,0)</f>
        <v>5.0601000000000003</v>
      </c>
      <c r="E111" s="296">
        <f t="shared" si="5"/>
        <v>3.8299638347068234</v>
      </c>
      <c r="F111" s="294">
        <f t="shared" si="7"/>
        <v>-4.6567832108540541E-3</v>
      </c>
      <c r="G111" s="296">
        <f>VLOOKUP($A111,'Dados para Ke Alternativo'!$I:$J,2,0)</f>
        <v>3019.88</v>
      </c>
      <c r="H111" s="294">
        <f t="shared" si="8"/>
        <v>2.3932259424364055E-3</v>
      </c>
      <c r="I111" s="297">
        <f>VLOOKUP(A111,'Dados para Ke Alternativo'!$W:$X,2,0)</f>
        <v>130208</v>
      </c>
      <c r="J111" s="294">
        <f t="shared" si="9"/>
        <v>5.9254795621170864E-3</v>
      </c>
    </row>
    <row r="112" spans="1:10" x14ac:dyDescent="0.3">
      <c r="A112" s="167">
        <v>44362</v>
      </c>
      <c r="B112" s="219">
        <f>VLOOKUP('Ke Alternativo'!A112,'Dados para Ke Alternativo'!$A:$B,2,0)</f>
        <v>20.079999999999998</v>
      </c>
      <c r="C112" s="294">
        <f t="shared" si="6"/>
        <v>3.6119711042311708E-2</v>
      </c>
      <c r="D112" s="296">
        <f>VLOOKUP(A112,'Dados para Ke Alternativo'!$P:$Q,2,0)</f>
        <v>5.0437000000000003</v>
      </c>
      <c r="E112" s="296">
        <f t="shared" si="5"/>
        <v>3.9812042746396488</v>
      </c>
      <c r="F112" s="294">
        <f t="shared" si="7"/>
        <v>3.9488738395463852E-2</v>
      </c>
      <c r="G112" s="296">
        <f>VLOOKUP($A112,'Dados para Ke Alternativo'!$I:$J,2,0)</f>
        <v>3017.27</v>
      </c>
      <c r="H112" s="294">
        <f t="shared" si="8"/>
        <v>-8.6427275255973601E-4</v>
      </c>
      <c r="I112" s="297">
        <f>VLOOKUP(A112,'Dados para Ke Alternativo'!$W:$X,2,0)</f>
        <v>130091</v>
      </c>
      <c r="J112" s="294">
        <f t="shared" si="9"/>
        <v>-8.9856230031948314E-4</v>
      </c>
    </row>
    <row r="113" spans="1:10" x14ac:dyDescent="0.3">
      <c r="A113" s="168">
        <v>44363</v>
      </c>
      <c r="B113" s="219">
        <f>VLOOKUP('Ke Alternativo'!A113,'Dados para Ke Alternativo'!$A:$B,2,0)</f>
        <v>20.05</v>
      </c>
      <c r="C113" s="294">
        <f t="shared" si="6"/>
        <v>-1.4940239043823578E-3</v>
      </c>
      <c r="D113" s="296">
        <f>VLOOKUP(A113,'Dados para Ke Alternativo'!$P:$Q,2,0)</f>
        <v>5.0545</v>
      </c>
      <c r="E113" s="296">
        <f t="shared" si="5"/>
        <v>3.9667622910277971</v>
      </c>
      <c r="F113" s="294">
        <f t="shared" si="7"/>
        <v>-3.6275414712697573E-3</v>
      </c>
      <c r="G113" s="296">
        <f>VLOOKUP($A113,'Dados para Ke Alternativo'!$I:$J,2,0)</f>
        <v>3008.48</v>
      </c>
      <c r="H113" s="294">
        <f t="shared" si="8"/>
        <v>-2.9132295087943572E-3</v>
      </c>
      <c r="I113" s="297">
        <f>VLOOKUP(A113,'Dados para Ke Alternativo'!$W:$X,2,0)</f>
        <v>129259</v>
      </c>
      <c r="J113" s="294">
        <f t="shared" si="9"/>
        <v>-6.3955231338063134E-3</v>
      </c>
    </row>
    <row r="114" spans="1:10" x14ac:dyDescent="0.3">
      <c r="A114" s="167">
        <v>44364</v>
      </c>
      <c r="B114" s="219">
        <f>VLOOKUP('Ke Alternativo'!A114,'Dados para Ke Alternativo'!$A:$B,2,0)</f>
        <v>19.14</v>
      </c>
      <c r="C114" s="294">
        <f t="shared" si="6"/>
        <v>-4.5386533665835449E-2</v>
      </c>
      <c r="D114" s="296">
        <f>VLOOKUP(A114,'Dados para Ke Alternativo'!$P:$Q,2,0)</f>
        <v>5.0058999999999996</v>
      </c>
      <c r="E114" s="296">
        <f t="shared" si="5"/>
        <v>3.8234882838250868</v>
      </c>
      <c r="F114" s="294">
        <f t="shared" si="7"/>
        <v>-3.6118626903047346E-2</v>
      </c>
      <c r="G114" s="296">
        <f>VLOOKUP($A114,'Dados para Ke Alternativo'!$I:$J,2,0)</f>
        <v>2996.51</v>
      </c>
      <c r="H114" s="294">
        <f t="shared" si="8"/>
        <v>-3.9787533904163119E-3</v>
      </c>
      <c r="I114" s="297">
        <f>VLOOKUP(A114,'Dados para Ke Alternativo'!$W:$X,2,0)</f>
        <v>128057</v>
      </c>
      <c r="J114" s="294">
        <f t="shared" si="9"/>
        <v>-9.2991590527545798E-3</v>
      </c>
    </row>
    <row r="115" spans="1:10" x14ac:dyDescent="0.3">
      <c r="A115" s="168">
        <v>44365</v>
      </c>
      <c r="B115" s="219">
        <f>VLOOKUP('Ke Alternativo'!A115,'Dados para Ke Alternativo'!$A:$B,2,0)</f>
        <v>19</v>
      </c>
      <c r="C115" s="294">
        <f t="shared" si="6"/>
        <v>-7.3145245559038674E-3</v>
      </c>
      <c r="D115" s="296">
        <f>VLOOKUP(A115,'Dados para Ke Alternativo'!$P:$Q,2,0)</f>
        <v>5.0894000000000004</v>
      </c>
      <c r="E115" s="296">
        <f t="shared" si="5"/>
        <v>3.7332494989586196</v>
      </c>
      <c r="F115" s="294">
        <f t="shared" si="7"/>
        <v>-2.3601166831925147E-2</v>
      </c>
      <c r="G115" s="296">
        <f>VLOOKUP($A115,'Dados para Ke Alternativo'!$I:$J,2,0)</f>
        <v>2954.19</v>
      </c>
      <c r="H115" s="294">
        <f t="shared" si="8"/>
        <v>-1.4123096535636481E-2</v>
      </c>
      <c r="I115" s="297">
        <f>VLOOKUP(A115,'Dados para Ke Alternativo'!$W:$X,2,0)</f>
        <v>128405</v>
      </c>
      <c r="J115" s="294">
        <f t="shared" si="9"/>
        <v>2.7175398455374644E-3</v>
      </c>
    </row>
    <row r="116" spans="1:10" x14ac:dyDescent="0.3">
      <c r="A116" s="167">
        <v>44368</v>
      </c>
      <c r="B116" s="219">
        <f>VLOOKUP('Ke Alternativo'!A116,'Dados para Ke Alternativo'!$A:$B,2,0)</f>
        <v>19.420000000000002</v>
      </c>
      <c r="C116" s="294">
        <f t="shared" si="6"/>
        <v>2.210526315789485E-2</v>
      </c>
      <c r="D116" s="296">
        <f>VLOOKUP(A116,'Dados para Ke Alternativo'!$P:$Q,2,0)</f>
        <v>5.0129999999999999</v>
      </c>
      <c r="E116" s="296">
        <f t="shared" si="5"/>
        <v>3.8739277877518457</v>
      </c>
      <c r="F116" s="294">
        <f t="shared" si="7"/>
        <v>3.7682530683381232E-2</v>
      </c>
      <c r="G116" s="296">
        <f>VLOOKUP($A116,'Dados para Ke Alternativo'!$I:$J,2,0)</f>
        <v>2982.11</v>
      </c>
      <c r="H116" s="294">
        <f t="shared" si="8"/>
        <v>9.4509831798226251E-3</v>
      </c>
      <c r="I116" s="297">
        <f>VLOOKUP(A116,'Dados para Ke Alternativo'!$W:$X,2,0)</f>
        <v>129265</v>
      </c>
      <c r="J116" s="294">
        <f t="shared" si="9"/>
        <v>6.6975585062887255E-3</v>
      </c>
    </row>
    <row r="117" spans="1:10" x14ac:dyDescent="0.3">
      <c r="A117" s="168">
        <v>44369</v>
      </c>
      <c r="B117" s="219">
        <f>VLOOKUP('Ke Alternativo'!A117,'Dados para Ke Alternativo'!$A:$B,2,0)</f>
        <v>19.329999999999998</v>
      </c>
      <c r="C117" s="294">
        <f t="shared" si="6"/>
        <v>-4.63439752832151E-3</v>
      </c>
      <c r="D117" s="296">
        <f>VLOOKUP(A117,'Dados para Ke Alternativo'!$P:$Q,2,0)</f>
        <v>4.9573999999999998</v>
      </c>
      <c r="E117" s="296">
        <f t="shared" si="5"/>
        <v>3.899221366038649</v>
      </c>
      <c r="F117" s="294">
        <f t="shared" si="7"/>
        <v>6.5291816658983315E-3</v>
      </c>
      <c r="G117" s="296">
        <f>VLOOKUP($A117,'Dados para Ke Alternativo'!$I:$J,2,0)</f>
        <v>3001.14</v>
      </c>
      <c r="H117" s="294">
        <f t="shared" si="8"/>
        <v>6.381387675169492E-3</v>
      </c>
      <c r="I117" s="297">
        <f>VLOOKUP(A117,'Dados para Ke Alternativo'!$W:$X,2,0)</f>
        <v>128767</v>
      </c>
      <c r="J117" s="294">
        <f t="shared" si="9"/>
        <v>-3.8525509612037379E-3</v>
      </c>
    </row>
    <row r="118" spans="1:10" x14ac:dyDescent="0.3">
      <c r="A118" s="167">
        <v>44370</v>
      </c>
      <c r="B118" s="219">
        <f>VLOOKUP('Ke Alternativo'!A118,'Dados para Ke Alternativo'!$A:$B,2,0)</f>
        <v>19.489999999999998</v>
      </c>
      <c r="C118" s="294">
        <f t="shared" si="6"/>
        <v>8.2772891877909149E-3</v>
      </c>
      <c r="D118" s="296">
        <f>VLOOKUP(A118,'Dados para Ke Alternativo'!$P:$Q,2,0)</f>
        <v>4.9667000000000003</v>
      </c>
      <c r="E118" s="296">
        <f t="shared" si="5"/>
        <v>3.9241347373507556</v>
      </c>
      <c r="F118" s="294">
        <f t="shared" si="7"/>
        <v>6.3893195521280699E-3</v>
      </c>
      <c r="G118" s="296">
        <f>VLOOKUP($A118,'Dados para Ke Alternativo'!$I:$J,2,0)</f>
        <v>2998</v>
      </c>
      <c r="H118" s="294">
        <f t="shared" si="8"/>
        <v>-1.0462690844145195E-3</v>
      </c>
      <c r="I118" s="297">
        <f>VLOOKUP(A118,'Dados para Ke Alternativo'!$W:$X,2,0)</f>
        <v>128428</v>
      </c>
      <c r="J118" s="294">
        <f t="shared" si="9"/>
        <v>-2.6326620951020452E-3</v>
      </c>
    </row>
    <row r="119" spans="1:10" x14ac:dyDescent="0.3">
      <c r="A119" s="168">
        <v>44371</v>
      </c>
      <c r="B119" s="219">
        <f>VLOOKUP('Ke Alternativo'!A119,'Dados para Ke Alternativo'!$A:$B,2,0)</f>
        <v>19.45</v>
      </c>
      <c r="C119" s="294">
        <f t="shared" si="6"/>
        <v>-2.0523345305284435E-3</v>
      </c>
      <c r="D119" s="296">
        <f>VLOOKUP(A119,'Dados para Ke Alternativo'!$P:$Q,2,0)</f>
        <v>4.9137000000000004</v>
      </c>
      <c r="E119" s="296">
        <f t="shared" si="5"/>
        <v>3.9583206137940854</v>
      </c>
      <c r="F119" s="294">
        <f t="shared" si="7"/>
        <v>8.7116979236063763E-3</v>
      </c>
      <c r="G119" s="296">
        <f>VLOOKUP($A119,'Dados para Ke Alternativo'!$I:$J,2,0)</f>
        <v>3013.36</v>
      </c>
      <c r="H119" s="294">
        <f t="shared" si="8"/>
        <v>5.1234156104069672E-3</v>
      </c>
      <c r="I119" s="297">
        <f>VLOOKUP(A119,'Dados para Ke Alternativo'!$W:$X,2,0)</f>
        <v>129514</v>
      </c>
      <c r="J119" s="294">
        <f t="shared" si="9"/>
        <v>8.4560999159062344E-3</v>
      </c>
    </row>
    <row r="120" spans="1:10" x14ac:dyDescent="0.3">
      <c r="A120" s="167">
        <v>44372</v>
      </c>
      <c r="B120" s="219">
        <f>VLOOKUP('Ke Alternativo'!A120,'Dados para Ke Alternativo'!$A:$B,2,0)</f>
        <v>19.079999999999998</v>
      </c>
      <c r="C120" s="294">
        <f t="shared" si="6"/>
        <v>-1.9023136246786643E-2</v>
      </c>
      <c r="D120" s="296">
        <f>VLOOKUP(A120,'Dados para Ke Alternativo'!$P:$Q,2,0)</f>
        <v>4.9335000000000004</v>
      </c>
      <c r="E120" s="296">
        <f t="shared" si="5"/>
        <v>3.8674369109151709</v>
      </c>
      <c r="F120" s="294">
        <f t="shared" si="7"/>
        <v>-2.2960167138104004E-2</v>
      </c>
      <c r="G120" s="296">
        <f>VLOOKUP($A120,'Dados para Ke Alternativo'!$I:$J,2,0)</f>
        <v>3024.94</v>
      </c>
      <c r="H120" s="294">
        <f t="shared" si="8"/>
        <v>3.8428863461386076E-3</v>
      </c>
      <c r="I120" s="297">
        <f>VLOOKUP(A120,'Dados para Ke Alternativo'!$W:$X,2,0)</f>
        <v>127256</v>
      </c>
      <c r="J120" s="294">
        <f t="shared" si="9"/>
        <v>-1.7434408635359833E-2</v>
      </c>
    </row>
    <row r="121" spans="1:10" x14ac:dyDescent="0.3">
      <c r="A121" s="168">
        <v>44375</v>
      </c>
      <c r="B121" s="219">
        <f>VLOOKUP('Ke Alternativo'!A121,'Dados para Ke Alternativo'!$A:$B,2,0)</f>
        <v>18.77</v>
      </c>
      <c r="C121" s="294">
        <f t="shared" si="6"/>
        <v>-1.6247379454926603E-2</v>
      </c>
      <c r="D121" s="296">
        <f>VLOOKUP(A121,'Dados para Ke Alternativo'!$P:$Q,2,0)</f>
        <v>4.9244000000000003</v>
      </c>
      <c r="E121" s="296">
        <f t="shared" si="5"/>
        <v>3.8116318739338801</v>
      </c>
      <c r="F121" s="294">
        <f t="shared" si="7"/>
        <v>-1.4429462785492619E-2</v>
      </c>
      <c r="G121" s="296">
        <f>VLOOKUP($A121,'Dados para Ke Alternativo'!$I:$J,2,0)</f>
        <v>3025.22</v>
      </c>
      <c r="H121" s="294">
        <f t="shared" si="8"/>
        <v>9.2563819447555318E-5</v>
      </c>
      <c r="I121" s="297">
        <f>VLOOKUP(A121,'Dados para Ke Alternativo'!$W:$X,2,0)</f>
        <v>127429</v>
      </c>
      <c r="J121" s="294">
        <f t="shared" si="9"/>
        <v>1.3594643867480549E-3</v>
      </c>
    </row>
    <row r="122" spans="1:10" x14ac:dyDescent="0.3">
      <c r="A122" s="167">
        <v>44376</v>
      </c>
      <c r="B122" s="219">
        <f>VLOOKUP('Ke Alternativo'!A122,'Dados para Ke Alternativo'!$A:$B,2,0)</f>
        <v>18.98</v>
      </c>
      <c r="C122" s="294">
        <f t="shared" si="6"/>
        <v>1.1188066062866264E-2</v>
      </c>
      <c r="D122" s="296">
        <f>VLOOKUP(A122,'Dados para Ke Alternativo'!$P:$Q,2,0)</f>
        <v>4.9558999999999997</v>
      </c>
      <c r="E122" s="296">
        <f t="shared" si="5"/>
        <v>3.8297786476724713</v>
      </c>
      <c r="F122" s="294">
        <f t="shared" si="7"/>
        <v>4.7608935854193124E-3</v>
      </c>
      <c r="G122" s="296">
        <f>VLOOKUP($A122,'Dados para Ke Alternativo'!$I:$J,2,0)</f>
        <v>3024.44</v>
      </c>
      <c r="H122" s="294">
        <f t="shared" si="8"/>
        <v>-2.5783248821564797E-4</v>
      </c>
      <c r="I122" s="297">
        <f>VLOOKUP(A122,'Dados para Ke Alternativo'!$W:$X,2,0)</f>
        <v>127327</v>
      </c>
      <c r="J122" s="294">
        <f t="shared" si="9"/>
        <v>-8.0044573841120403E-4</v>
      </c>
    </row>
    <row r="123" spans="1:10" x14ac:dyDescent="0.3">
      <c r="A123" s="168">
        <v>44377</v>
      </c>
      <c r="B123" s="219">
        <f>VLOOKUP('Ke Alternativo'!A123,'Dados para Ke Alternativo'!$A:$B,2,0)</f>
        <v>19.489999999999998</v>
      </c>
      <c r="C123" s="294">
        <f t="shared" si="6"/>
        <v>2.6870389884088519E-2</v>
      </c>
      <c r="D123" s="296">
        <f>VLOOKUP(A123,'Dados para Ke Alternativo'!$P:$Q,2,0)</f>
        <v>4.9686000000000003</v>
      </c>
      <c r="E123" s="296">
        <f t="shared" si="5"/>
        <v>3.9226341424143616</v>
      </c>
      <c r="F123" s="294">
        <f t="shared" si="7"/>
        <v>2.4245655763505569E-2</v>
      </c>
      <c r="G123" s="296">
        <f>VLOOKUP($A123,'Dados para Ke Alternativo'!$I:$J,2,0)</f>
        <v>3017.23</v>
      </c>
      <c r="H123" s="294">
        <f t="shared" si="8"/>
        <v>-2.3839123936993944E-3</v>
      </c>
      <c r="I123" s="297">
        <f>VLOOKUP(A123,'Dados para Ke Alternativo'!$W:$X,2,0)</f>
        <v>126802</v>
      </c>
      <c r="J123" s="294">
        <f t="shared" si="9"/>
        <v>-4.123241731918581E-3</v>
      </c>
    </row>
    <row r="124" spans="1:10" x14ac:dyDescent="0.3">
      <c r="A124" s="167">
        <v>44378</v>
      </c>
      <c r="B124" s="219">
        <f>VLOOKUP('Ke Alternativo'!A124,'Dados para Ke Alternativo'!$A:$B,2,0)</f>
        <v>20.54</v>
      </c>
      <c r="C124" s="294">
        <f t="shared" si="6"/>
        <v>5.3873781426372558E-2</v>
      </c>
      <c r="D124" s="296">
        <f>VLOOKUP(A124,'Dados para Ke Alternativo'!$P:$Q,2,0)</f>
        <v>5.0476000000000001</v>
      </c>
      <c r="E124" s="296">
        <f t="shared" si="5"/>
        <v>4.069260638719391</v>
      </c>
      <c r="F124" s="294">
        <f t="shared" si="7"/>
        <v>3.7379600284308312E-2</v>
      </c>
      <c r="G124" s="296">
        <f>VLOOKUP($A124,'Dados para Ke Alternativo'!$I:$J,2,0)</f>
        <v>3028.2</v>
      </c>
      <c r="H124" s="294">
        <f t="shared" si="8"/>
        <v>3.6357851406754182E-3</v>
      </c>
      <c r="I124" s="297">
        <f>VLOOKUP(A124,'Dados para Ke Alternativo'!$W:$X,2,0)</f>
        <v>125666</v>
      </c>
      <c r="J124" s="294">
        <f t="shared" si="9"/>
        <v>-8.958849229507404E-3</v>
      </c>
    </row>
    <row r="125" spans="1:10" x14ac:dyDescent="0.3">
      <c r="A125" s="168">
        <v>44379</v>
      </c>
      <c r="B125" s="219">
        <f>VLOOKUP('Ke Alternativo'!A125,'Dados para Ke Alternativo'!$A:$B,2,0)</f>
        <v>21.26</v>
      </c>
      <c r="C125" s="294">
        <f t="shared" si="6"/>
        <v>3.5053554040895829E-2</v>
      </c>
      <c r="D125" s="296">
        <f>VLOOKUP(A125,'Dados para Ke Alternativo'!$P:$Q,2,0)</f>
        <v>5.0575000000000001</v>
      </c>
      <c r="E125" s="296">
        <f t="shared" si="5"/>
        <v>4.2036579337617406</v>
      </c>
      <c r="F125" s="294">
        <f t="shared" si="7"/>
        <v>3.3027448220825928E-2</v>
      </c>
      <c r="G125" s="296">
        <f>VLOOKUP($A125,'Dados para Ke Alternativo'!$I:$J,2,0)</f>
        <v>3046.09</v>
      </c>
      <c r="H125" s="294">
        <f t="shared" si="8"/>
        <v>5.9078000132093411E-3</v>
      </c>
      <c r="I125" s="297">
        <f>VLOOKUP(A125,'Dados para Ke Alternativo'!$W:$X,2,0)</f>
        <v>127622</v>
      </c>
      <c r="J125" s="294">
        <f t="shared" si="9"/>
        <v>1.5565069310712554E-2</v>
      </c>
    </row>
    <row r="126" spans="1:10" x14ac:dyDescent="0.3">
      <c r="A126" s="167">
        <v>44382</v>
      </c>
      <c r="B126" s="219">
        <f>VLOOKUP('Ke Alternativo'!A126,'Dados para Ke Alternativo'!$A:$B,2,0)</f>
        <v>21.49</v>
      </c>
      <c r="C126" s="294">
        <f t="shared" si="6"/>
        <v>1.0818438381937856E-2</v>
      </c>
      <c r="D126" s="296">
        <f>VLOOKUP(A126,'Dados para Ke Alternativo'!$P:$Q,2,0)</f>
        <v>5.0910000000000002</v>
      </c>
      <c r="E126" s="296">
        <f t="shared" si="5"/>
        <v>4.2211746218817519</v>
      </c>
      <c r="F126" s="294">
        <f t="shared" si="7"/>
        <v>4.1670108262914507E-3</v>
      </c>
      <c r="G126" s="296">
        <f>VLOOKUP($A126,'Dados para Ke Alternativo'!$I:$J,2,0)</f>
        <v>3049.84</v>
      </c>
      <c r="H126" s="294">
        <f t="shared" si="8"/>
        <v>1.2310864091342744E-3</v>
      </c>
      <c r="I126" s="297">
        <f>VLOOKUP(A126,'Dados para Ke Alternativo'!$W:$X,2,0)</f>
        <v>126920</v>
      </c>
      <c r="J126" s="294">
        <f t="shared" si="9"/>
        <v>-5.5006190155302281E-3</v>
      </c>
    </row>
    <row r="127" spans="1:10" x14ac:dyDescent="0.3">
      <c r="A127" s="168">
        <v>44383</v>
      </c>
      <c r="B127" s="219">
        <f>VLOOKUP('Ke Alternativo'!A127,'Dados para Ke Alternativo'!$A:$B,2,0)</f>
        <v>20.239999999999998</v>
      </c>
      <c r="C127" s="294">
        <f t="shared" si="6"/>
        <v>-5.8166589111214528E-2</v>
      </c>
      <c r="D127" s="296">
        <f>VLOOKUP(A127,'Dados para Ke Alternativo'!$P:$Q,2,0)</f>
        <v>5.1969000000000003</v>
      </c>
      <c r="E127" s="296">
        <f t="shared" si="5"/>
        <v>3.8946294906578918</v>
      </c>
      <c r="F127" s="294">
        <f t="shared" si="7"/>
        <v>-7.7358830295982894E-2</v>
      </c>
      <c r="G127" s="296">
        <f>VLOOKUP($A127,'Dados para Ke Alternativo'!$I:$J,2,0)</f>
        <v>3042.63</v>
      </c>
      <c r="H127" s="294">
        <f t="shared" si="8"/>
        <v>-2.3640584424100552E-3</v>
      </c>
      <c r="I127" s="297">
        <f>VLOOKUP(A127,'Dados para Ke Alternativo'!$W:$X,2,0)</f>
        <v>125095</v>
      </c>
      <c r="J127" s="294">
        <f t="shared" si="9"/>
        <v>-1.437913646391431E-2</v>
      </c>
    </row>
    <row r="128" spans="1:10" x14ac:dyDescent="0.3">
      <c r="A128" s="167">
        <v>44384</v>
      </c>
      <c r="B128" s="219">
        <f>VLOOKUP('Ke Alternativo'!A128,'Dados para Ke Alternativo'!$A:$B,2,0)</f>
        <v>19.84</v>
      </c>
      <c r="C128" s="294">
        <f t="shared" si="6"/>
        <v>-1.9762845849802257E-2</v>
      </c>
      <c r="D128" s="296">
        <f>VLOOKUP(A128,'Dados para Ke Alternativo'!$P:$Q,2,0)</f>
        <v>5.2314999999999996</v>
      </c>
      <c r="E128" s="296">
        <f t="shared" si="5"/>
        <v>3.7924113542960911</v>
      </c>
      <c r="F128" s="294">
        <f t="shared" si="7"/>
        <v>-2.6245920595782679E-2</v>
      </c>
      <c r="G128" s="296">
        <f>VLOOKUP($A128,'Dados para Ke Alternativo'!$I:$J,2,0)</f>
        <v>3049.66</v>
      </c>
      <c r="H128" s="294">
        <f t="shared" si="8"/>
        <v>2.310501112524177E-3</v>
      </c>
      <c r="I128" s="297">
        <f>VLOOKUP(A128,'Dados para Ke Alternativo'!$W:$X,2,0)</f>
        <v>127019</v>
      </c>
      <c r="J128" s="294">
        <f t="shared" si="9"/>
        <v>1.5380310963667654E-2</v>
      </c>
    </row>
    <row r="129" spans="1:10" x14ac:dyDescent="0.3">
      <c r="A129" s="168">
        <v>44385</v>
      </c>
      <c r="B129" s="219">
        <f>VLOOKUP('Ke Alternativo'!A129,'Dados para Ke Alternativo'!$A:$B,2,0)</f>
        <v>19.579999999999998</v>
      </c>
      <c r="C129" s="294">
        <f t="shared" si="6"/>
        <v>-1.3104838709677491E-2</v>
      </c>
      <c r="D129" s="296">
        <f>VLOOKUP(A129,'Dados para Ke Alternativo'!$P:$Q,2,0)</f>
        <v>5.2579000000000002</v>
      </c>
      <c r="E129" s="296">
        <f t="shared" si="5"/>
        <v>3.7239201962760795</v>
      </c>
      <c r="F129" s="294">
        <f t="shared" si="7"/>
        <v>-1.8060055099883621E-2</v>
      </c>
      <c r="G129" s="296">
        <f>VLOOKUP($A129,'Dados para Ke Alternativo'!$I:$J,2,0)</f>
        <v>3022.24</v>
      </c>
      <c r="H129" s="294">
        <f t="shared" si="8"/>
        <v>-8.9911662283664873E-3</v>
      </c>
      <c r="I129" s="297">
        <f>VLOOKUP(A129,'Dados para Ke Alternativo'!$W:$X,2,0)</f>
        <v>125428</v>
      </c>
      <c r="J129" s="294">
        <f t="shared" si="9"/>
        <v>-1.2525685133720099E-2</v>
      </c>
    </row>
    <row r="130" spans="1:10" x14ac:dyDescent="0.3">
      <c r="A130" s="167">
        <v>44389</v>
      </c>
      <c r="B130" s="219">
        <f>VLOOKUP('Ke Alternativo'!A130,'Dados para Ke Alternativo'!$A:$B,2,0)</f>
        <v>19.440000000000001</v>
      </c>
      <c r="C130" s="294">
        <f t="shared" si="6"/>
        <v>-7.1501532175688443E-3</v>
      </c>
      <c r="D130" s="296">
        <f>VLOOKUP(A130,'Dados para Ke Alternativo'!$P:$Q,2,0)</f>
        <v>5.173</v>
      </c>
      <c r="E130" s="296">
        <f t="shared" ref="E130:E193" si="10">B130/D130</f>
        <v>3.7579740962690895</v>
      </c>
      <c r="F130" s="294">
        <f t="shared" si="7"/>
        <v>9.1446374245784945E-3</v>
      </c>
      <c r="G130" s="296">
        <f>VLOOKUP($A130,'Dados para Ke Alternativo'!$I:$J,2,0)</f>
        <v>3068.27</v>
      </c>
      <c r="H130" s="294">
        <f t="shared" si="8"/>
        <v>1.5230425115146495E-2</v>
      </c>
      <c r="I130" s="297">
        <f>VLOOKUP(A130,'Dados para Ke Alternativo'!$W:$X,2,0)</f>
        <v>127594</v>
      </c>
      <c r="J130" s="294">
        <f t="shared" si="9"/>
        <v>1.7268871384379825E-2</v>
      </c>
    </row>
    <row r="131" spans="1:10" x14ac:dyDescent="0.3">
      <c r="A131" s="168">
        <v>44390</v>
      </c>
      <c r="B131" s="219">
        <f>VLOOKUP('Ke Alternativo'!A131,'Dados para Ke Alternativo'!$A:$B,2,0)</f>
        <v>19.57</v>
      </c>
      <c r="C131" s="294">
        <f t="shared" ref="C131:C194" si="11">B131/B130-1</f>
        <v>6.6872427983537541E-3</v>
      </c>
      <c r="D131" s="296">
        <f>VLOOKUP(A131,'Dados para Ke Alternativo'!$P:$Q,2,0)</f>
        <v>5.1622000000000003</v>
      </c>
      <c r="E131" s="296">
        <f t="shared" si="10"/>
        <v>3.7910193328425863</v>
      </c>
      <c r="F131" s="294">
        <f t="shared" ref="F131:F194" si="12">E131/E130-1</f>
        <v>8.7933646499329665E-3</v>
      </c>
      <c r="G131" s="296">
        <f>VLOOKUP($A131,'Dados para Ke Alternativo'!$I:$J,2,0)</f>
        <v>3059.28</v>
      </c>
      <c r="H131" s="294">
        <f t="shared" ref="H131:H194" si="13">G131/G130-1</f>
        <v>-2.9299898639949529E-3</v>
      </c>
      <c r="I131" s="297">
        <f>VLOOKUP(A131,'Dados para Ke Alternativo'!$W:$X,2,0)</f>
        <v>128168</v>
      </c>
      <c r="J131" s="294">
        <f t="shared" ref="J131:J194" si="14">I131/I130-1</f>
        <v>4.4986441368717323E-3</v>
      </c>
    </row>
    <row r="132" spans="1:10" x14ac:dyDescent="0.3">
      <c r="A132" s="167">
        <v>44391</v>
      </c>
      <c r="B132" s="219">
        <f>VLOOKUP('Ke Alternativo'!A132,'Dados para Ke Alternativo'!$A:$B,2,0)</f>
        <v>19.350000000000001</v>
      </c>
      <c r="C132" s="294">
        <f t="shared" si="11"/>
        <v>-1.1241696474195151E-2</v>
      </c>
      <c r="D132" s="296">
        <f>VLOOKUP(A132,'Dados para Ke Alternativo'!$P:$Q,2,0)</f>
        <v>5.0705999999999998</v>
      </c>
      <c r="E132" s="296">
        <f t="shared" si="10"/>
        <v>3.816116435924743</v>
      </c>
      <c r="F132" s="294">
        <f t="shared" si="12"/>
        <v>6.6201464246657959E-3</v>
      </c>
      <c r="G132" s="296">
        <f>VLOOKUP($A132,'Dados para Ke Alternativo'!$I:$J,2,0)</f>
        <v>3058.59</v>
      </c>
      <c r="H132" s="294">
        <f t="shared" si="13"/>
        <v>-2.2554326508195111E-4</v>
      </c>
      <c r="I132" s="297">
        <f>VLOOKUP(A132,'Dados para Ke Alternativo'!$W:$X,2,0)</f>
        <v>128407</v>
      </c>
      <c r="J132" s="294">
        <f t="shared" si="14"/>
        <v>1.8647400287123972E-3</v>
      </c>
    </row>
    <row r="133" spans="1:10" x14ac:dyDescent="0.3">
      <c r="A133" s="168">
        <v>44392</v>
      </c>
      <c r="B133" s="219">
        <f>VLOOKUP('Ke Alternativo'!A133,'Dados para Ke Alternativo'!$A:$B,2,0)</f>
        <v>18.95</v>
      </c>
      <c r="C133" s="294">
        <f t="shared" si="11"/>
        <v>-2.0671834625323071E-2</v>
      </c>
      <c r="D133" s="296">
        <f>VLOOKUP(A133,'Dados para Ke Alternativo'!$P:$Q,2,0)</f>
        <v>5.1100000000000003</v>
      </c>
      <c r="E133" s="296">
        <f t="shared" si="10"/>
        <v>3.7084148727984343</v>
      </c>
      <c r="F133" s="294">
        <f t="shared" si="12"/>
        <v>-2.8222818914122039E-2</v>
      </c>
      <c r="G133" s="296">
        <f>VLOOKUP($A133,'Dados para Ke Alternativo'!$I:$J,2,0)</f>
        <v>3043.52</v>
      </c>
      <c r="H133" s="294">
        <f t="shared" si="13"/>
        <v>-4.9271069348948426E-3</v>
      </c>
      <c r="I133" s="297">
        <f>VLOOKUP(A133,'Dados para Ke Alternativo'!$W:$X,2,0)</f>
        <v>127468</v>
      </c>
      <c r="J133" s="294">
        <f t="shared" si="14"/>
        <v>-7.3126854454975687E-3</v>
      </c>
    </row>
    <row r="134" spans="1:10" x14ac:dyDescent="0.3">
      <c r="A134" s="167">
        <v>44393</v>
      </c>
      <c r="B134" s="219">
        <f>VLOOKUP('Ke Alternativo'!A134,'Dados para Ke Alternativo'!$A:$B,2,0)</f>
        <v>18.850000000000001</v>
      </c>
      <c r="C134" s="294">
        <f t="shared" si="11"/>
        <v>-5.2770448548811189E-3</v>
      </c>
      <c r="D134" s="296">
        <f>VLOOKUP(A134,'Dados para Ke Alternativo'!$P:$Q,2,0)</f>
        <v>5.1147</v>
      </c>
      <c r="E134" s="296">
        <f t="shared" si="10"/>
        <v>3.6854556474475535</v>
      </c>
      <c r="F134" s="294">
        <f t="shared" si="12"/>
        <v>-6.1911156487072239E-3</v>
      </c>
      <c r="G134" s="296">
        <f>VLOOKUP($A134,'Dados para Ke Alternativo'!$I:$J,2,0)</f>
        <v>3024.65</v>
      </c>
      <c r="H134" s="294">
        <f t="shared" si="13"/>
        <v>-6.2000578277783269E-3</v>
      </c>
      <c r="I134" s="297">
        <f>VLOOKUP(A134,'Dados para Ke Alternativo'!$W:$X,2,0)</f>
        <v>125960</v>
      </c>
      <c r="J134" s="294">
        <f t="shared" si="14"/>
        <v>-1.1830420183889245E-2</v>
      </c>
    </row>
    <row r="135" spans="1:10" x14ac:dyDescent="0.3">
      <c r="A135" s="168">
        <v>44396</v>
      </c>
      <c r="B135" s="219">
        <f>VLOOKUP('Ke Alternativo'!A135,'Dados para Ke Alternativo'!$A:$B,2,0)</f>
        <v>18.2</v>
      </c>
      <c r="C135" s="294">
        <f t="shared" si="11"/>
        <v>-3.4482758620689724E-2</v>
      </c>
      <c r="D135" s="296">
        <f>VLOOKUP(A135,'Dados para Ke Alternativo'!$P:$Q,2,0)</f>
        <v>5.2519</v>
      </c>
      <c r="E135" s="296">
        <f t="shared" si="10"/>
        <v>3.4654125173746642</v>
      </c>
      <c r="F135" s="294">
        <f t="shared" si="12"/>
        <v>-5.9705814184817352E-2</v>
      </c>
      <c r="G135" s="296">
        <f>VLOOKUP($A135,'Dados para Ke Alternativo'!$I:$J,2,0)</f>
        <v>2975.55</v>
      </c>
      <c r="H135" s="294">
        <f t="shared" si="13"/>
        <v>-1.6233283189790559E-2</v>
      </c>
      <c r="I135" s="297">
        <f>VLOOKUP(A135,'Dados para Ke Alternativo'!$W:$X,2,0)</f>
        <v>124395</v>
      </c>
      <c r="J135" s="294">
        <f t="shared" si="14"/>
        <v>-1.2424579231502086E-2</v>
      </c>
    </row>
    <row r="136" spans="1:10" x14ac:dyDescent="0.3">
      <c r="A136" s="167">
        <v>44397</v>
      </c>
      <c r="B136" s="219">
        <f>VLOOKUP('Ke Alternativo'!A136,'Dados para Ke Alternativo'!$A:$B,2,0)</f>
        <v>18.8</v>
      </c>
      <c r="C136" s="294">
        <f t="shared" si="11"/>
        <v>3.2967032967033072E-2</v>
      </c>
      <c r="D136" s="296">
        <f>VLOOKUP(A136,'Dados para Ke Alternativo'!$P:$Q,2,0)</f>
        <v>5.2205000000000004</v>
      </c>
      <c r="E136" s="296">
        <f t="shared" si="10"/>
        <v>3.6011876257063498</v>
      </c>
      <c r="F136" s="294">
        <f t="shared" si="12"/>
        <v>3.9180070958636293E-2</v>
      </c>
      <c r="G136" s="296">
        <f>VLOOKUP($A136,'Dados para Ke Alternativo'!$I:$J,2,0)</f>
        <v>3005.86</v>
      </c>
      <c r="H136" s="294">
        <f t="shared" si="13"/>
        <v>1.0186352102972585E-2</v>
      </c>
      <c r="I136" s="297">
        <f>VLOOKUP(A136,'Dados para Ke Alternativo'!$W:$X,2,0)</f>
        <v>125401</v>
      </c>
      <c r="J136" s="294">
        <f t="shared" si="14"/>
        <v>8.0871417661481093E-3</v>
      </c>
    </row>
    <row r="137" spans="1:10" x14ac:dyDescent="0.3">
      <c r="A137" s="168">
        <v>44398</v>
      </c>
      <c r="B137" s="219">
        <f>VLOOKUP('Ke Alternativo'!A137,'Dados para Ke Alternativo'!$A:$B,2,0)</f>
        <v>19</v>
      </c>
      <c r="C137" s="294">
        <f t="shared" si="11"/>
        <v>1.0638297872340496E-2</v>
      </c>
      <c r="D137" s="296">
        <f>VLOOKUP(A137,'Dados para Ke Alternativo'!$P:$Q,2,0)</f>
        <v>5.1874000000000002</v>
      </c>
      <c r="E137" s="296">
        <f t="shared" si="10"/>
        <v>3.6627212090835486</v>
      </c>
      <c r="F137" s="294">
        <f t="shared" si="12"/>
        <v>1.7087025107482168E-2</v>
      </c>
      <c r="G137" s="296">
        <f>VLOOKUP($A137,'Dados para Ke Alternativo'!$I:$J,2,0)</f>
        <v>3036.73</v>
      </c>
      <c r="H137" s="294">
        <f t="shared" si="13"/>
        <v>1.0269939385067817E-2</v>
      </c>
      <c r="I137" s="297">
        <f>VLOOKUP(A137,'Dados para Ke Alternativo'!$W:$X,2,0)</f>
        <v>125929</v>
      </c>
      <c r="J137" s="294">
        <f t="shared" si="14"/>
        <v>4.2104927392923042E-3</v>
      </c>
    </row>
    <row r="138" spans="1:10" x14ac:dyDescent="0.3">
      <c r="A138" s="167">
        <v>44399</v>
      </c>
      <c r="B138" s="219">
        <f>VLOOKUP('Ke Alternativo'!A138,'Dados para Ke Alternativo'!$A:$B,2,0)</f>
        <v>19.059999999999999</v>
      </c>
      <c r="C138" s="294">
        <f t="shared" si="11"/>
        <v>3.1578947368420263E-3</v>
      </c>
      <c r="D138" s="296">
        <f>VLOOKUP(A138,'Dados para Ke Alternativo'!$P:$Q,2,0)</f>
        <v>5.2003000000000004</v>
      </c>
      <c r="E138" s="296">
        <f t="shared" si="10"/>
        <v>3.6651731630867443</v>
      </c>
      <c r="F138" s="294">
        <f t="shared" si="12"/>
        <v>6.6943506295680244E-4</v>
      </c>
      <c r="G138" s="296">
        <f>VLOOKUP($A138,'Dados para Ke Alternativo'!$I:$J,2,0)</f>
        <v>3046.6</v>
      </c>
      <c r="H138" s="294">
        <f t="shared" si="13"/>
        <v>3.2502066367441351E-3</v>
      </c>
      <c r="I138" s="297">
        <f>VLOOKUP(A138,'Dados para Ke Alternativo'!$W:$X,2,0)</f>
        <v>126147</v>
      </c>
      <c r="J138" s="294">
        <f t="shared" si="14"/>
        <v>1.7311342105472693E-3</v>
      </c>
    </row>
    <row r="139" spans="1:10" x14ac:dyDescent="0.3">
      <c r="A139" s="168">
        <v>44400</v>
      </c>
      <c r="B139" s="219">
        <f>VLOOKUP('Ke Alternativo'!A139,'Dados para Ke Alternativo'!$A:$B,2,0)</f>
        <v>18.95</v>
      </c>
      <c r="C139" s="294">
        <f t="shared" si="11"/>
        <v>-5.7712486883525482E-3</v>
      </c>
      <c r="D139" s="296">
        <f>VLOOKUP(A139,'Dados para Ke Alternativo'!$P:$Q,2,0)</f>
        <v>5.2005999999999997</v>
      </c>
      <c r="E139" s="296">
        <f t="shared" si="10"/>
        <v>3.6438103295773567</v>
      </c>
      <c r="F139" s="294">
        <f t="shared" si="12"/>
        <v>-5.8286014217664439E-3</v>
      </c>
      <c r="G139" s="296">
        <f>VLOOKUP($A139,'Dados para Ke Alternativo'!$I:$J,2,0)</f>
        <v>3072.38</v>
      </c>
      <c r="H139" s="294">
        <f t="shared" si="13"/>
        <v>8.4618919451191488E-3</v>
      </c>
      <c r="I139" s="297">
        <f>VLOOKUP(A139,'Dados para Ke Alternativo'!$W:$X,2,0)</f>
        <v>125053</v>
      </c>
      <c r="J139" s="294">
        <f t="shared" si="14"/>
        <v>-8.6724218570397582E-3</v>
      </c>
    </row>
    <row r="140" spans="1:10" x14ac:dyDescent="0.3">
      <c r="A140" s="167">
        <v>44403</v>
      </c>
      <c r="B140" s="219">
        <f>VLOOKUP('Ke Alternativo'!A140,'Dados para Ke Alternativo'!$A:$B,2,0)</f>
        <v>18.75</v>
      </c>
      <c r="C140" s="294">
        <f t="shared" si="11"/>
        <v>-1.055408970976246E-2</v>
      </c>
      <c r="D140" s="296">
        <f>VLOOKUP(A140,'Dados para Ke Alternativo'!$P:$Q,2,0)</f>
        <v>5.1760999999999999</v>
      </c>
      <c r="E140" s="296">
        <f t="shared" si="10"/>
        <v>3.6224184231371108</v>
      </c>
      <c r="F140" s="294">
        <f t="shared" si="12"/>
        <v>-5.8707519067621172E-3</v>
      </c>
      <c r="G140" s="296">
        <f>VLOOKUP($A140,'Dados para Ke Alternativo'!$I:$J,2,0)</f>
        <v>3080.4</v>
      </c>
      <c r="H140" s="294">
        <f t="shared" si="13"/>
        <v>2.610354187958519E-3</v>
      </c>
      <c r="I140" s="297">
        <f>VLOOKUP(A140,'Dados para Ke Alternativo'!$W:$X,2,0)</f>
        <v>126004</v>
      </c>
      <c r="J140" s="294">
        <f t="shared" si="14"/>
        <v>7.604775575156042E-3</v>
      </c>
    </row>
    <row r="141" spans="1:10" x14ac:dyDescent="0.3">
      <c r="A141" s="168">
        <v>44404</v>
      </c>
      <c r="B141" s="219">
        <f>VLOOKUP('Ke Alternativo'!A141,'Dados para Ke Alternativo'!$A:$B,2,0)</f>
        <v>17.95</v>
      </c>
      <c r="C141" s="294">
        <f t="shared" si="11"/>
        <v>-4.2666666666666742E-2</v>
      </c>
      <c r="D141" s="296">
        <f>VLOOKUP(A141,'Dados para Ke Alternativo'!$P:$Q,2,0)</f>
        <v>5.1689999999999996</v>
      </c>
      <c r="E141" s="296">
        <f t="shared" si="10"/>
        <v>3.4726252660088992</v>
      </c>
      <c r="F141" s="294">
        <f t="shared" si="12"/>
        <v>-4.1351699232604622E-2</v>
      </c>
      <c r="G141" s="296">
        <f>VLOOKUP($A141,'Dados para Ke Alternativo'!$I:$J,2,0)</f>
        <v>3068.87</v>
      </c>
      <c r="H141" s="294">
        <f t="shared" si="13"/>
        <v>-3.7430203869628365E-3</v>
      </c>
      <c r="I141" s="297">
        <f>VLOOKUP(A141,'Dados para Ke Alternativo'!$W:$X,2,0)</f>
        <v>124612</v>
      </c>
      <c r="J141" s="294">
        <f t="shared" si="14"/>
        <v>-1.1047268340687588E-2</v>
      </c>
    </row>
    <row r="142" spans="1:10" x14ac:dyDescent="0.3">
      <c r="A142" s="167">
        <v>44405</v>
      </c>
      <c r="B142" s="219">
        <f>VLOOKUP('Ke Alternativo'!A142,'Dados para Ke Alternativo'!$A:$B,2,0)</f>
        <v>18</v>
      </c>
      <c r="C142" s="294">
        <f t="shared" si="11"/>
        <v>2.7855153203342198E-3</v>
      </c>
      <c r="D142" s="296">
        <f>VLOOKUP(A142,'Dados para Ke Alternativo'!$P:$Q,2,0)</f>
        <v>5.1157000000000004</v>
      </c>
      <c r="E142" s="296">
        <f t="shared" si="10"/>
        <v>3.5185800574701407</v>
      </c>
      <c r="F142" s="294">
        <f t="shared" si="12"/>
        <v>1.3233443847529669E-2</v>
      </c>
      <c r="G142" s="296">
        <f>VLOOKUP($A142,'Dados para Ke Alternativo'!$I:$J,2,0)</f>
        <v>3069.49</v>
      </c>
      <c r="H142" s="294">
        <f t="shared" si="13"/>
        <v>2.0202875977148871E-4</v>
      </c>
      <c r="I142" s="297">
        <f>VLOOKUP(A142,'Dados para Ke Alternativo'!$W:$X,2,0)</f>
        <v>126286</v>
      </c>
      <c r="J142" s="294">
        <f t="shared" si="14"/>
        <v>1.3433698199210253E-2</v>
      </c>
    </row>
    <row r="143" spans="1:10" x14ac:dyDescent="0.3">
      <c r="A143" s="168">
        <v>44406</v>
      </c>
      <c r="B143" s="219">
        <f>VLOOKUP('Ke Alternativo'!A143,'Dados para Ke Alternativo'!$A:$B,2,0)</f>
        <v>18.38</v>
      </c>
      <c r="C143" s="294">
        <f t="shared" si="11"/>
        <v>2.1111111111111081E-2</v>
      </c>
      <c r="D143" s="296">
        <f>VLOOKUP(A143,'Dados para Ke Alternativo'!$P:$Q,2,0)</f>
        <v>5.0811999999999999</v>
      </c>
      <c r="E143" s="296">
        <f t="shared" si="10"/>
        <v>3.6172557663544045</v>
      </c>
      <c r="F143" s="294">
        <f t="shared" si="12"/>
        <v>2.8044184663290395E-2</v>
      </c>
      <c r="G143" s="296">
        <f>VLOOKUP($A143,'Dados para Ke Alternativo'!$I:$J,2,0)</f>
        <v>3089.82</v>
      </c>
      <c r="H143" s="294">
        <f t="shared" si="13"/>
        <v>6.623250116468915E-3</v>
      </c>
      <c r="I143" s="297">
        <f>VLOOKUP(A143,'Dados para Ke Alternativo'!$W:$X,2,0)</f>
        <v>125675</v>
      </c>
      <c r="J143" s="294">
        <f t="shared" si="14"/>
        <v>-4.8382243479087039E-3</v>
      </c>
    </row>
    <row r="144" spans="1:10" x14ac:dyDescent="0.3">
      <c r="A144" s="167">
        <v>44407</v>
      </c>
      <c r="B144" s="219">
        <f>VLOOKUP('Ke Alternativo'!A144,'Dados para Ke Alternativo'!$A:$B,2,0)</f>
        <v>17.850000000000001</v>
      </c>
      <c r="C144" s="294">
        <f t="shared" si="11"/>
        <v>-2.883569096844385E-2</v>
      </c>
      <c r="D144" s="296">
        <f>VLOOKUP(A144,'Dados para Ke Alternativo'!$P:$Q,2,0)</f>
        <v>5.2122999999999999</v>
      </c>
      <c r="E144" s="296">
        <f t="shared" si="10"/>
        <v>3.4245918308616159</v>
      </c>
      <c r="F144" s="294">
        <f t="shared" si="12"/>
        <v>-5.3262458597712614E-2</v>
      </c>
      <c r="G144" s="296">
        <f>VLOOKUP($A144,'Dados para Ke Alternativo'!$I:$J,2,0)</f>
        <v>3069.25</v>
      </c>
      <c r="H144" s="294">
        <f t="shared" si="13"/>
        <v>-6.6573457353503729E-3</v>
      </c>
      <c r="I144" s="297">
        <f>VLOOKUP(A144,'Dados para Ke Alternativo'!$W:$X,2,0)</f>
        <v>121801</v>
      </c>
      <c r="J144" s="294">
        <f t="shared" si="14"/>
        <v>-3.0825542072806855E-2</v>
      </c>
    </row>
    <row r="145" spans="1:10" x14ac:dyDescent="0.3">
      <c r="A145" s="168">
        <v>44410</v>
      </c>
      <c r="B145" s="219">
        <f>VLOOKUP('Ke Alternativo'!A145,'Dados para Ke Alternativo'!$A:$B,2,0)</f>
        <v>17.59</v>
      </c>
      <c r="C145" s="294">
        <f t="shared" si="11"/>
        <v>-1.4565826330532272E-2</v>
      </c>
      <c r="D145" s="296">
        <f>VLOOKUP(A145,'Dados para Ke Alternativo'!$P:$Q,2,0)</f>
        <v>5.1746999999999996</v>
      </c>
      <c r="E145" s="296">
        <f t="shared" si="10"/>
        <v>3.3992308732873404</v>
      </c>
      <c r="F145" s="294">
        <f t="shared" si="12"/>
        <v>-7.4055416898821669E-3</v>
      </c>
      <c r="G145" s="296">
        <f>VLOOKUP($A145,'Dados para Ke Alternativo'!$I:$J,2,0)</f>
        <v>3077.11</v>
      </c>
      <c r="H145" s="294">
        <f t="shared" si="13"/>
        <v>2.5608862099861796E-3</v>
      </c>
      <c r="I145" s="297">
        <f>VLOOKUP(A145,'Dados para Ke Alternativo'!$W:$X,2,0)</f>
        <v>122516</v>
      </c>
      <c r="J145" s="294">
        <f t="shared" si="14"/>
        <v>5.8702309504847783E-3</v>
      </c>
    </row>
    <row r="146" spans="1:10" x14ac:dyDescent="0.3">
      <c r="A146" s="167">
        <v>44411</v>
      </c>
      <c r="B146" s="219">
        <f>VLOOKUP('Ke Alternativo'!A146,'Dados para Ke Alternativo'!$A:$B,2,0)</f>
        <v>17.899999999999999</v>
      </c>
      <c r="C146" s="294">
        <f t="shared" si="11"/>
        <v>1.7623649801023156E-2</v>
      </c>
      <c r="D146" s="296">
        <f>VLOOKUP(A146,'Dados para Ke Alternativo'!$P:$Q,2,0)</f>
        <v>5.1966999999999999</v>
      </c>
      <c r="E146" s="296">
        <f t="shared" si="10"/>
        <v>3.4444936209517576</v>
      </c>
      <c r="F146" s="294">
        <f t="shared" si="12"/>
        <v>1.3315585010748032E-2</v>
      </c>
      <c r="G146" s="296">
        <f>VLOOKUP($A146,'Dados para Ke Alternativo'!$I:$J,2,0)</f>
        <v>3092.51</v>
      </c>
      <c r="H146" s="294">
        <f t="shared" si="13"/>
        <v>5.004695964720085E-3</v>
      </c>
      <c r="I146" s="297">
        <f>VLOOKUP(A146,'Dados para Ke Alternativo'!$W:$X,2,0)</f>
        <v>123577</v>
      </c>
      <c r="J146" s="294">
        <f t="shared" si="14"/>
        <v>8.6600933755591747E-3</v>
      </c>
    </row>
    <row r="147" spans="1:10" x14ac:dyDescent="0.3">
      <c r="A147" s="168">
        <v>44412</v>
      </c>
      <c r="B147" s="219">
        <f>VLOOKUP('Ke Alternativo'!A147,'Dados para Ke Alternativo'!$A:$B,2,0)</f>
        <v>17.3</v>
      </c>
      <c r="C147" s="294">
        <f t="shared" si="11"/>
        <v>-3.3519553072625552E-2</v>
      </c>
      <c r="D147" s="296">
        <f>VLOOKUP(A147,'Dados para Ke Alternativo'!$P:$Q,2,0)</f>
        <v>5.1684999999999999</v>
      </c>
      <c r="E147" s="296">
        <f t="shared" si="10"/>
        <v>3.3471993808648546</v>
      </c>
      <c r="F147" s="294">
        <f t="shared" si="12"/>
        <v>-2.8246311589922302E-2</v>
      </c>
      <c r="G147" s="296">
        <f>VLOOKUP($A147,'Dados para Ke Alternativo'!$I:$J,2,0)</f>
        <v>3085.83</v>
      </c>
      <c r="H147" s="294">
        <f t="shared" si="13"/>
        <v>-2.1600576877682798E-3</v>
      </c>
      <c r="I147" s="297">
        <f>VLOOKUP(A147,'Dados para Ke Alternativo'!$W:$X,2,0)</f>
        <v>121801</v>
      </c>
      <c r="J147" s="294">
        <f t="shared" si="14"/>
        <v>-1.4371606366880618E-2</v>
      </c>
    </row>
    <row r="148" spans="1:10" x14ac:dyDescent="0.3">
      <c r="A148" s="167">
        <v>44413</v>
      </c>
      <c r="B148" s="219">
        <f>VLOOKUP('Ke Alternativo'!A148,'Dados para Ke Alternativo'!$A:$B,2,0)</f>
        <v>17.27</v>
      </c>
      <c r="C148" s="294">
        <f t="shared" si="11"/>
        <v>-1.734104046242857E-3</v>
      </c>
      <c r="D148" s="296">
        <f>VLOOKUP(A148,'Dados para Ke Alternativo'!$P:$Q,2,0)</f>
        <v>5.2488000000000001</v>
      </c>
      <c r="E148" s="296">
        <f t="shared" si="10"/>
        <v>3.2902758725803993</v>
      </c>
      <c r="F148" s="294">
        <f t="shared" si="12"/>
        <v>-1.7006309397006203E-2</v>
      </c>
      <c r="G148" s="296">
        <f>VLOOKUP($A148,'Dados para Ke Alternativo'!$I:$J,2,0)</f>
        <v>3102.23</v>
      </c>
      <c r="H148" s="294">
        <f t="shared" si="13"/>
        <v>5.3146155167329567E-3</v>
      </c>
      <c r="I148" s="297">
        <f>VLOOKUP(A148,'Dados para Ke Alternativo'!$W:$X,2,0)</f>
        <v>121633</v>
      </c>
      <c r="J148" s="294">
        <f t="shared" si="14"/>
        <v>-1.3792990205334643E-3</v>
      </c>
    </row>
    <row r="149" spans="1:10" x14ac:dyDescent="0.3">
      <c r="A149" s="168">
        <v>44414</v>
      </c>
      <c r="B149" s="219">
        <f>VLOOKUP('Ke Alternativo'!A149,'Dados para Ke Alternativo'!$A:$B,2,0)</f>
        <v>17.47</v>
      </c>
      <c r="C149" s="294">
        <f t="shared" si="11"/>
        <v>1.1580775911986141E-2</v>
      </c>
      <c r="D149" s="296">
        <f>VLOOKUP(A149,'Dados para Ke Alternativo'!$P:$Q,2,0)</f>
        <v>5.2301000000000002</v>
      </c>
      <c r="E149" s="296">
        <f t="shared" si="10"/>
        <v>3.3402803005678665</v>
      </c>
      <c r="F149" s="294">
        <f t="shared" si="12"/>
        <v>1.5197639931709084E-2</v>
      </c>
      <c r="G149" s="296">
        <f>VLOOKUP($A149,'Dados para Ke Alternativo'!$I:$J,2,0)</f>
        <v>3098.06</v>
      </c>
      <c r="H149" s="294">
        <f t="shared" si="13"/>
        <v>-1.3441943376216736E-3</v>
      </c>
      <c r="I149" s="297">
        <f>VLOOKUP(A149,'Dados para Ke Alternativo'!$W:$X,2,0)</f>
        <v>122810</v>
      </c>
      <c r="J149" s="294">
        <f t="shared" si="14"/>
        <v>9.6766502511653751E-3</v>
      </c>
    </row>
    <row r="150" spans="1:10" x14ac:dyDescent="0.3">
      <c r="A150" s="167">
        <v>44417</v>
      </c>
      <c r="B150" s="219">
        <f>VLOOKUP('Ke Alternativo'!A150,'Dados para Ke Alternativo'!$A:$B,2,0)</f>
        <v>17.579999999999998</v>
      </c>
      <c r="C150" s="294">
        <f t="shared" si="11"/>
        <v>6.2965082999426603E-3</v>
      </c>
      <c r="D150" s="296">
        <f>VLOOKUP(A150,'Dados para Ke Alternativo'!$P:$Q,2,0)</f>
        <v>5.2331000000000003</v>
      </c>
      <c r="E150" s="296">
        <f t="shared" si="10"/>
        <v>3.3593854503067009</v>
      </c>
      <c r="F150" s="294">
        <f t="shared" si="12"/>
        <v>5.7196247080182339E-3</v>
      </c>
      <c r="G150" s="296">
        <f>VLOOKUP($A150,'Dados para Ke Alternativo'!$I:$J,2,0)</f>
        <v>3097.06</v>
      </c>
      <c r="H150" s="294">
        <f t="shared" si="13"/>
        <v>-3.2278264462271E-4</v>
      </c>
      <c r="I150" s="297">
        <f>VLOOKUP(A150,'Dados para Ke Alternativo'!$W:$X,2,0)</f>
        <v>123019</v>
      </c>
      <c r="J150" s="294">
        <f t="shared" si="14"/>
        <v>1.701815813044627E-3</v>
      </c>
    </row>
    <row r="151" spans="1:10" x14ac:dyDescent="0.3">
      <c r="A151" s="168">
        <v>44418</v>
      </c>
      <c r="B151" s="219">
        <f>VLOOKUP('Ke Alternativo'!A151,'Dados para Ke Alternativo'!$A:$B,2,0)</f>
        <v>18.72</v>
      </c>
      <c r="C151" s="294">
        <f t="shared" si="11"/>
        <v>6.4846416382252636E-2</v>
      </c>
      <c r="D151" s="296">
        <f>VLOOKUP(A151,'Dados para Ke Alternativo'!$P:$Q,2,0)</f>
        <v>5.1894999999999998</v>
      </c>
      <c r="E151" s="296">
        <f t="shared" si="10"/>
        <v>3.60728393872242</v>
      </c>
      <c r="F151" s="294">
        <f t="shared" si="12"/>
        <v>7.3792808858265113E-2</v>
      </c>
      <c r="G151" s="296">
        <f>VLOOKUP($A151,'Dados para Ke Alternativo'!$I:$J,2,0)</f>
        <v>3099.49</v>
      </c>
      <c r="H151" s="294">
        <f t="shared" si="13"/>
        <v>7.8461508656602064E-4</v>
      </c>
      <c r="I151" s="297">
        <f>VLOOKUP(A151,'Dados para Ke Alternativo'!$W:$X,2,0)</f>
        <v>122202</v>
      </c>
      <c r="J151" s="294">
        <f t="shared" si="14"/>
        <v>-6.6412505385347043E-3</v>
      </c>
    </row>
    <row r="152" spans="1:10" x14ac:dyDescent="0.3">
      <c r="A152" s="167">
        <v>44419</v>
      </c>
      <c r="B152" s="219">
        <f>VLOOKUP('Ke Alternativo'!A152,'Dados para Ke Alternativo'!$A:$B,2,0)</f>
        <v>18.3</v>
      </c>
      <c r="C152" s="294">
        <f t="shared" si="11"/>
        <v>-2.2435897435897356E-2</v>
      </c>
      <c r="D152" s="296">
        <f>VLOOKUP(A152,'Dados para Ke Alternativo'!$P:$Q,2,0)</f>
        <v>5.2184999999999997</v>
      </c>
      <c r="E152" s="296">
        <f t="shared" si="10"/>
        <v>3.5067548146018974</v>
      </c>
      <c r="F152" s="294">
        <f t="shared" si="12"/>
        <v>-2.7868370172192902E-2</v>
      </c>
      <c r="G152" s="296">
        <f>VLOOKUP($A152,'Dados para Ke Alternativo'!$I:$J,2,0)</f>
        <v>3109.97</v>
      </c>
      <c r="H152" s="294">
        <f t="shared" si="13"/>
        <v>3.3812014234599896E-3</v>
      </c>
      <c r="I152" s="297">
        <f>VLOOKUP(A152,'Dados para Ke Alternativo'!$W:$X,2,0)</f>
        <v>122056</v>
      </c>
      <c r="J152" s="294">
        <f t="shared" si="14"/>
        <v>-1.1947431302270495E-3</v>
      </c>
    </row>
    <row r="153" spans="1:10" x14ac:dyDescent="0.3">
      <c r="A153" s="168">
        <v>44420</v>
      </c>
      <c r="B153" s="219">
        <f>VLOOKUP('Ke Alternativo'!A153,'Dados para Ke Alternativo'!$A:$B,2,0)</f>
        <v>17.75</v>
      </c>
      <c r="C153" s="294">
        <f t="shared" si="11"/>
        <v>-3.0054644808743203E-2</v>
      </c>
      <c r="D153" s="296">
        <f>VLOOKUP(A153,'Dados para Ke Alternativo'!$P:$Q,2,0)</f>
        <v>5.2523999999999997</v>
      </c>
      <c r="E153" s="296">
        <f t="shared" si="10"/>
        <v>3.3794075089482907</v>
      </c>
      <c r="F153" s="294">
        <f t="shared" si="12"/>
        <v>-3.6314858718762166E-2</v>
      </c>
      <c r="G153" s="296">
        <f>VLOOKUP($A153,'Dados para Ke Alternativo'!$I:$J,2,0)</f>
        <v>3115.74</v>
      </c>
      <c r="H153" s="294">
        <f t="shared" si="13"/>
        <v>1.855323363247896E-3</v>
      </c>
      <c r="I153" s="297">
        <f>VLOOKUP(A153,'Dados para Ke Alternativo'!$W:$X,2,0)</f>
        <v>120701</v>
      </c>
      <c r="J153" s="294">
        <f t="shared" si="14"/>
        <v>-1.1101461624172471E-2</v>
      </c>
    </row>
    <row r="154" spans="1:10" x14ac:dyDescent="0.3">
      <c r="A154" s="167">
        <v>44421</v>
      </c>
      <c r="B154" s="219">
        <f>VLOOKUP('Ke Alternativo'!A154,'Dados para Ke Alternativo'!$A:$B,2,0)</f>
        <v>17.420000000000002</v>
      </c>
      <c r="C154" s="294">
        <f t="shared" si="11"/>
        <v>-1.8591549295774557E-2</v>
      </c>
      <c r="D154" s="296">
        <f>VLOOKUP(A154,'Dados para Ke Alternativo'!$P:$Q,2,0)</f>
        <v>5.2465999999999999</v>
      </c>
      <c r="E154" s="296">
        <f t="shared" si="10"/>
        <v>3.3202454923188354</v>
      </c>
      <c r="F154" s="294">
        <f t="shared" si="12"/>
        <v>-1.7506624008143734E-2</v>
      </c>
      <c r="G154" s="296">
        <f>VLOOKUP($A154,'Dados para Ke Alternativo'!$I:$J,2,0)</f>
        <v>3125.12</v>
      </c>
      <c r="H154" s="294">
        <f t="shared" si="13"/>
        <v>3.010520775160952E-3</v>
      </c>
      <c r="I154" s="297">
        <f>VLOOKUP(A154,'Dados para Ke Alternativo'!$W:$X,2,0)</f>
        <v>121194</v>
      </c>
      <c r="J154" s="294">
        <f t="shared" si="14"/>
        <v>4.0844732023761487E-3</v>
      </c>
    </row>
    <row r="155" spans="1:10" x14ac:dyDescent="0.3">
      <c r="A155" s="168">
        <v>44424</v>
      </c>
      <c r="B155" s="219">
        <f>VLOOKUP('Ke Alternativo'!A155,'Dados para Ke Alternativo'!$A:$B,2,0)</f>
        <v>16.77</v>
      </c>
      <c r="C155" s="294">
        <f t="shared" si="11"/>
        <v>-3.7313432835821003E-2</v>
      </c>
      <c r="D155" s="296">
        <f>VLOOKUP(A155,'Dados para Ke Alternativo'!$P:$Q,2,0)</f>
        <v>5.2595000000000001</v>
      </c>
      <c r="E155" s="296">
        <f t="shared" si="10"/>
        <v>3.1885160186329498</v>
      </c>
      <c r="F155" s="294">
        <f t="shared" si="12"/>
        <v>-3.9674618636071579E-2</v>
      </c>
      <c r="G155" s="296">
        <f>VLOOKUP($A155,'Dados para Ke Alternativo'!$I:$J,2,0)</f>
        <v>3121.99</v>
      </c>
      <c r="H155" s="294">
        <f t="shared" si="13"/>
        <v>-1.0015615400369438E-3</v>
      </c>
      <c r="I155" s="297">
        <f>VLOOKUP(A155,'Dados para Ke Alternativo'!$W:$X,2,0)</f>
        <v>119180</v>
      </c>
      <c r="J155" s="294">
        <f t="shared" si="14"/>
        <v>-1.6617984388666129E-2</v>
      </c>
    </row>
    <row r="156" spans="1:10" x14ac:dyDescent="0.3">
      <c r="A156" s="167">
        <v>44425</v>
      </c>
      <c r="B156" s="219">
        <f>VLOOKUP('Ke Alternativo'!A156,'Dados para Ke Alternativo'!$A:$B,2,0)</f>
        <v>16.75</v>
      </c>
      <c r="C156" s="294">
        <f t="shared" si="11"/>
        <v>-1.1926058437685683E-3</v>
      </c>
      <c r="D156" s="296">
        <f>VLOOKUP(A156,'Dados para Ke Alternativo'!$P:$Q,2,0)</f>
        <v>5.2948000000000004</v>
      </c>
      <c r="E156" s="296">
        <f t="shared" si="10"/>
        <v>3.1634811513182743</v>
      </c>
      <c r="F156" s="294">
        <f t="shared" si="12"/>
        <v>-7.8515733238840868E-3</v>
      </c>
      <c r="G156" s="296">
        <f>VLOOKUP($A156,'Dados para Ke Alternativo'!$I:$J,2,0)</f>
        <v>3100.12</v>
      </c>
      <c r="H156" s="294">
        <f t="shared" si="13"/>
        <v>-7.0051473579351153E-3</v>
      </c>
      <c r="I156" s="297">
        <f>VLOOKUP(A156,'Dados para Ke Alternativo'!$W:$X,2,0)</f>
        <v>117904</v>
      </c>
      <c r="J156" s="294">
        <f t="shared" si="14"/>
        <v>-1.070649437825133E-2</v>
      </c>
    </row>
    <row r="157" spans="1:10" x14ac:dyDescent="0.3">
      <c r="A157" s="168">
        <v>44426</v>
      </c>
      <c r="B157" s="219">
        <f>VLOOKUP('Ke Alternativo'!A157,'Dados para Ke Alternativo'!$A:$B,2,0)</f>
        <v>17.28</v>
      </c>
      <c r="C157" s="294">
        <f t="shared" si="11"/>
        <v>3.1641791044776157E-2</v>
      </c>
      <c r="D157" s="296">
        <f>VLOOKUP(A157,'Dados para Ke Alternativo'!$P:$Q,2,0)</f>
        <v>5.3794000000000004</v>
      </c>
      <c r="E157" s="296">
        <f t="shared" si="10"/>
        <v>3.2122541547384467</v>
      </c>
      <c r="F157" s="294">
        <f t="shared" si="12"/>
        <v>1.5417510358753939E-2</v>
      </c>
      <c r="G157" s="296">
        <f>VLOOKUP($A157,'Dados para Ke Alternativo'!$I:$J,2,0)</f>
        <v>3078.01</v>
      </c>
      <c r="H157" s="294">
        <f t="shared" si="13"/>
        <v>-7.1319819877939672E-3</v>
      </c>
      <c r="I157" s="297">
        <f>VLOOKUP(A157,'Dados para Ke Alternativo'!$W:$X,2,0)</f>
        <v>116643</v>
      </c>
      <c r="J157" s="294">
        <f t="shared" si="14"/>
        <v>-1.0695141810286302E-2</v>
      </c>
    </row>
    <row r="158" spans="1:10" x14ac:dyDescent="0.3">
      <c r="A158" s="167">
        <v>44427</v>
      </c>
      <c r="B158" s="219">
        <f>VLOOKUP('Ke Alternativo'!A158,'Dados para Ke Alternativo'!$A:$B,2,0)</f>
        <v>18.100000000000001</v>
      </c>
      <c r="C158" s="294">
        <f t="shared" si="11"/>
        <v>4.745370370370372E-2</v>
      </c>
      <c r="D158" s="296">
        <f>VLOOKUP(A158,'Dados para Ke Alternativo'!$P:$Q,2,0)</f>
        <v>5.4142000000000001</v>
      </c>
      <c r="E158" s="296">
        <f t="shared" si="10"/>
        <v>3.3430608400132984</v>
      </c>
      <c r="F158" s="294">
        <f t="shared" si="12"/>
        <v>4.0721150623121316E-2</v>
      </c>
      <c r="G158" s="296">
        <f>VLOOKUP($A158,'Dados para Ke Alternativo'!$I:$J,2,0)</f>
        <v>3063.22</v>
      </c>
      <c r="H158" s="294">
        <f t="shared" si="13"/>
        <v>-4.8050526151638406E-3</v>
      </c>
      <c r="I158" s="297">
        <f>VLOOKUP(A158,'Dados para Ke Alternativo'!$W:$X,2,0)</f>
        <v>117165</v>
      </c>
      <c r="J158" s="294">
        <f t="shared" si="14"/>
        <v>4.4751935392608466E-3</v>
      </c>
    </row>
    <row r="159" spans="1:10" x14ac:dyDescent="0.3">
      <c r="A159" s="168">
        <v>44428</v>
      </c>
      <c r="B159" s="219">
        <f>VLOOKUP('Ke Alternativo'!A159,'Dados para Ke Alternativo'!$A:$B,2,0)</f>
        <v>18.03</v>
      </c>
      <c r="C159" s="294">
        <f t="shared" si="11"/>
        <v>-3.8674033149171949E-3</v>
      </c>
      <c r="D159" s="296">
        <f>VLOOKUP(A159,'Dados para Ke Alternativo'!$P:$Q,2,0)</f>
        <v>5.3769999999999998</v>
      </c>
      <c r="E159" s="296">
        <f t="shared" si="10"/>
        <v>3.3531709131485963</v>
      </c>
      <c r="F159" s="294">
        <f t="shared" si="12"/>
        <v>3.0241965728801112E-3</v>
      </c>
      <c r="G159" s="296">
        <f>VLOOKUP($A159,'Dados para Ke Alternativo'!$I:$J,2,0)</f>
        <v>3080.02</v>
      </c>
      <c r="H159" s="294">
        <f t="shared" si="13"/>
        <v>5.4844248862309097E-3</v>
      </c>
      <c r="I159" s="297">
        <f>VLOOKUP(A159,'Dados para Ke Alternativo'!$W:$X,2,0)</f>
        <v>118053</v>
      </c>
      <c r="J159" s="294">
        <f t="shared" si="14"/>
        <v>7.5790551785943627E-3</v>
      </c>
    </row>
    <row r="160" spans="1:10" x14ac:dyDescent="0.3">
      <c r="A160" s="167">
        <v>44431</v>
      </c>
      <c r="B160" s="219">
        <f>VLOOKUP('Ke Alternativo'!A160,'Dados para Ke Alternativo'!$A:$B,2,0)</f>
        <v>18.68</v>
      </c>
      <c r="C160" s="294">
        <f t="shared" si="11"/>
        <v>3.6051026067664971E-2</v>
      </c>
      <c r="D160" s="296">
        <f>VLOOKUP(A160,'Dados para Ke Alternativo'!$P:$Q,2,0)</f>
        <v>5.3802000000000003</v>
      </c>
      <c r="E160" s="296">
        <f t="shared" si="10"/>
        <v>3.4719898888517151</v>
      </c>
      <c r="F160" s="294">
        <f t="shared" si="12"/>
        <v>3.5434810446792531E-2</v>
      </c>
      <c r="G160" s="296">
        <f>VLOOKUP($A160,'Dados para Ke Alternativo'!$I:$J,2,0)</f>
        <v>3112.57</v>
      </c>
      <c r="H160" s="294">
        <f t="shared" si="13"/>
        <v>1.056811319407025E-2</v>
      </c>
      <c r="I160" s="297">
        <f>VLOOKUP(A160,'Dados para Ke Alternativo'!$W:$X,2,0)</f>
        <v>117472</v>
      </c>
      <c r="J160" s="294">
        <f t="shared" si="14"/>
        <v>-4.9215183011021013E-3</v>
      </c>
    </row>
    <row r="161" spans="1:10" x14ac:dyDescent="0.3">
      <c r="A161" s="168">
        <v>44432</v>
      </c>
      <c r="B161" s="219">
        <f>VLOOKUP('Ke Alternativo'!A161,'Dados para Ke Alternativo'!$A:$B,2,0)</f>
        <v>19.079999999999998</v>
      </c>
      <c r="C161" s="294">
        <f t="shared" si="11"/>
        <v>2.1413276231263323E-2</v>
      </c>
      <c r="D161" s="296">
        <f>VLOOKUP(A161,'Dados para Ke Alternativo'!$P:$Q,2,0)</f>
        <v>5.2462999999999997</v>
      </c>
      <c r="E161" s="296">
        <f t="shared" si="10"/>
        <v>3.6368488267922152</v>
      </c>
      <c r="F161" s="294">
        <f t="shared" si="12"/>
        <v>4.7482551279843577E-2</v>
      </c>
      <c r="G161" s="296">
        <f>VLOOKUP($A161,'Dados para Ke Alternativo'!$I:$J,2,0)</f>
        <v>3122</v>
      </c>
      <c r="H161" s="294">
        <f t="shared" si="13"/>
        <v>3.0296507387785887E-3</v>
      </c>
      <c r="I161" s="297">
        <f>VLOOKUP(A161,'Dados para Ke Alternativo'!$W:$X,2,0)</f>
        <v>120211</v>
      </c>
      <c r="J161" s="294">
        <f t="shared" si="14"/>
        <v>2.3316194497412068E-2</v>
      </c>
    </row>
    <row r="162" spans="1:10" x14ac:dyDescent="0.3">
      <c r="A162" s="167">
        <v>44433</v>
      </c>
      <c r="B162" s="219">
        <f>VLOOKUP('Ke Alternativo'!A162,'Dados para Ke Alternativo'!$A:$B,2,0)</f>
        <v>18.920000000000002</v>
      </c>
      <c r="C162" s="294">
        <f t="shared" si="11"/>
        <v>-8.3857442348006517E-3</v>
      </c>
      <c r="D162" s="296">
        <f>VLOOKUP(A162,'Dados para Ke Alternativo'!$P:$Q,2,0)</f>
        <v>5.2117000000000004</v>
      </c>
      <c r="E162" s="296">
        <f t="shared" si="10"/>
        <v>3.630293378360228</v>
      </c>
      <c r="F162" s="294">
        <f t="shared" si="12"/>
        <v>-1.8025078149231932E-3</v>
      </c>
      <c r="G162" s="296">
        <f>VLOOKUP($A162,'Dados para Ke Alternativo'!$I:$J,2,0)</f>
        <v>3125.83</v>
      </c>
      <c r="H162" s="294">
        <f t="shared" si="13"/>
        <v>1.2267777065984031E-3</v>
      </c>
      <c r="I162" s="297">
        <f>VLOOKUP(A162,'Dados para Ke Alternativo'!$W:$X,2,0)</f>
        <v>120818</v>
      </c>
      <c r="J162" s="294">
        <f t="shared" si="14"/>
        <v>5.0494547088035802E-3</v>
      </c>
    </row>
    <row r="163" spans="1:10" x14ac:dyDescent="0.3">
      <c r="A163" s="168">
        <v>44434</v>
      </c>
      <c r="B163" s="219">
        <f>VLOOKUP('Ke Alternativo'!A163,'Dados para Ke Alternativo'!$A:$B,2,0)</f>
        <v>18.059999999999999</v>
      </c>
      <c r="C163" s="294">
        <f t="shared" si="11"/>
        <v>-4.5454545454545636E-2</v>
      </c>
      <c r="D163" s="296">
        <f>VLOOKUP(A163,'Dados para Ke Alternativo'!$P:$Q,2,0)</f>
        <v>5.2522000000000002</v>
      </c>
      <c r="E163" s="296">
        <f t="shared" si="10"/>
        <v>3.4385590800045693</v>
      </c>
      <c r="F163" s="294">
        <f t="shared" si="12"/>
        <v>-5.2815097396415767E-2</v>
      </c>
      <c r="G163" s="296">
        <f>VLOOKUP($A163,'Dados para Ke Alternativo'!$I:$J,2,0)</f>
        <v>3110.27</v>
      </c>
      <c r="H163" s="294">
        <f t="shared" si="13"/>
        <v>-4.9778778756361941E-3</v>
      </c>
      <c r="I163" s="297">
        <f>VLOOKUP(A163,'Dados para Ke Alternativo'!$W:$X,2,0)</f>
        <v>118724</v>
      </c>
      <c r="J163" s="294">
        <f t="shared" si="14"/>
        <v>-1.7331854524987977E-2</v>
      </c>
    </row>
    <row r="164" spans="1:10" x14ac:dyDescent="0.3">
      <c r="A164" s="167">
        <v>44435</v>
      </c>
      <c r="B164" s="219">
        <f>VLOOKUP('Ke Alternativo'!A164,'Dados para Ke Alternativo'!$A:$B,2,0)</f>
        <v>19.399999999999999</v>
      </c>
      <c r="C164" s="294">
        <f t="shared" si="11"/>
        <v>7.4197120708748621E-2</v>
      </c>
      <c r="D164" s="296">
        <f>VLOOKUP(A164,'Dados para Ke Alternativo'!$P:$Q,2,0)</f>
        <v>5.1996000000000002</v>
      </c>
      <c r="E164" s="296">
        <f t="shared" si="10"/>
        <v>3.7310562350950067</v>
      </c>
      <c r="F164" s="294">
        <f t="shared" si="12"/>
        <v>8.5063873641527898E-2</v>
      </c>
      <c r="G164" s="296">
        <f>VLOOKUP($A164,'Dados para Ke Alternativo'!$I:$J,2,0)</f>
        <v>3133.67</v>
      </c>
      <c r="H164" s="294">
        <f t="shared" si="13"/>
        <v>7.5234625932796284E-3</v>
      </c>
      <c r="I164" s="297">
        <f>VLOOKUP(A164,'Dados para Ke Alternativo'!$W:$X,2,0)</f>
        <v>120678</v>
      </c>
      <c r="J164" s="294">
        <f t="shared" si="14"/>
        <v>1.6458340352413892E-2</v>
      </c>
    </row>
    <row r="165" spans="1:10" x14ac:dyDescent="0.3">
      <c r="A165" s="168">
        <v>44438</v>
      </c>
      <c r="B165" s="219">
        <f>VLOOKUP('Ke Alternativo'!A165,'Dados para Ke Alternativo'!$A:$B,2,0)</f>
        <v>19.3</v>
      </c>
      <c r="C165" s="294">
        <f t="shared" si="11"/>
        <v>-5.1546391752576026E-3</v>
      </c>
      <c r="D165" s="296">
        <f>VLOOKUP(A165,'Dados para Ke Alternativo'!$P:$Q,2,0)</f>
        <v>5.1840000000000002</v>
      </c>
      <c r="E165" s="296">
        <f t="shared" si="10"/>
        <v>3.7229938271604937</v>
      </c>
      <c r="F165" s="294">
        <f t="shared" si="12"/>
        <v>-2.1608915616646573E-3</v>
      </c>
      <c r="G165" s="296">
        <f>VLOOKUP($A165,'Dados para Ke Alternativo'!$I:$J,2,0)</f>
        <v>3146.63</v>
      </c>
      <c r="H165" s="294">
        <f t="shared" si="13"/>
        <v>4.1357258422234366E-3</v>
      </c>
      <c r="I165" s="297">
        <f>VLOOKUP(A165,'Dados para Ke Alternativo'!$W:$X,2,0)</f>
        <v>119740</v>
      </c>
      <c r="J165" s="294">
        <f t="shared" si="14"/>
        <v>-7.7727506256318746E-3</v>
      </c>
    </row>
    <row r="166" spans="1:10" x14ac:dyDescent="0.3">
      <c r="A166" s="167">
        <v>44439</v>
      </c>
      <c r="B166" s="219">
        <f>VLOOKUP('Ke Alternativo'!A166,'Dados para Ke Alternativo'!$A:$B,2,0)</f>
        <v>19.170000000000002</v>
      </c>
      <c r="C166" s="294">
        <f t="shared" si="11"/>
        <v>-6.7357512953367671E-3</v>
      </c>
      <c r="D166" s="296">
        <f>VLOOKUP(A166,'Dados para Ke Alternativo'!$P:$Q,2,0)</f>
        <v>5.1492000000000004</v>
      </c>
      <c r="E166" s="296">
        <f t="shared" si="10"/>
        <v>3.7229084129573526</v>
      </c>
      <c r="F166" s="294">
        <f t="shared" si="12"/>
        <v>-2.2942343475773619E-5</v>
      </c>
      <c r="G166" s="296">
        <f>VLOOKUP($A166,'Dados para Ke Alternativo'!$I:$J,2,0)</f>
        <v>3141.35</v>
      </c>
      <c r="H166" s="294">
        <f t="shared" si="13"/>
        <v>-1.677985654493952E-3</v>
      </c>
      <c r="I166" s="297">
        <f>VLOOKUP(A166,'Dados para Ke Alternativo'!$W:$X,2,0)</f>
        <v>118781</v>
      </c>
      <c r="J166" s="294">
        <f t="shared" si="14"/>
        <v>-8.0090195423417887E-3</v>
      </c>
    </row>
    <row r="167" spans="1:10" x14ac:dyDescent="0.3">
      <c r="A167" s="168">
        <v>44440</v>
      </c>
      <c r="B167" s="219">
        <f>VLOOKUP('Ke Alternativo'!A167,'Dados para Ke Alternativo'!$A:$B,2,0)</f>
        <v>18.63</v>
      </c>
      <c r="C167" s="294">
        <f t="shared" si="11"/>
        <v>-2.8169014084507227E-2</v>
      </c>
      <c r="D167" s="296">
        <f>VLOOKUP(A167,'Dados para Ke Alternativo'!$P:$Q,2,0)</f>
        <v>5.1858000000000004</v>
      </c>
      <c r="E167" s="296">
        <f t="shared" si="10"/>
        <v>3.5925026032627554</v>
      </c>
      <c r="F167" s="294">
        <f t="shared" si="12"/>
        <v>-3.5027939242536221E-2</v>
      </c>
      <c r="G167" s="296">
        <f>VLOOKUP($A167,'Dados para Ke Alternativo'!$I:$J,2,0)</f>
        <v>3151.66</v>
      </c>
      <c r="H167" s="294">
        <f t="shared" si="13"/>
        <v>3.2820284272685463E-3</v>
      </c>
      <c r="I167" s="297">
        <f>VLOOKUP(A167,'Dados para Ke Alternativo'!$W:$X,2,0)</f>
        <v>119396</v>
      </c>
      <c r="J167" s="294">
        <f t="shared" si="14"/>
        <v>5.1775957434270214E-3</v>
      </c>
    </row>
    <row r="168" spans="1:10" x14ac:dyDescent="0.3">
      <c r="A168" s="167">
        <v>44441</v>
      </c>
      <c r="B168" s="219">
        <f>VLOOKUP('Ke Alternativo'!A168,'Dados para Ke Alternativo'!$A:$B,2,0)</f>
        <v>18.77</v>
      </c>
      <c r="C168" s="294">
        <f t="shared" si="11"/>
        <v>7.5147611379495771E-3</v>
      </c>
      <c r="D168" s="296">
        <f>VLOOKUP(A168,'Dados para Ke Alternativo'!$P:$Q,2,0)</f>
        <v>5.1818999999999997</v>
      </c>
      <c r="E168" s="296">
        <f t="shared" si="10"/>
        <v>3.6222235087516164</v>
      </c>
      <c r="F168" s="294">
        <f t="shared" si="12"/>
        <v>8.2730365906675818E-3</v>
      </c>
      <c r="G168" s="296">
        <f>VLOOKUP($A168,'Dados para Ke Alternativo'!$I:$J,2,0)</f>
        <v>3161.46</v>
      </c>
      <c r="H168" s="294">
        <f t="shared" si="13"/>
        <v>3.109472468477037E-3</v>
      </c>
      <c r="I168" s="297">
        <f>VLOOKUP(A168,'Dados para Ke Alternativo'!$W:$X,2,0)</f>
        <v>116677</v>
      </c>
      <c r="J168" s="294">
        <f t="shared" si="14"/>
        <v>-2.2772957217997214E-2</v>
      </c>
    </row>
    <row r="169" spans="1:10" x14ac:dyDescent="0.3">
      <c r="A169" s="168">
        <v>44442</v>
      </c>
      <c r="B169" s="219">
        <f>VLOOKUP('Ke Alternativo'!A169,'Dados para Ke Alternativo'!$A:$B,2,0)</f>
        <v>18.149999999999999</v>
      </c>
      <c r="C169" s="294">
        <f t="shared" si="11"/>
        <v>-3.3031433137986177E-2</v>
      </c>
      <c r="D169" s="296">
        <f>VLOOKUP(A169,'Dados para Ke Alternativo'!$P:$Q,2,0)</f>
        <v>5.1908000000000003</v>
      </c>
      <c r="E169" s="296">
        <f t="shared" si="10"/>
        <v>3.4965708561300759</v>
      </c>
      <c r="F169" s="294">
        <f t="shared" si="12"/>
        <v>-3.4689370304718192E-2</v>
      </c>
      <c r="G169" s="296">
        <f>VLOOKUP($A169,'Dados para Ke Alternativo'!$I:$J,2,0)</f>
        <v>3163.99</v>
      </c>
      <c r="H169" s="294">
        <f t="shared" si="13"/>
        <v>8.0026316954806553E-4</v>
      </c>
      <c r="I169" s="297">
        <f>VLOOKUP(A169,'Dados para Ke Alternativo'!$W:$X,2,0)</f>
        <v>116933</v>
      </c>
      <c r="J169" s="294">
        <f t="shared" si="14"/>
        <v>2.1940913804776585E-3</v>
      </c>
    </row>
    <row r="170" spans="1:10" x14ac:dyDescent="0.3">
      <c r="A170" s="167">
        <v>44445</v>
      </c>
      <c r="B170" s="219">
        <f>VLOOKUP('Ke Alternativo'!A170,'Dados para Ke Alternativo'!$A:$B,2,0)</f>
        <v>18.53</v>
      </c>
      <c r="C170" s="294">
        <f t="shared" si="11"/>
        <v>2.0936639118457334E-2</v>
      </c>
      <c r="D170" s="296">
        <f>VLOOKUP(A170,'Dados para Ke Alternativo'!$P:$Q,2,0)</f>
        <v>5.1692999999999998</v>
      </c>
      <c r="E170" s="296">
        <f t="shared" si="10"/>
        <v>3.5846246106822979</v>
      </c>
      <c r="F170" s="294">
        <f t="shared" si="12"/>
        <v>2.5182888657282243E-2</v>
      </c>
      <c r="G170" s="296">
        <f>VLOOKUP($A170,'Dados para Ke Alternativo'!$I:$J,2,0)</f>
        <v>3169.64</v>
      </c>
      <c r="H170" s="294">
        <f t="shared" si="13"/>
        <v>1.785719929582541E-3</v>
      </c>
      <c r="I170" s="297">
        <f>VLOOKUP(A170,'Dados para Ke Alternativo'!$W:$X,2,0)</f>
        <v>117869</v>
      </c>
      <c r="J170" s="294">
        <f t="shared" si="14"/>
        <v>8.0045838215045961E-3</v>
      </c>
    </row>
    <row r="171" spans="1:10" x14ac:dyDescent="0.3">
      <c r="A171" s="168">
        <v>44447</v>
      </c>
      <c r="B171" s="219">
        <f>VLOOKUP('Ke Alternativo'!A171,'Dados para Ke Alternativo'!$A:$B,2,0)</f>
        <v>18.260000000000002</v>
      </c>
      <c r="C171" s="294">
        <f t="shared" si="11"/>
        <v>-1.4570966001079322E-2</v>
      </c>
      <c r="D171" s="296">
        <f>VLOOKUP(A171,'Dados para Ke Alternativo'!$P:$Q,2,0)</f>
        <v>5.3213999999999997</v>
      </c>
      <c r="E171" s="296">
        <f t="shared" si="10"/>
        <v>3.4314278197466836</v>
      </c>
      <c r="F171" s="294">
        <f t="shared" si="12"/>
        <v>-4.273719219554617E-2</v>
      </c>
      <c r="G171" s="296">
        <f>VLOOKUP($A171,'Dados para Ke Alternativo'!$I:$J,2,0)</f>
        <v>3146.96</v>
      </c>
      <c r="H171" s="294">
        <f t="shared" si="13"/>
        <v>-7.1553867316161979E-3</v>
      </c>
      <c r="I171" s="297">
        <f>VLOOKUP(A171,'Dados para Ke Alternativo'!$W:$X,2,0)</f>
        <v>113413</v>
      </c>
      <c r="J171" s="294">
        <f t="shared" si="14"/>
        <v>-3.7804681468409873E-2</v>
      </c>
    </row>
    <row r="172" spans="1:10" x14ac:dyDescent="0.3">
      <c r="A172" s="167">
        <v>44448</v>
      </c>
      <c r="B172" s="219">
        <f>VLOOKUP('Ke Alternativo'!A172,'Dados para Ke Alternativo'!$A:$B,2,0)</f>
        <v>19.78</v>
      </c>
      <c r="C172" s="294">
        <f t="shared" si="11"/>
        <v>8.3242059145673508E-2</v>
      </c>
      <c r="D172" s="296">
        <f>VLOOKUP(A172,'Dados para Ke Alternativo'!$P:$Q,2,0)</f>
        <v>5.1976000000000004</v>
      </c>
      <c r="E172" s="296">
        <f t="shared" si="10"/>
        <v>3.8056025858088347</v>
      </c>
      <c r="F172" s="294">
        <f t="shared" si="12"/>
        <v>0.10904346112393926</v>
      </c>
      <c r="G172" s="296">
        <f>VLOOKUP($A172,'Dados para Ke Alternativo'!$I:$J,2,0)</f>
        <v>3136.04</v>
      </c>
      <c r="H172" s="294">
        <f t="shared" si="13"/>
        <v>-3.4700155070290783E-3</v>
      </c>
      <c r="I172" s="297">
        <f>VLOOKUP(A172,'Dados para Ke Alternativo'!$W:$X,2,0)</f>
        <v>115361</v>
      </c>
      <c r="J172" s="294">
        <f t="shared" si="14"/>
        <v>1.7176161462971518E-2</v>
      </c>
    </row>
    <row r="173" spans="1:10" x14ac:dyDescent="0.3">
      <c r="A173" s="168">
        <v>44449</v>
      </c>
      <c r="B173" s="219">
        <f>VLOOKUP('Ke Alternativo'!A173,'Dados para Ke Alternativo'!$A:$B,2,0)</f>
        <v>19.100000000000001</v>
      </c>
      <c r="C173" s="294">
        <f t="shared" si="11"/>
        <v>-3.4378159757330606E-2</v>
      </c>
      <c r="D173" s="296">
        <f>VLOOKUP(A173,'Dados para Ke Alternativo'!$P:$Q,2,0)</f>
        <v>5.2454000000000001</v>
      </c>
      <c r="E173" s="296">
        <f t="shared" si="10"/>
        <v>3.6412856979448662</v>
      </c>
      <c r="F173" s="294">
        <f t="shared" si="12"/>
        <v>-4.317762671191927E-2</v>
      </c>
      <c r="G173" s="296">
        <f>VLOOKUP($A173,'Dados para Ke Alternativo'!$I:$J,2,0)</f>
        <v>3122.07</v>
      </c>
      <c r="H173" s="294">
        <f t="shared" si="13"/>
        <v>-4.4546625680794705E-3</v>
      </c>
      <c r="I173" s="297">
        <f>VLOOKUP(A173,'Dados para Ke Alternativo'!$W:$X,2,0)</f>
        <v>114286</v>
      </c>
      <c r="J173" s="294">
        <f t="shared" si="14"/>
        <v>-9.3185738681182961E-3</v>
      </c>
    </row>
    <row r="174" spans="1:10" x14ac:dyDescent="0.3">
      <c r="A174" s="167">
        <v>44452</v>
      </c>
      <c r="B174" s="219">
        <f>VLOOKUP('Ke Alternativo'!A174,'Dados para Ke Alternativo'!$A:$B,2,0)</f>
        <v>19.52</v>
      </c>
      <c r="C174" s="294">
        <f t="shared" si="11"/>
        <v>2.1989528795811397E-2</v>
      </c>
      <c r="D174" s="296">
        <f>VLOOKUP(A174,'Dados para Ke Alternativo'!$P:$Q,2,0)</f>
        <v>5.2144000000000004</v>
      </c>
      <c r="E174" s="296">
        <f t="shared" si="10"/>
        <v>3.743479594967781</v>
      </c>
      <c r="F174" s="294">
        <f t="shared" si="12"/>
        <v>2.8065333374031276E-2</v>
      </c>
      <c r="G174" s="296">
        <f>VLOOKUP($A174,'Dados para Ke Alternativo'!$I:$J,2,0)</f>
        <v>3126.1</v>
      </c>
      <c r="H174" s="294">
        <f t="shared" si="13"/>
        <v>1.290810263703257E-3</v>
      </c>
      <c r="I174" s="297">
        <f>VLOOKUP(A174,'Dados para Ke Alternativo'!$W:$X,2,0)</f>
        <v>116404</v>
      </c>
      <c r="J174" s="294">
        <f t="shared" si="14"/>
        <v>1.85324536688658E-2</v>
      </c>
    </row>
    <row r="175" spans="1:10" x14ac:dyDescent="0.3">
      <c r="A175" s="168">
        <v>44453</v>
      </c>
      <c r="B175" s="219">
        <f>VLOOKUP('Ke Alternativo'!A175,'Dados para Ke Alternativo'!$A:$B,2,0)</f>
        <v>19.63</v>
      </c>
      <c r="C175" s="294">
        <f t="shared" si="11"/>
        <v>5.6352459016393297E-3</v>
      </c>
      <c r="D175" s="296">
        <f>VLOOKUP(A175,'Dados para Ke Alternativo'!$P:$Q,2,0)</f>
        <v>5.2397999999999998</v>
      </c>
      <c r="E175" s="296">
        <f t="shared" si="10"/>
        <v>3.7463261956563225</v>
      </c>
      <c r="F175" s="294">
        <f t="shared" si="12"/>
        <v>7.6041570852103391E-4</v>
      </c>
      <c r="G175" s="296">
        <f>VLOOKUP($A175,'Dados para Ke Alternativo'!$I:$J,2,0)</f>
        <v>3116.08</v>
      </c>
      <c r="H175" s="294">
        <f t="shared" si="13"/>
        <v>-3.2052717443460388E-3</v>
      </c>
      <c r="I175" s="297">
        <f>VLOOKUP(A175,'Dados para Ke Alternativo'!$W:$X,2,0)</f>
        <v>116181</v>
      </c>
      <c r="J175" s="294">
        <f t="shared" si="14"/>
        <v>-1.9157417270884158E-3</v>
      </c>
    </row>
    <row r="176" spans="1:10" x14ac:dyDescent="0.3">
      <c r="A176" s="167">
        <v>44454</v>
      </c>
      <c r="B176" s="219">
        <f>VLOOKUP('Ke Alternativo'!A176,'Dados para Ke Alternativo'!$A:$B,2,0)</f>
        <v>21.09</v>
      </c>
      <c r="C176" s="294">
        <f t="shared" si="11"/>
        <v>7.4375955170657315E-2</v>
      </c>
      <c r="D176" s="296">
        <f>VLOOKUP(A176,'Dados para Ke Alternativo'!$P:$Q,2,0)</f>
        <v>5.2218999999999998</v>
      </c>
      <c r="E176" s="296">
        <f t="shared" si="10"/>
        <v>4.0387598383730063</v>
      </c>
      <c r="F176" s="294">
        <f t="shared" si="12"/>
        <v>7.8058777437945981E-2</v>
      </c>
      <c r="G176" s="296">
        <f>VLOOKUP($A176,'Dados para Ke Alternativo'!$I:$J,2,0)</f>
        <v>3127.71</v>
      </c>
      <c r="H176" s="294">
        <f t="shared" si="13"/>
        <v>3.7322533439450023E-3</v>
      </c>
      <c r="I176" s="297">
        <f>VLOOKUP(A176,'Dados para Ke Alternativo'!$W:$X,2,0)</f>
        <v>115063</v>
      </c>
      <c r="J176" s="294">
        <f t="shared" si="14"/>
        <v>-9.6229159673268949E-3</v>
      </c>
    </row>
    <row r="177" spans="1:10" x14ac:dyDescent="0.3">
      <c r="A177" s="168">
        <v>44455</v>
      </c>
      <c r="B177" s="219">
        <f>VLOOKUP('Ke Alternativo'!A177,'Dados para Ke Alternativo'!$A:$B,2,0)</f>
        <v>20.89</v>
      </c>
      <c r="C177" s="294">
        <f t="shared" si="11"/>
        <v>-9.4831673779042225E-3</v>
      </c>
      <c r="D177" s="296">
        <f>VLOOKUP(A177,'Dados para Ke Alternativo'!$P:$Q,2,0)</f>
        <v>5.2534999999999998</v>
      </c>
      <c r="E177" s="296">
        <f t="shared" si="10"/>
        <v>3.9763966879223376</v>
      </c>
      <c r="F177" s="294">
        <f t="shared" si="12"/>
        <v>-1.5441163363601129E-2</v>
      </c>
      <c r="G177" s="296">
        <f>VLOOKUP($A177,'Dados para Ke Alternativo'!$I:$J,2,0)</f>
        <v>3122.57</v>
      </c>
      <c r="H177" s="294">
        <f t="shared" si="13"/>
        <v>-1.6433748653167379E-3</v>
      </c>
      <c r="I177" s="297">
        <f>VLOOKUP(A177,'Dados para Ke Alternativo'!$W:$X,2,0)</f>
        <v>113794</v>
      </c>
      <c r="J177" s="294">
        <f t="shared" si="14"/>
        <v>-1.1028740776791834E-2</v>
      </c>
    </row>
    <row r="178" spans="1:10" x14ac:dyDescent="0.3">
      <c r="A178" s="167">
        <v>44456</v>
      </c>
      <c r="B178" s="219">
        <f>VLOOKUP('Ke Alternativo'!A178,'Dados para Ke Alternativo'!$A:$B,2,0)</f>
        <v>20.07</v>
      </c>
      <c r="C178" s="294">
        <f t="shared" si="11"/>
        <v>-3.9253231211105799E-2</v>
      </c>
      <c r="D178" s="296">
        <f>VLOOKUP(A178,'Dados para Ke Alternativo'!$P:$Q,2,0)</f>
        <v>5.2882999999999996</v>
      </c>
      <c r="E178" s="296">
        <f t="shared" si="10"/>
        <v>3.7951704706616498</v>
      </c>
      <c r="F178" s="294">
        <f t="shared" si="12"/>
        <v>-4.5575487428387906E-2</v>
      </c>
      <c r="G178" s="296">
        <f>VLOOKUP($A178,'Dados para Ke Alternativo'!$I:$J,2,0)</f>
        <v>3096.61</v>
      </c>
      <c r="H178" s="294">
        <f t="shared" si="13"/>
        <v>-8.3136647056751833E-3</v>
      </c>
      <c r="I178" s="297">
        <f>VLOOKUP(A178,'Dados para Ke Alternativo'!$W:$X,2,0)</f>
        <v>111439</v>
      </c>
      <c r="J178" s="294">
        <f t="shared" si="14"/>
        <v>-2.0695291491642842E-2</v>
      </c>
    </row>
    <row r="179" spans="1:10" x14ac:dyDescent="0.3">
      <c r="A179" s="168">
        <v>44459</v>
      </c>
      <c r="B179" s="219">
        <f>VLOOKUP('Ke Alternativo'!A179,'Dados para Ke Alternativo'!$A:$B,2,0)</f>
        <v>18.93</v>
      </c>
      <c r="C179" s="294">
        <f t="shared" si="11"/>
        <v>-5.6801195814648708E-2</v>
      </c>
      <c r="D179" s="296">
        <f>VLOOKUP(A179,'Dados para Ke Alternativo'!$P:$Q,2,0)</f>
        <v>5.3239999999999998</v>
      </c>
      <c r="E179" s="296">
        <f t="shared" si="10"/>
        <v>3.555597295266717</v>
      </c>
      <c r="F179" s="294">
        <f t="shared" si="12"/>
        <v>-6.3125800869009652E-2</v>
      </c>
      <c r="G179" s="296">
        <f>VLOOKUP($A179,'Dados para Ke Alternativo'!$I:$J,2,0)</f>
        <v>3046.2</v>
      </c>
      <c r="H179" s="294">
        <f t="shared" si="13"/>
        <v>-1.6279092297706299E-2</v>
      </c>
      <c r="I179" s="297">
        <f>VLOOKUP(A179,'Dados para Ke Alternativo'!$W:$X,2,0)</f>
        <v>108844</v>
      </c>
      <c r="J179" s="294">
        <f t="shared" si="14"/>
        <v>-2.3286282181283036E-2</v>
      </c>
    </row>
    <row r="180" spans="1:10" x14ac:dyDescent="0.3">
      <c r="A180" s="167">
        <v>44460</v>
      </c>
      <c r="B180" s="219">
        <f>VLOOKUP('Ke Alternativo'!A180,'Dados para Ke Alternativo'!$A:$B,2,0)</f>
        <v>19.260000000000002</v>
      </c>
      <c r="C180" s="294">
        <f t="shared" si="11"/>
        <v>1.7432646592710155E-2</v>
      </c>
      <c r="D180" s="296">
        <f>VLOOKUP(A180,'Dados para Ke Alternativo'!$P:$Q,2,0)</f>
        <v>5.2698999999999998</v>
      </c>
      <c r="E180" s="296">
        <f t="shared" si="10"/>
        <v>3.6547183058502064</v>
      </c>
      <c r="F180" s="294">
        <f t="shared" si="12"/>
        <v>2.7877456964949587E-2</v>
      </c>
      <c r="G180" s="296">
        <f>VLOOKUP($A180,'Dados para Ke Alternativo'!$I:$J,2,0)</f>
        <v>3049.68</v>
      </c>
      <c r="H180" s="294">
        <f t="shared" si="13"/>
        <v>1.1424069332282016E-3</v>
      </c>
      <c r="I180" s="297">
        <f>VLOOKUP(A180,'Dados para Ke Alternativo'!$W:$X,2,0)</f>
        <v>110250</v>
      </c>
      <c r="J180" s="294">
        <f t="shared" si="14"/>
        <v>1.2917570100327014E-2</v>
      </c>
    </row>
    <row r="181" spans="1:10" x14ac:dyDescent="0.3">
      <c r="A181" s="168">
        <v>44461</v>
      </c>
      <c r="B181" s="219">
        <f>VLOOKUP('Ke Alternativo'!A181,'Dados para Ke Alternativo'!$A:$B,2,0)</f>
        <v>20.7</v>
      </c>
      <c r="C181" s="294">
        <f t="shared" si="11"/>
        <v>7.4766355140186702E-2</v>
      </c>
      <c r="D181" s="296">
        <f>VLOOKUP(A181,'Dados para Ke Alternativo'!$P:$Q,2,0)</f>
        <v>5.2888000000000002</v>
      </c>
      <c r="E181" s="296">
        <f t="shared" si="10"/>
        <v>3.9139313265769169</v>
      </c>
      <c r="F181" s="294">
        <f t="shared" si="12"/>
        <v>7.0925581408499028E-2</v>
      </c>
      <c r="G181" s="296">
        <f>VLOOKUP($A181,'Dados para Ke Alternativo'!$I:$J,2,0)</f>
        <v>3074.35</v>
      </c>
      <c r="H181" s="294">
        <f t="shared" si="13"/>
        <v>8.0893733112983313E-3</v>
      </c>
      <c r="I181" s="297">
        <f>VLOOKUP(A181,'Dados para Ke Alternativo'!$W:$X,2,0)</f>
        <v>112282</v>
      </c>
      <c r="J181" s="294">
        <f t="shared" si="14"/>
        <v>1.8430839002267607E-2</v>
      </c>
    </row>
    <row r="182" spans="1:10" x14ac:dyDescent="0.3">
      <c r="A182" s="167">
        <v>44462</v>
      </c>
      <c r="B182" s="219">
        <f>VLOOKUP('Ke Alternativo'!A182,'Dados para Ke Alternativo'!$A:$B,2,0)</f>
        <v>21.17</v>
      </c>
      <c r="C182" s="294">
        <f t="shared" si="11"/>
        <v>2.2705314009662025E-2</v>
      </c>
      <c r="D182" s="296">
        <f>VLOOKUP(A182,'Dados para Ke Alternativo'!$P:$Q,2,0)</f>
        <v>5.3029999999999999</v>
      </c>
      <c r="E182" s="296">
        <f t="shared" si="10"/>
        <v>3.9920799547425987</v>
      </c>
      <c r="F182" s="294">
        <f t="shared" si="12"/>
        <v>1.9966785731529324E-2</v>
      </c>
      <c r="G182" s="296">
        <f>VLOOKUP($A182,'Dados para Ke Alternativo'!$I:$J,2,0)</f>
        <v>3106.42</v>
      </c>
      <c r="H182" s="294">
        <f t="shared" si="13"/>
        <v>1.0431473319563622E-2</v>
      </c>
      <c r="I182" s="297">
        <f>VLOOKUP(A182,'Dados para Ke Alternativo'!$W:$X,2,0)</f>
        <v>114064</v>
      </c>
      <c r="J182" s="294">
        <f t="shared" si="14"/>
        <v>1.5870753994406961E-2</v>
      </c>
    </row>
    <row r="183" spans="1:10" x14ac:dyDescent="0.3">
      <c r="A183" s="168">
        <v>44463</v>
      </c>
      <c r="B183" s="219">
        <f>VLOOKUP('Ke Alternativo'!A183,'Dados para Ke Alternativo'!$A:$B,2,0)</f>
        <v>21.99</v>
      </c>
      <c r="C183" s="294">
        <f t="shared" si="11"/>
        <v>3.873405762871962E-2</v>
      </c>
      <c r="D183" s="296">
        <f>VLOOKUP(A183,'Dados para Ke Alternativo'!$P:$Q,2,0)</f>
        <v>5.3343999999999996</v>
      </c>
      <c r="E183" s="296">
        <f t="shared" si="10"/>
        <v>4.1223005398920218</v>
      </c>
      <c r="F183" s="294">
        <f t="shared" si="12"/>
        <v>3.2619733729210676E-2</v>
      </c>
      <c r="G183" s="296">
        <f>VLOOKUP($A183,'Dados para Ke Alternativo'!$I:$J,2,0)</f>
        <v>3103.53</v>
      </c>
      <c r="H183" s="294">
        <f t="shared" si="13"/>
        <v>-9.3033137824238832E-4</v>
      </c>
      <c r="I183" s="297">
        <f>VLOOKUP(A183,'Dados para Ke Alternativo'!$W:$X,2,0)</f>
        <v>113283</v>
      </c>
      <c r="J183" s="294">
        <f t="shared" si="14"/>
        <v>-6.8470332444943161E-3</v>
      </c>
    </row>
    <row r="184" spans="1:10" x14ac:dyDescent="0.3">
      <c r="A184" s="167">
        <v>44466</v>
      </c>
      <c r="B184" s="219">
        <f>VLOOKUP('Ke Alternativo'!A184,'Dados para Ke Alternativo'!$A:$B,2,0)</f>
        <v>23.11</v>
      </c>
      <c r="C184" s="294">
        <f t="shared" si="11"/>
        <v>5.0932241928149269E-2</v>
      </c>
      <c r="D184" s="296">
        <f>VLOOKUP(A184,'Dados para Ke Alternativo'!$P:$Q,2,0)</f>
        <v>5.3914</v>
      </c>
      <c r="E184" s="296">
        <f t="shared" si="10"/>
        <v>4.2864562080350188</v>
      </c>
      <c r="F184" s="294">
        <f t="shared" si="12"/>
        <v>3.9821373176080144E-2</v>
      </c>
      <c r="G184" s="296">
        <f>VLOOKUP($A184,'Dados para Ke Alternativo'!$I:$J,2,0)</f>
        <v>3095.56</v>
      </c>
      <c r="H184" s="294">
        <f t="shared" si="13"/>
        <v>-2.568043485966065E-3</v>
      </c>
      <c r="I184" s="297">
        <f>VLOOKUP(A184,'Dados para Ke Alternativo'!$W:$X,2,0)</f>
        <v>113583</v>
      </c>
      <c r="J184" s="294">
        <f t="shared" si="14"/>
        <v>2.6482349514049819E-3</v>
      </c>
    </row>
    <row r="185" spans="1:10" x14ac:dyDescent="0.3">
      <c r="A185" s="168">
        <v>44467</v>
      </c>
      <c r="B185" s="219">
        <f>VLOOKUP('Ke Alternativo'!A185,'Dados para Ke Alternativo'!$A:$B,2,0)</f>
        <v>21.93</v>
      </c>
      <c r="C185" s="294">
        <f t="shared" si="11"/>
        <v>-5.1060147122457766E-2</v>
      </c>
      <c r="D185" s="296">
        <f>VLOOKUP(A185,'Dados para Ke Alternativo'!$P:$Q,2,0)</f>
        <v>5.4292999999999996</v>
      </c>
      <c r="E185" s="296">
        <f t="shared" si="10"/>
        <v>4.0391947396533627</v>
      </c>
      <c r="F185" s="294">
        <f t="shared" si="12"/>
        <v>-5.7684356582988316E-2</v>
      </c>
      <c r="G185" s="296">
        <f>VLOOKUP($A185,'Dados para Ke Alternativo'!$I:$J,2,0)</f>
        <v>3032.7</v>
      </c>
      <c r="H185" s="294">
        <f t="shared" si="13"/>
        <v>-2.0306503508250584E-2</v>
      </c>
      <c r="I185" s="297">
        <f>VLOOKUP(A185,'Dados para Ke Alternativo'!$W:$X,2,0)</f>
        <v>110124</v>
      </c>
      <c r="J185" s="294">
        <f t="shared" si="14"/>
        <v>-3.0453500964052749E-2</v>
      </c>
    </row>
    <row r="186" spans="1:10" x14ac:dyDescent="0.3">
      <c r="A186" s="167">
        <v>44468</v>
      </c>
      <c r="B186" s="219">
        <f>VLOOKUP('Ke Alternativo'!A186,'Dados para Ke Alternativo'!$A:$B,2,0)</f>
        <v>22.85</v>
      </c>
      <c r="C186" s="294">
        <f t="shared" si="11"/>
        <v>4.1951664386685072E-2</v>
      </c>
      <c r="D186" s="296">
        <f>VLOOKUP(A186,'Dados para Ke Alternativo'!$P:$Q,2,0)</f>
        <v>5.4151999999999996</v>
      </c>
      <c r="E186" s="296">
        <f t="shared" si="10"/>
        <v>4.2196040774117307</v>
      </c>
      <c r="F186" s="294">
        <f t="shared" si="12"/>
        <v>4.4664679320178147E-2</v>
      </c>
      <c r="G186" s="296">
        <f>VLOOKUP($A186,'Dados para Ke Alternativo'!$I:$J,2,0)</f>
        <v>3028.75</v>
      </c>
      <c r="H186" s="294">
        <f t="shared" si="13"/>
        <v>-1.3024697464305568E-3</v>
      </c>
      <c r="I186" s="297">
        <f>VLOOKUP(A186,'Dados para Ke Alternativo'!$W:$X,2,0)</f>
        <v>111107</v>
      </c>
      <c r="J186" s="294">
        <f t="shared" si="14"/>
        <v>8.9263012603972847E-3</v>
      </c>
    </row>
    <row r="187" spans="1:10" x14ac:dyDescent="0.3">
      <c r="A187" s="168">
        <v>44469</v>
      </c>
      <c r="B187" s="219">
        <f>VLOOKUP('Ke Alternativo'!A187,'Dados para Ke Alternativo'!$A:$B,2,0)</f>
        <v>25.02</v>
      </c>
      <c r="C187" s="294">
        <f t="shared" si="11"/>
        <v>9.496717724288839E-2</v>
      </c>
      <c r="D187" s="296">
        <f>VLOOKUP(A187,'Dados para Ke Alternativo'!$P:$Q,2,0)</f>
        <v>5.4428000000000001</v>
      </c>
      <c r="E187" s="296">
        <f t="shared" si="10"/>
        <v>4.5968986551039901</v>
      </c>
      <c r="F187" s="294">
        <f t="shared" si="12"/>
        <v>8.9414686963637857E-2</v>
      </c>
      <c r="G187" s="296">
        <f>VLOOKUP($A187,'Dados para Ke Alternativo'!$I:$J,2,0)</f>
        <v>3006.6</v>
      </c>
      <c r="H187" s="294">
        <f t="shared" si="13"/>
        <v>-7.3132480396203015E-3</v>
      </c>
      <c r="I187" s="297">
        <f>VLOOKUP(A187,'Dados para Ke Alternativo'!$W:$X,2,0)</f>
        <v>110979</v>
      </c>
      <c r="J187" s="294">
        <f t="shared" si="14"/>
        <v>-1.1520426255771099E-3</v>
      </c>
    </row>
    <row r="188" spans="1:10" x14ac:dyDescent="0.3">
      <c r="A188" s="167">
        <v>44470</v>
      </c>
      <c r="B188" s="219">
        <f>VLOOKUP('Ke Alternativo'!A188,'Dados para Ke Alternativo'!$A:$B,2,0)</f>
        <v>26.35</v>
      </c>
      <c r="C188" s="294">
        <f t="shared" si="11"/>
        <v>5.3157474020783413E-2</v>
      </c>
      <c r="D188" s="296">
        <f>VLOOKUP(A188,'Dados para Ke Alternativo'!$P:$Q,2,0)</f>
        <v>5.3628</v>
      </c>
      <c r="E188" s="296">
        <f t="shared" si="10"/>
        <v>4.9134780338629076</v>
      </c>
      <c r="F188" s="294">
        <f t="shared" si="12"/>
        <v>6.8868035280137407E-2</v>
      </c>
      <c r="G188" s="296">
        <f>VLOOKUP($A188,'Dados para Ke Alternativo'!$I:$J,2,0)</f>
        <v>3022.83</v>
      </c>
      <c r="H188" s="294">
        <f t="shared" si="13"/>
        <v>5.3981241269207558E-3</v>
      </c>
      <c r="I188" s="297">
        <f>VLOOKUP(A188,'Dados para Ke Alternativo'!$W:$X,2,0)</f>
        <v>112900</v>
      </c>
      <c r="J188" s="294">
        <f t="shared" si="14"/>
        <v>1.730958109191838E-2</v>
      </c>
    </row>
    <row r="189" spans="1:10" x14ac:dyDescent="0.3">
      <c r="A189" s="168">
        <v>44473</v>
      </c>
      <c r="B189" s="219">
        <f>VLOOKUP('Ke Alternativo'!A189,'Dados para Ke Alternativo'!$A:$B,2,0)</f>
        <v>26.06</v>
      </c>
      <c r="C189" s="294">
        <f t="shared" si="11"/>
        <v>-1.1005692599620587E-2</v>
      </c>
      <c r="D189" s="296">
        <f>VLOOKUP(A189,'Dados para Ke Alternativo'!$P:$Q,2,0)</f>
        <v>5.4535</v>
      </c>
      <c r="E189" s="296">
        <f t="shared" si="10"/>
        <v>4.7785825616576512</v>
      </c>
      <c r="F189" s="294">
        <f t="shared" si="12"/>
        <v>-2.74541722331062E-2</v>
      </c>
      <c r="G189" s="296">
        <f>VLOOKUP($A189,'Dados para Ke Alternativo'!$I:$J,2,0)</f>
        <v>2992.89</v>
      </c>
      <c r="H189" s="294">
        <f t="shared" si="13"/>
        <v>-9.9046257976797003E-3</v>
      </c>
      <c r="I189" s="297">
        <f>VLOOKUP(A189,'Dados para Ke Alternativo'!$W:$X,2,0)</f>
        <v>110393</v>
      </c>
      <c r="J189" s="294">
        <f t="shared" si="14"/>
        <v>-2.2205491585473913E-2</v>
      </c>
    </row>
    <row r="190" spans="1:10" x14ac:dyDescent="0.3">
      <c r="A190" s="167">
        <v>44474</v>
      </c>
      <c r="B190" s="219">
        <f>VLOOKUP('Ke Alternativo'!A190,'Dados para Ke Alternativo'!$A:$B,2,0)</f>
        <v>26.27</v>
      </c>
      <c r="C190" s="294">
        <f t="shared" si="11"/>
        <v>8.0583269378358136E-3</v>
      </c>
      <c r="D190" s="296">
        <f>VLOOKUP(A190,'Dados para Ke Alternativo'!$P:$Q,2,0)</f>
        <v>5.4748000000000001</v>
      </c>
      <c r="E190" s="296">
        <f t="shared" si="10"/>
        <v>4.798348798129612</v>
      </c>
      <c r="F190" s="294">
        <f t="shared" si="12"/>
        <v>4.1364225095870122E-3</v>
      </c>
      <c r="G190" s="296">
        <f>VLOOKUP($A190,'Dados para Ke Alternativo'!$I:$J,2,0)</f>
        <v>3016.19</v>
      </c>
      <c r="H190" s="294">
        <f t="shared" si="13"/>
        <v>7.7851173948926267E-3</v>
      </c>
      <c r="I190" s="297">
        <f>VLOOKUP(A190,'Dados para Ke Alternativo'!$W:$X,2,0)</f>
        <v>110458</v>
      </c>
      <c r="J190" s="294">
        <f t="shared" si="14"/>
        <v>5.8880544962081061E-4</v>
      </c>
    </row>
    <row r="191" spans="1:10" x14ac:dyDescent="0.3">
      <c r="A191" s="168">
        <v>44475</v>
      </c>
      <c r="B191" s="219">
        <f>VLOOKUP('Ke Alternativo'!A191,'Dados para Ke Alternativo'!$A:$B,2,0)</f>
        <v>26.25</v>
      </c>
      <c r="C191" s="294">
        <f t="shared" si="11"/>
        <v>-7.6132470498668781E-4</v>
      </c>
      <c r="D191" s="296">
        <f>VLOOKUP(A191,'Dados para Ke Alternativo'!$P:$Q,2,0)</f>
        <v>5.4912000000000001</v>
      </c>
      <c r="E191" s="296">
        <f t="shared" si="10"/>
        <v>4.7803758741258742</v>
      </c>
      <c r="F191" s="294">
        <f t="shared" si="12"/>
        <v>-3.7456476717040443E-3</v>
      </c>
      <c r="G191" s="296">
        <f>VLOOKUP($A191,'Dados para Ke Alternativo'!$I:$J,2,0)</f>
        <v>3015.95</v>
      </c>
      <c r="H191" s="294">
        <f t="shared" si="13"/>
        <v>-7.9570584081367635E-5</v>
      </c>
      <c r="I191" s="297">
        <f>VLOOKUP(A191,'Dados para Ke Alternativo'!$W:$X,2,0)</f>
        <v>110560</v>
      </c>
      <c r="J191" s="294">
        <f t="shared" si="14"/>
        <v>9.234279092504849E-4</v>
      </c>
    </row>
    <row r="192" spans="1:10" x14ac:dyDescent="0.3">
      <c r="A192" s="167">
        <v>44476</v>
      </c>
      <c r="B192" s="219">
        <f>VLOOKUP('Ke Alternativo'!A192,'Dados para Ke Alternativo'!$A:$B,2,0)</f>
        <v>26.7</v>
      </c>
      <c r="C192" s="294">
        <f t="shared" si="11"/>
        <v>1.7142857142857126E-2</v>
      </c>
      <c r="D192" s="296">
        <f>VLOOKUP(A192,'Dados para Ke Alternativo'!$P:$Q,2,0)</f>
        <v>5.5187999999999997</v>
      </c>
      <c r="E192" s="296">
        <f t="shared" si="10"/>
        <v>4.838008262665797</v>
      </c>
      <c r="F192" s="294">
        <f t="shared" si="12"/>
        <v>1.2056037026682898E-2</v>
      </c>
      <c r="G192" s="296">
        <f>VLOOKUP($A192,'Dados para Ke Alternativo'!$I:$J,2,0)</f>
        <v>3046.57</v>
      </c>
      <c r="H192" s="294">
        <f t="shared" si="13"/>
        <v>1.0152688207695881E-2</v>
      </c>
      <c r="I192" s="297">
        <f>VLOOKUP(A192,'Dados para Ke Alternativo'!$W:$X,2,0)</f>
        <v>110585</v>
      </c>
      <c r="J192" s="294">
        <f t="shared" si="14"/>
        <v>2.2612156295220842E-4</v>
      </c>
    </row>
    <row r="193" spans="1:10" x14ac:dyDescent="0.3">
      <c r="A193" s="168">
        <v>44477</v>
      </c>
      <c r="B193" s="219">
        <f>VLOOKUP('Ke Alternativo'!A193,'Dados para Ke Alternativo'!$A:$B,2,0)</f>
        <v>27.02</v>
      </c>
      <c r="C193" s="294">
        <f t="shared" si="11"/>
        <v>1.1985018726591745E-2</v>
      </c>
      <c r="D193" s="296">
        <f>VLOOKUP(A193,'Dados para Ke Alternativo'!$P:$Q,2,0)</f>
        <v>5.5082000000000004</v>
      </c>
      <c r="E193" s="296">
        <f t="shared" si="10"/>
        <v>4.9054137467775316</v>
      </c>
      <c r="F193" s="294">
        <f t="shared" si="12"/>
        <v>1.3932486356398543E-2</v>
      </c>
      <c r="G193" s="296">
        <f>VLOOKUP($A193,'Dados para Ke Alternativo'!$I:$J,2,0)</f>
        <v>3043.74</v>
      </c>
      <c r="H193" s="294">
        <f t="shared" si="13"/>
        <v>-9.2891349944379531E-4</v>
      </c>
      <c r="I193" s="297">
        <f>VLOOKUP(A193,'Dados para Ke Alternativo'!$W:$X,2,0)</f>
        <v>112833</v>
      </c>
      <c r="J193" s="294">
        <f t="shared" si="14"/>
        <v>2.0328254284034841E-2</v>
      </c>
    </row>
    <row r="194" spans="1:10" x14ac:dyDescent="0.3">
      <c r="A194" s="167">
        <v>44480</v>
      </c>
      <c r="B194" s="219">
        <f>VLOOKUP('Ke Alternativo'!A194,'Dados para Ke Alternativo'!$A:$B,2,0)</f>
        <v>27.79</v>
      </c>
      <c r="C194" s="294">
        <f t="shared" si="11"/>
        <v>2.849740932642475E-2</v>
      </c>
      <c r="D194" s="296">
        <f>VLOOKUP(A194,'Dados para Ke Alternativo'!$P:$Q,2,0)</f>
        <v>5.5366999999999997</v>
      </c>
      <c r="E194" s="296">
        <f t="shared" ref="E194:E257" si="15">B194/D194</f>
        <v>5.0192352845557826</v>
      </c>
      <c r="F194" s="294">
        <f t="shared" si="12"/>
        <v>2.32032492372376E-2</v>
      </c>
      <c r="G194" s="296">
        <f>VLOOKUP($A194,'Dados para Ke Alternativo'!$I:$J,2,0)</f>
        <v>3031.57</v>
      </c>
      <c r="H194" s="294">
        <f t="shared" si="13"/>
        <v>-3.9983704258574893E-3</v>
      </c>
      <c r="I194" s="297">
        <f>VLOOKUP(A194,'Dados para Ke Alternativo'!$W:$X,2,0)</f>
        <v>112180</v>
      </c>
      <c r="J194" s="294">
        <f t="shared" si="14"/>
        <v>-5.7873139950191943E-3</v>
      </c>
    </row>
    <row r="195" spans="1:10" x14ac:dyDescent="0.3">
      <c r="A195" s="168">
        <v>44482</v>
      </c>
      <c r="B195" s="219">
        <f>VLOOKUP('Ke Alternativo'!A195,'Dados para Ke Alternativo'!$A:$B,2,0)</f>
        <v>26.95</v>
      </c>
      <c r="C195" s="294">
        <f t="shared" ref="C195:C258" si="16">B195/B194-1</f>
        <v>-3.0226700251889116E-2</v>
      </c>
      <c r="D195" s="296">
        <f>VLOOKUP(A195,'Dados para Ke Alternativo'!$P:$Q,2,0)</f>
        <v>5.5133000000000001</v>
      </c>
      <c r="E195" s="296">
        <f t="shared" si="15"/>
        <v>4.888179493225473</v>
      </c>
      <c r="F195" s="294">
        <f t="shared" ref="F195:F258" si="17">E195/E194-1</f>
        <v>-2.6110708882998379E-2</v>
      </c>
      <c r="G195" s="296">
        <f>VLOOKUP($A195,'Dados para Ke Alternativo'!$I:$J,2,0)</f>
        <v>3039.01</v>
      </c>
      <c r="H195" s="294">
        <f t="shared" ref="H195:H258" si="18">G195/G194-1</f>
        <v>2.4541739098882243E-3</v>
      </c>
      <c r="I195" s="297">
        <f>VLOOKUP(A195,'Dados para Ke Alternativo'!$W:$X,2,0)</f>
        <v>113456</v>
      </c>
      <c r="J195" s="294">
        <f t="shared" ref="J195:J258" si="19">I195/I194-1</f>
        <v>1.1374576573364159E-2</v>
      </c>
    </row>
    <row r="196" spans="1:10" x14ac:dyDescent="0.3">
      <c r="A196" s="167">
        <v>44483</v>
      </c>
      <c r="B196" s="219">
        <f>VLOOKUP('Ke Alternativo'!A196,'Dados para Ke Alternativo'!$A:$B,2,0)</f>
        <v>28.15</v>
      </c>
      <c r="C196" s="294">
        <f t="shared" si="16"/>
        <v>4.4526901669758701E-2</v>
      </c>
      <c r="D196" s="296">
        <f>VLOOKUP(A196,'Dados para Ke Alternativo'!$P:$Q,2,0)</f>
        <v>5.5132000000000003</v>
      </c>
      <c r="E196" s="296">
        <f t="shared" si="15"/>
        <v>5.1059275919611107</v>
      </c>
      <c r="F196" s="294">
        <f t="shared" si="17"/>
        <v>4.4545847597743604E-2</v>
      </c>
      <c r="G196" s="296">
        <f>VLOOKUP($A196,'Dados para Ke Alternativo'!$I:$J,2,0)</f>
        <v>3084.59</v>
      </c>
      <c r="H196" s="294">
        <f t="shared" si="18"/>
        <v>1.4998305369182674E-2</v>
      </c>
      <c r="I196" s="297">
        <f>VLOOKUP(A196,'Dados para Ke Alternativo'!$W:$X,2,0)</f>
        <v>113185</v>
      </c>
      <c r="J196" s="294">
        <f t="shared" si="19"/>
        <v>-2.3885911719080388E-3</v>
      </c>
    </row>
    <row r="197" spans="1:10" x14ac:dyDescent="0.3">
      <c r="A197" s="168">
        <v>44484</v>
      </c>
      <c r="B197" s="219">
        <f>VLOOKUP('Ke Alternativo'!A197,'Dados para Ke Alternativo'!$A:$B,2,0)</f>
        <v>27.74</v>
      </c>
      <c r="C197" s="294">
        <f t="shared" si="16"/>
        <v>-1.4564831261101197E-2</v>
      </c>
      <c r="D197" s="296">
        <f>VLOOKUP(A197,'Dados para Ke Alternativo'!$P:$Q,2,0)</f>
        <v>5.4611000000000001</v>
      </c>
      <c r="E197" s="296">
        <f t="shared" si="15"/>
        <v>5.0795627254582403</v>
      </c>
      <c r="F197" s="294">
        <f t="shared" si="17"/>
        <v>-5.1635801777486501E-3</v>
      </c>
      <c r="G197" s="296">
        <f>VLOOKUP($A197,'Dados para Ke Alternativo'!$I:$J,2,0)</f>
        <v>3109.47</v>
      </c>
      <c r="H197" s="294">
        <f t="shared" si="18"/>
        <v>8.0659017892166229E-3</v>
      </c>
      <c r="I197" s="297">
        <f>VLOOKUP(A197,'Dados para Ke Alternativo'!$W:$X,2,0)</f>
        <v>114648</v>
      </c>
      <c r="J197" s="294">
        <f t="shared" si="19"/>
        <v>1.2925741043424477E-2</v>
      </c>
    </row>
    <row r="198" spans="1:10" x14ac:dyDescent="0.3">
      <c r="A198" s="167">
        <v>44487</v>
      </c>
      <c r="B198" s="219">
        <f>VLOOKUP('Ke Alternativo'!A198,'Dados para Ke Alternativo'!$A:$B,2,0)</f>
        <v>27.16</v>
      </c>
      <c r="C198" s="294">
        <f t="shared" si="16"/>
        <v>-2.0908435472242193E-2</v>
      </c>
      <c r="D198" s="296">
        <f>VLOOKUP(A198,'Dados para Ke Alternativo'!$P:$Q,2,0)</f>
        <v>5.5117000000000003</v>
      </c>
      <c r="E198" s="296">
        <f t="shared" si="15"/>
        <v>4.9276992579421952</v>
      </c>
      <c r="F198" s="294">
        <f t="shared" si="17"/>
        <v>-2.9896956829555621E-2</v>
      </c>
      <c r="G198" s="296">
        <f>VLOOKUP($A198,'Dados para Ke Alternativo'!$I:$J,2,0)</f>
        <v>3114.01</v>
      </c>
      <c r="H198" s="294">
        <f t="shared" si="18"/>
        <v>1.4600558937698516E-3</v>
      </c>
      <c r="I198" s="297">
        <f>VLOOKUP(A198,'Dados para Ke Alternativo'!$W:$X,2,0)</f>
        <v>114428</v>
      </c>
      <c r="J198" s="294">
        <f t="shared" si="19"/>
        <v>-1.9189170330053962E-3</v>
      </c>
    </row>
    <row r="199" spans="1:10" x14ac:dyDescent="0.3">
      <c r="A199" s="168">
        <v>44488</v>
      </c>
      <c r="B199" s="219">
        <f>VLOOKUP('Ke Alternativo'!A199,'Dados para Ke Alternativo'!$A:$B,2,0)</f>
        <v>26.77</v>
      </c>
      <c r="C199" s="294">
        <f t="shared" si="16"/>
        <v>-1.4359351988218028E-2</v>
      </c>
      <c r="D199" s="296">
        <f>VLOOKUP(A199,'Dados para Ke Alternativo'!$P:$Q,2,0)</f>
        <v>5.5843999999999996</v>
      </c>
      <c r="E199" s="296">
        <f t="shared" si="15"/>
        <v>4.7937110522168904</v>
      </c>
      <c r="F199" s="294">
        <f t="shared" si="17"/>
        <v>-2.7190824502804189E-2</v>
      </c>
      <c r="G199" s="296">
        <f>VLOOKUP($A199,'Dados para Ke Alternativo'!$I:$J,2,0)</f>
        <v>3136.19</v>
      </c>
      <c r="H199" s="294">
        <f t="shared" si="18"/>
        <v>7.1226489317630648E-3</v>
      </c>
      <c r="I199" s="297">
        <f>VLOOKUP(A199,'Dados para Ke Alternativo'!$W:$X,2,0)</f>
        <v>110673</v>
      </c>
      <c r="J199" s="294">
        <f t="shared" si="19"/>
        <v>-3.2815394833432432E-2</v>
      </c>
    </row>
    <row r="200" spans="1:10" x14ac:dyDescent="0.3">
      <c r="A200" s="167">
        <v>44489</v>
      </c>
      <c r="B200" s="219">
        <f>VLOOKUP('Ke Alternativo'!A200,'Dados para Ke Alternativo'!$A:$B,2,0)</f>
        <v>26.9</v>
      </c>
      <c r="C200" s="294">
        <f t="shared" si="16"/>
        <v>4.8561822936121768E-3</v>
      </c>
      <c r="D200" s="296">
        <f>VLOOKUP(A200,'Dados para Ke Alternativo'!$P:$Q,2,0)</f>
        <v>5.5975000000000001</v>
      </c>
      <c r="E200" s="296">
        <f t="shared" si="15"/>
        <v>4.8057168378740505</v>
      </c>
      <c r="F200" s="294">
        <f t="shared" si="17"/>
        <v>2.5044867173644736E-3</v>
      </c>
      <c r="G200" s="296">
        <f>VLOOKUP($A200,'Dados para Ke Alternativo'!$I:$J,2,0)</f>
        <v>3147.7</v>
      </c>
      <c r="H200" s="294">
        <f t="shared" si="18"/>
        <v>3.6700582553990113E-3</v>
      </c>
      <c r="I200" s="297">
        <f>VLOOKUP(A200,'Dados para Ke Alternativo'!$W:$X,2,0)</f>
        <v>110786</v>
      </c>
      <c r="J200" s="294">
        <f t="shared" si="19"/>
        <v>1.0210259051439685E-3</v>
      </c>
    </row>
    <row r="201" spans="1:10" x14ac:dyDescent="0.3">
      <c r="A201" s="168">
        <v>44490</v>
      </c>
      <c r="B201" s="219">
        <f>VLOOKUP('Ke Alternativo'!A201,'Dados para Ke Alternativo'!$A:$B,2,0)</f>
        <v>26.29</v>
      </c>
      <c r="C201" s="294">
        <f t="shared" si="16"/>
        <v>-2.2676579925650531E-2</v>
      </c>
      <c r="D201" s="296">
        <f>VLOOKUP(A201,'Dados para Ke Alternativo'!$P:$Q,2,0)</f>
        <v>5.6577000000000002</v>
      </c>
      <c r="E201" s="296">
        <f t="shared" si="15"/>
        <v>4.6467645863159941</v>
      </c>
      <c r="F201" s="294">
        <f t="shared" si="17"/>
        <v>-3.3075659037034244E-2</v>
      </c>
      <c r="G201" s="296">
        <f>VLOOKUP($A201,'Dados para Ke Alternativo'!$I:$J,2,0)</f>
        <v>3152.33</v>
      </c>
      <c r="H201" s="294">
        <f t="shared" si="18"/>
        <v>1.4709152714680318E-3</v>
      </c>
      <c r="I201" s="297">
        <f>VLOOKUP(A201,'Dados para Ke Alternativo'!$W:$X,2,0)</f>
        <v>107735</v>
      </c>
      <c r="J201" s="294">
        <f t="shared" si="19"/>
        <v>-2.7539580813460196E-2</v>
      </c>
    </row>
    <row r="202" spans="1:10" x14ac:dyDescent="0.3">
      <c r="A202" s="167">
        <v>44491</v>
      </c>
      <c r="B202" s="219">
        <f>VLOOKUP('Ke Alternativo'!A202,'Dados para Ke Alternativo'!$A:$B,2,0)</f>
        <v>26.48</v>
      </c>
      <c r="C202" s="294">
        <f t="shared" si="16"/>
        <v>7.2270825408902173E-3</v>
      </c>
      <c r="D202" s="296">
        <f>VLOOKUP(A202,'Dados para Ke Alternativo'!$P:$Q,2,0)</f>
        <v>5.6474000000000002</v>
      </c>
      <c r="E202" s="296">
        <f t="shared" si="15"/>
        <v>4.6888833799624603</v>
      </c>
      <c r="F202" s="294">
        <f t="shared" si="17"/>
        <v>9.064111784466089E-3</v>
      </c>
      <c r="G202" s="296">
        <f>VLOOKUP($A202,'Dados para Ke Alternativo'!$I:$J,2,0)</f>
        <v>3151.16</v>
      </c>
      <c r="H202" s="294">
        <f t="shared" si="18"/>
        <v>-3.7115403526921664E-4</v>
      </c>
      <c r="I202" s="297">
        <f>VLOOKUP(A202,'Dados para Ke Alternativo'!$W:$X,2,0)</f>
        <v>106296</v>
      </c>
      <c r="J202" s="294">
        <f t="shared" si="19"/>
        <v>-1.3356847821042406E-2</v>
      </c>
    </row>
    <row r="203" spans="1:10" x14ac:dyDescent="0.3">
      <c r="A203" s="168">
        <v>44494</v>
      </c>
      <c r="B203" s="219">
        <f>VLOOKUP('Ke Alternativo'!A203,'Dados para Ke Alternativo'!$A:$B,2,0)</f>
        <v>27.42</v>
      </c>
      <c r="C203" s="294">
        <f t="shared" si="16"/>
        <v>3.5498489425981994E-2</v>
      </c>
      <c r="D203" s="296">
        <f>VLOOKUP(A203,'Dados para Ke Alternativo'!$P:$Q,2,0)</f>
        <v>5.5563000000000002</v>
      </c>
      <c r="E203" s="296">
        <f t="shared" si="15"/>
        <v>4.9349387182117601</v>
      </c>
      <c r="F203" s="294">
        <f t="shared" si="17"/>
        <v>5.2476318626476504E-2</v>
      </c>
      <c r="G203" s="296">
        <f>VLOOKUP($A203,'Dados para Ke Alternativo'!$I:$J,2,0)</f>
        <v>3159.88</v>
      </c>
      <c r="H203" s="294">
        <f t="shared" si="18"/>
        <v>2.7672349230125626E-3</v>
      </c>
      <c r="I203" s="297">
        <f>VLOOKUP(A203,'Dados para Ke Alternativo'!$W:$X,2,0)</f>
        <v>108715</v>
      </c>
      <c r="J203" s="294">
        <f t="shared" si="19"/>
        <v>2.2757206291864174E-2</v>
      </c>
    </row>
    <row r="204" spans="1:10" x14ac:dyDescent="0.3">
      <c r="A204" s="167">
        <v>44495</v>
      </c>
      <c r="B204" s="219">
        <f>VLOOKUP('Ke Alternativo'!A204,'Dados para Ke Alternativo'!$A:$B,2,0)</f>
        <v>27.15</v>
      </c>
      <c r="C204" s="294">
        <f t="shared" si="16"/>
        <v>-9.8468271334792856E-3</v>
      </c>
      <c r="D204" s="296">
        <f>VLOOKUP(A204,'Dados para Ke Alternativo'!$P:$Q,2,0)</f>
        <v>5.5666000000000002</v>
      </c>
      <c r="E204" s="296">
        <f t="shared" si="15"/>
        <v>4.8773039198074226</v>
      </c>
      <c r="F204" s="294">
        <f t="shared" si="17"/>
        <v>-1.1678928897666641E-2</v>
      </c>
      <c r="G204" s="296">
        <f>VLOOKUP($A204,'Dados para Ke Alternativo'!$I:$J,2,0)</f>
        <v>3167.44</v>
      </c>
      <c r="H204" s="294">
        <f t="shared" si="18"/>
        <v>2.3924959175665172E-3</v>
      </c>
      <c r="I204" s="297">
        <f>VLOOKUP(A204,'Dados para Ke Alternativo'!$W:$X,2,0)</f>
        <v>106420</v>
      </c>
      <c r="J204" s="294">
        <f t="shared" si="19"/>
        <v>-2.111024237685688E-2</v>
      </c>
    </row>
    <row r="205" spans="1:10" x14ac:dyDescent="0.3">
      <c r="A205" s="168">
        <v>44496</v>
      </c>
      <c r="B205" s="219">
        <f>VLOOKUP('Ke Alternativo'!A205,'Dados para Ke Alternativo'!$A:$B,2,0)</f>
        <v>25.35</v>
      </c>
      <c r="C205" s="294">
        <f t="shared" si="16"/>
        <v>-6.6298342541436406E-2</v>
      </c>
      <c r="D205" s="296">
        <f>VLOOKUP(A205,'Dados para Ke Alternativo'!$P:$Q,2,0)</f>
        <v>5.5380000000000003</v>
      </c>
      <c r="E205" s="296">
        <f t="shared" si="15"/>
        <v>4.577464788732394</v>
      </c>
      <c r="F205" s="294">
        <f t="shared" si="17"/>
        <v>-6.1476409099162188E-2</v>
      </c>
      <c r="G205" s="296">
        <f>VLOOKUP($A205,'Dados para Ke Alternativo'!$I:$J,2,0)</f>
        <v>3152.05</v>
      </c>
      <c r="H205" s="294">
        <f t="shared" si="18"/>
        <v>-4.8588134266157601E-3</v>
      </c>
      <c r="I205" s="297">
        <f>VLOOKUP(A205,'Dados para Ke Alternativo'!$W:$X,2,0)</f>
        <v>106363</v>
      </c>
      <c r="J205" s="294">
        <f t="shared" si="19"/>
        <v>-5.3561360646492417E-4</v>
      </c>
    </row>
    <row r="206" spans="1:10" x14ac:dyDescent="0.3">
      <c r="A206" s="167">
        <v>44497</v>
      </c>
      <c r="B206" s="219">
        <f>VLOOKUP('Ke Alternativo'!A206,'Dados para Ke Alternativo'!$A:$B,2,0)</f>
        <v>23.51</v>
      </c>
      <c r="C206" s="294">
        <f t="shared" si="16"/>
        <v>-7.2583826429980292E-2</v>
      </c>
      <c r="D206" s="296">
        <f>VLOOKUP(A206,'Dados para Ke Alternativo'!$P:$Q,2,0)</f>
        <v>5.6463999999999999</v>
      </c>
      <c r="E206" s="296">
        <f t="shared" si="15"/>
        <v>4.1637149334088983</v>
      </c>
      <c r="F206" s="294">
        <f t="shared" si="17"/>
        <v>-9.0388429932209857E-2</v>
      </c>
      <c r="G206" s="296">
        <f>VLOOKUP($A206,'Dados para Ke Alternativo'!$I:$J,2,0)</f>
        <v>3179.44</v>
      </c>
      <c r="H206" s="294">
        <f t="shared" si="18"/>
        <v>8.6895829698132587E-3</v>
      </c>
      <c r="I206" s="297">
        <f>VLOOKUP(A206,'Dados para Ke Alternativo'!$W:$X,2,0)</f>
        <v>105705</v>
      </c>
      <c r="J206" s="294">
        <f t="shared" si="19"/>
        <v>-6.1863617987457653E-3</v>
      </c>
    </row>
    <row r="207" spans="1:10" x14ac:dyDescent="0.3">
      <c r="A207" s="168">
        <v>44498</v>
      </c>
      <c r="B207" s="219">
        <f>VLOOKUP('Ke Alternativo'!A207,'Dados para Ke Alternativo'!$A:$B,2,0)</f>
        <v>23.47</v>
      </c>
      <c r="C207" s="294">
        <f t="shared" si="16"/>
        <v>-1.7014036580179637E-3</v>
      </c>
      <c r="D207" s="296">
        <f>VLOOKUP(A207,'Dados para Ke Alternativo'!$P:$Q,2,0)</f>
        <v>5.6372</v>
      </c>
      <c r="E207" s="296">
        <f t="shared" si="15"/>
        <v>4.1634144610799684</v>
      </c>
      <c r="F207" s="294">
        <f t="shared" si="17"/>
        <v>-7.2164481415115667E-5</v>
      </c>
      <c r="G207" s="296">
        <f>VLOOKUP($A207,'Dados para Ke Alternativo'!$I:$J,2,0)</f>
        <v>3174.73</v>
      </c>
      <c r="H207" s="294">
        <f t="shared" si="18"/>
        <v>-1.481392949701843E-3</v>
      </c>
      <c r="I207" s="297">
        <f>VLOOKUP(A207,'Dados para Ke Alternativo'!$W:$X,2,0)</f>
        <v>103501</v>
      </c>
      <c r="J207" s="294">
        <f t="shared" si="19"/>
        <v>-2.0850480109739333E-2</v>
      </c>
    </row>
    <row r="208" spans="1:10" x14ac:dyDescent="0.3">
      <c r="A208" s="167">
        <v>44501</v>
      </c>
      <c r="B208" s="219">
        <f>VLOOKUP('Ke Alternativo'!A208,'Dados para Ke Alternativo'!$A:$B,2,0)</f>
        <v>23.4</v>
      </c>
      <c r="C208" s="294">
        <f t="shared" si="16"/>
        <v>-2.9825308904984915E-3</v>
      </c>
      <c r="D208" s="296">
        <f>VLOOKUP(A208,'Dados para Ke Alternativo'!$P:$Q,2,0)</f>
        <v>5.6814999999999998</v>
      </c>
      <c r="E208" s="296">
        <f t="shared" si="15"/>
        <v>4.1186306433160258</v>
      </c>
      <c r="F208" s="294">
        <f t="shared" si="17"/>
        <v>-1.0756512036595556E-2</v>
      </c>
      <c r="G208" s="296">
        <f>VLOOKUP($A208,'Dados para Ke Alternativo'!$I:$J,2,0)</f>
        <v>3190.54</v>
      </c>
      <c r="H208" s="294">
        <f t="shared" si="18"/>
        <v>4.979951050955389E-3</v>
      </c>
      <c r="I208" s="297">
        <f>VLOOKUP(A208,'Dados para Ke Alternativo'!$W:$X,2,0)</f>
        <v>105551</v>
      </c>
      <c r="J208" s="294">
        <f t="shared" si="19"/>
        <v>1.9806571917179605E-2</v>
      </c>
    </row>
    <row r="209" spans="1:10" x14ac:dyDescent="0.3">
      <c r="A209" s="168">
        <v>44503</v>
      </c>
      <c r="B209" s="219">
        <f>VLOOKUP('Ke Alternativo'!A209,'Dados para Ke Alternativo'!$A:$B,2,0)</f>
        <v>23.8</v>
      </c>
      <c r="C209" s="294">
        <f t="shared" si="16"/>
        <v>1.7094017094017255E-2</v>
      </c>
      <c r="D209" s="296">
        <f>VLOOKUP(A209,'Dados para Ke Alternativo'!$P:$Q,2,0)</f>
        <v>5.5525000000000002</v>
      </c>
      <c r="E209" s="296">
        <f t="shared" si="15"/>
        <v>4.2863574966231424</v>
      </c>
      <c r="F209" s="294">
        <f t="shared" si="17"/>
        <v>4.0723936626682944E-2</v>
      </c>
      <c r="G209" s="296">
        <f>VLOOKUP($A209,'Dados para Ke Alternativo'!$I:$J,2,0)</f>
        <v>3212.35</v>
      </c>
      <c r="H209" s="294">
        <f t="shared" si="18"/>
        <v>6.8358334325850922E-3</v>
      </c>
      <c r="I209" s="297">
        <f>VLOOKUP(A209,'Dados para Ke Alternativo'!$W:$X,2,0)</f>
        <v>105617</v>
      </c>
      <c r="J209" s="294">
        <f t="shared" si="19"/>
        <v>6.2529014410106498E-4</v>
      </c>
    </row>
    <row r="210" spans="1:10" x14ac:dyDescent="0.3">
      <c r="A210" s="167">
        <v>44504</v>
      </c>
      <c r="B210" s="219">
        <f>VLOOKUP('Ke Alternativo'!A210,'Dados para Ke Alternativo'!$A:$B,2,0)</f>
        <v>23.39</v>
      </c>
      <c r="C210" s="294">
        <f t="shared" si="16"/>
        <v>-1.7226890756302571E-2</v>
      </c>
      <c r="D210" s="296">
        <f>VLOOKUP(A210,'Dados para Ke Alternativo'!$P:$Q,2,0)</f>
        <v>5.6020000000000003</v>
      </c>
      <c r="E210" s="296">
        <f t="shared" si="15"/>
        <v>4.1752945376651196</v>
      </c>
      <c r="F210" s="294">
        <f t="shared" si="17"/>
        <v>-2.5910801664471461E-2</v>
      </c>
      <c r="G210" s="296">
        <f>VLOOKUP($A210,'Dados para Ke Alternativo'!$I:$J,2,0)</f>
        <v>3224.63</v>
      </c>
      <c r="H210" s="294">
        <f t="shared" si="18"/>
        <v>3.8227465873894584E-3</v>
      </c>
      <c r="I210" s="297">
        <f>VLOOKUP(A210,'Dados para Ke Alternativo'!$W:$X,2,0)</f>
        <v>103412</v>
      </c>
      <c r="J210" s="294">
        <f t="shared" si="19"/>
        <v>-2.0877320885842265E-2</v>
      </c>
    </row>
    <row r="211" spans="1:10" x14ac:dyDescent="0.3">
      <c r="A211" s="168">
        <v>44505</v>
      </c>
      <c r="B211" s="219">
        <f>VLOOKUP('Ke Alternativo'!A211,'Dados para Ke Alternativo'!$A:$B,2,0)</f>
        <v>27.57</v>
      </c>
      <c r="C211" s="294">
        <f t="shared" si="16"/>
        <v>0.17870884993587</v>
      </c>
      <c r="D211" s="296">
        <f>VLOOKUP(A211,'Dados para Ke Alternativo'!$P:$Q,2,0)</f>
        <v>5.5427999999999997</v>
      </c>
      <c r="E211" s="296">
        <f t="shared" si="15"/>
        <v>4.9740203507252652</v>
      </c>
      <c r="F211" s="294">
        <f t="shared" si="17"/>
        <v>0.19129807630452911</v>
      </c>
      <c r="G211" s="296">
        <f>VLOOKUP($A211,'Dados para Ke Alternativo'!$I:$J,2,0)</f>
        <v>3232.26</v>
      </c>
      <c r="H211" s="294">
        <f t="shared" si="18"/>
        <v>2.3661629396241057E-3</v>
      </c>
      <c r="I211" s="297">
        <f>VLOOKUP(A211,'Dados para Ke Alternativo'!$W:$X,2,0)</f>
        <v>104824</v>
      </c>
      <c r="J211" s="294">
        <f t="shared" si="19"/>
        <v>1.3654121378563477E-2</v>
      </c>
    </row>
    <row r="212" spans="1:10" x14ac:dyDescent="0.3">
      <c r="A212" s="167">
        <v>44508</v>
      </c>
      <c r="B212" s="219">
        <f>VLOOKUP('Ke Alternativo'!A212,'Dados para Ke Alternativo'!$A:$B,2,0)</f>
        <v>27.76</v>
      </c>
      <c r="C212" s="294">
        <f t="shared" si="16"/>
        <v>6.8915487849112722E-3</v>
      </c>
      <c r="D212" s="296">
        <f>VLOOKUP(A212,'Dados para Ke Alternativo'!$P:$Q,2,0)</f>
        <v>5.5439999999999996</v>
      </c>
      <c r="E212" s="296">
        <f t="shared" si="15"/>
        <v>5.0072150072150077</v>
      </c>
      <c r="F212" s="294">
        <f t="shared" si="17"/>
        <v>6.6736068912347513E-3</v>
      </c>
      <c r="G212" s="296">
        <f>VLOOKUP($A212,'Dados para Ke Alternativo'!$I:$J,2,0)</f>
        <v>3237.44</v>
      </c>
      <c r="H212" s="294">
        <f t="shared" si="18"/>
        <v>1.6025938507422399E-3</v>
      </c>
      <c r="I212" s="297">
        <f>VLOOKUP(A212,'Dados para Ke Alternativo'!$W:$X,2,0)</f>
        <v>104781</v>
      </c>
      <c r="J212" s="294">
        <f t="shared" si="19"/>
        <v>-4.1021140196906281E-4</v>
      </c>
    </row>
    <row r="213" spans="1:10" x14ac:dyDescent="0.3">
      <c r="A213" s="168">
        <v>44509</v>
      </c>
      <c r="B213" s="219">
        <f>VLOOKUP('Ke Alternativo'!A213,'Dados para Ke Alternativo'!$A:$B,2,0)</f>
        <v>26.5</v>
      </c>
      <c r="C213" s="294">
        <f t="shared" si="16"/>
        <v>-4.5389048991354541E-2</v>
      </c>
      <c r="D213" s="296">
        <f>VLOOKUP(A213,'Dados para Ke Alternativo'!$P:$Q,2,0)</f>
        <v>5.4804000000000004</v>
      </c>
      <c r="E213" s="296">
        <f t="shared" si="15"/>
        <v>4.8354134734690897</v>
      </c>
      <c r="F213" s="294">
        <f t="shared" si="17"/>
        <v>-3.4310796220726525E-2</v>
      </c>
      <c r="G213" s="296">
        <f>VLOOKUP($A213,'Dados para Ke Alternativo'!$I:$J,2,0)</f>
        <v>3227.8</v>
      </c>
      <c r="H213" s="294">
        <f t="shared" si="18"/>
        <v>-2.9776613620637882E-3</v>
      </c>
      <c r="I213" s="297">
        <f>VLOOKUP(A213,'Dados para Ke Alternativo'!$W:$X,2,0)</f>
        <v>105535</v>
      </c>
      <c r="J213" s="294">
        <f t="shared" si="19"/>
        <v>7.1959610998177936E-3</v>
      </c>
    </row>
    <row r="214" spans="1:10" x14ac:dyDescent="0.3">
      <c r="A214" s="167">
        <v>44510</v>
      </c>
      <c r="B214" s="219">
        <f>VLOOKUP('Ke Alternativo'!A214,'Dados para Ke Alternativo'!$A:$B,2,0)</f>
        <v>25.71</v>
      </c>
      <c r="C214" s="294">
        <f t="shared" si="16"/>
        <v>-2.981132075471693E-2</v>
      </c>
      <c r="D214" s="296">
        <f>VLOOKUP(A214,'Dados para Ke Alternativo'!$P:$Q,2,0)</f>
        <v>5.4909999999999997</v>
      </c>
      <c r="E214" s="296">
        <f t="shared" si="15"/>
        <v>4.6822072482243673</v>
      </c>
      <c r="F214" s="294">
        <f t="shared" si="17"/>
        <v>-3.1684203654006704E-2</v>
      </c>
      <c r="G214" s="296">
        <f>VLOOKUP($A214,'Dados para Ke Alternativo'!$I:$J,2,0)</f>
        <v>3201.57</v>
      </c>
      <c r="H214" s="294">
        <f t="shared" si="18"/>
        <v>-8.1262779602205848E-3</v>
      </c>
      <c r="I214" s="297">
        <f>VLOOKUP(A214,'Dados para Ke Alternativo'!$W:$X,2,0)</f>
        <v>105968</v>
      </c>
      <c r="J214" s="294">
        <f t="shared" si="19"/>
        <v>4.1029042497748858E-3</v>
      </c>
    </row>
    <row r="215" spans="1:10" x14ac:dyDescent="0.3">
      <c r="A215" s="168">
        <v>44511</v>
      </c>
      <c r="B215" s="219">
        <f>VLOOKUP('Ke Alternativo'!A215,'Dados para Ke Alternativo'!$A:$B,2,0)</f>
        <v>25.67</v>
      </c>
      <c r="C215" s="294">
        <f t="shared" si="16"/>
        <v>-1.555814858031912E-3</v>
      </c>
      <c r="D215" s="296">
        <f>VLOOKUP(A215,'Dados para Ke Alternativo'!$P:$Q,2,0)</f>
        <v>5.3989000000000003</v>
      </c>
      <c r="E215" s="296">
        <f t="shared" si="15"/>
        <v>4.7546722480505288</v>
      </c>
      <c r="F215" s="294">
        <f t="shared" si="17"/>
        <v>1.5476674992044082E-2</v>
      </c>
      <c r="G215" s="296">
        <f>VLOOKUP($A215,'Dados para Ke Alternativo'!$I:$J,2,0)</f>
        <v>3201.99</v>
      </c>
      <c r="H215" s="294">
        <f t="shared" si="18"/>
        <v>1.3118563704672681E-4</v>
      </c>
      <c r="I215" s="297">
        <f>VLOOKUP(A215,'Dados para Ke Alternativo'!$W:$X,2,0)</f>
        <v>107595</v>
      </c>
      <c r="J215" s="294">
        <f t="shared" si="19"/>
        <v>1.5353691680507264E-2</v>
      </c>
    </row>
    <row r="216" spans="1:10" x14ac:dyDescent="0.3">
      <c r="A216" s="167">
        <v>44512</v>
      </c>
      <c r="B216" s="219">
        <f>VLOOKUP('Ke Alternativo'!A216,'Dados para Ke Alternativo'!$A:$B,2,0)</f>
        <v>24.36</v>
      </c>
      <c r="C216" s="294">
        <f t="shared" si="16"/>
        <v>-5.1032333463186696E-2</v>
      </c>
      <c r="D216" s="296">
        <f>VLOOKUP(A216,'Dados para Ke Alternativo'!$P:$Q,2,0)</f>
        <v>5.4588000000000001</v>
      </c>
      <c r="E216" s="296">
        <f t="shared" si="15"/>
        <v>4.4625192349967024</v>
      </c>
      <c r="F216" s="294">
        <f t="shared" si="17"/>
        <v>-6.144545781754196E-2</v>
      </c>
      <c r="G216" s="296">
        <f>VLOOKUP($A216,'Dados para Ke Alternativo'!$I:$J,2,0)</f>
        <v>3223.82</v>
      </c>
      <c r="H216" s="294">
        <f t="shared" si="18"/>
        <v>6.8176352830584541E-3</v>
      </c>
      <c r="I216" s="297">
        <f>VLOOKUP(A216,'Dados para Ke Alternativo'!$W:$X,2,0)</f>
        <v>106335</v>
      </c>
      <c r="J216" s="294">
        <f t="shared" si="19"/>
        <v>-1.1710581346716875E-2</v>
      </c>
    </row>
    <row r="217" spans="1:10" x14ac:dyDescent="0.3">
      <c r="A217" s="168">
        <v>44516</v>
      </c>
      <c r="B217" s="219">
        <f>VLOOKUP('Ke Alternativo'!A217,'Dados para Ke Alternativo'!$A:$B,2,0)</f>
        <v>23.51</v>
      </c>
      <c r="C217" s="294">
        <f t="shared" si="16"/>
        <v>-3.4893267651888271E-2</v>
      </c>
      <c r="D217" s="296">
        <f>VLOOKUP(A217,'Dados para Ke Alternativo'!$P:$Q,2,0)</f>
        <v>5.5027999999999997</v>
      </c>
      <c r="E217" s="296">
        <f t="shared" si="15"/>
        <v>4.2723704295994773</v>
      </c>
      <c r="F217" s="294">
        <f t="shared" si="17"/>
        <v>-4.2610192894186105E-2</v>
      </c>
      <c r="G217" s="296">
        <f>VLOOKUP($A217,'Dados para Ke Alternativo'!$I:$J,2,0)</f>
        <v>3230.01</v>
      </c>
      <c r="H217" s="294">
        <f t="shared" si="18"/>
        <v>1.9200823867338013E-3</v>
      </c>
      <c r="I217" s="297">
        <f>VLOOKUP(A217,'Dados para Ke Alternativo'!$W:$X,2,0)</f>
        <v>104404</v>
      </c>
      <c r="J217" s="294">
        <f t="shared" si="19"/>
        <v>-1.8159589975078716E-2</v>
      </c>
    </row>
    <row r="218" spans="1:10" x14ac:dyDescent="0.3">
      <c r="A218" s="167">
        <v>44517</v>
      </c>
      <c r="B218" s="219">
        <f>VLOOKUP('Ke Alternativo'!A218,'Dados para Ke Alternativo'!$A:$B,2,0)</f>
        <v>23.06</v>
      </c>
      <c r="C218" s="294">
        <f t="shared" si="16"/>
        <v>-1.9140791152701064E-2</v>
      </c>
      <c r="D218" s="296">
        <f>VLOOKUP(A218,'Dados para Ke Alternativo'!$P:$Q,2,0)</f>
        <v>5.5292000000000003</v>
      </c>
      <c r="E218" s="296">
        <f t="shared" si="15"/>
        <v>4.1705852564566301</v>
      </c>
      <c r="F218" s="294">
        <f t="shared" si="17"/>
        <v>-2.3824051500232257E-2</v>
      </c>
      <c r="G218" s="296">
        <f>VLOOKUP($A218,'Dados para Ke Alternativo'!$I:$J,2,0)</f>
        <v>3221.03</v>
      </c>
      <c r="H218" s="294">
        <f t="shared" si="18"/>
        <v>-2.7801771511543061E-3</v>
      </c>
      <c r="I218" s="297">
        <f>VLOOKUP(A218,'Dados para Ke Alternativo'!$W:$X,2,0)</f>
        <v>102948</v>
      </c>
      <c r="J218" s="294">
        <f t="shared" si="19"/>
        <v>-1.3945825830427916E-2</v>
      </c>
    </row>
    <row r="219" spans="1:10" x14ac:dyDescent="0.3">
      <c r="A219" s="168">
        <v>44518</v>
      </c>
      <c r="B219" s="219">
        <f>VLOOKUP('Ke Alternativo'!A219,'Dados para Ke Alternativo'!$A:$B,2,0)</f>
        <v>22.04</v>
      </c>
      <c r="C219" s="294">
        <f t="shared" si="16"/>
        <v>-4.4232437120555024E-2</v>
      </c>
      <c r="D219" s="296">
        <f>VLOOKUP(A219,'Dados para Ke Alternativo'!$P:$Q,2,0)</f>
        <v>5.5575999999999999</v>
      </c>
      <c r="E219" s="296">
        <f t="shared" si="15"/>
        <v>3.9657406074564561</v>
      </c>
      <c r="F219" s="294">
        <f t="shared" si="17"/>
        <v>-4.9116523558185743E-2</v>
      </c>
      <c r="G219" s="296">
        <f>VLOOKUP($A219,'Dados para Ke Alternativo'!$I:$J,2,0)</f>
        <v>3226.37</v>
      </c>
      <c r="H219" s="294">
        <f t="shared" si="18"/>
        <v>1.6578547855810033E-3</v>
      </c>
      <c r="I219" s="297">
        <f>VLOOKUP(A219,'Dados para Ke Alternativo'!$W:$X,2,0)</f>
        <v>102426</v>
      </c>
      <c r="J219" s="294">
        <f t="shared" si="19"/>
        <v>-5.0705210397482547E-3</v>
      </c>
    </row>
    <row r="220" spans="1:10" x14ac:dyDescent="0.3">
      <c r="A220" s="167">
        <v>44519</v>
      </c>
      <c r="B220" s="219">
        <f>VLOOKUP('Ke Alternativo'!A220,'Dados para Ke Alternativo'!$A:$B,2,0)</f>
        <v>21.46</v>
      </c>
      <c r="C220" s="294">
        <f t="shared" si="16"/>
        <v>-2.6315789473684181E-2</v>
      </c>
      <c r="D220" s="296">
        <f>VLOOKUP(A220,'Dados para Ke Alternativo'!$P:$Q,2,0)</f>
        <v>5.6135000000000002</v>
      </c>
      <c r="E220" s="296">
        <f t="shared" si="15"/>
        <v>3.8229268727175558</v>
      </c>
      <c r="F220" s="294">
        <f t="shared" si="17"/>
        <v>-3.601186988134808E-2</v>
      </c>
      <c r="G220" s="296">
        <f>VLOOKUP($A220,'Dados para Ke Alternativo'!$I:$J,2,0)</f>
        <v>3219.9</v>
      </c>
      <c r="H220" s="294">
        <f t="shared" si="18"/>
        <v>-2.0053496654134362E-3</v>
      </c>
      <c r="I220" s="297">
        <f>VLOOKUP(A220,'Dados para Ke Alternativo'!$W:$X,2,0)</f>
        <v>103035</v>
      </c>
      <c r="J220" s="294">
        <f t="shared" si="19"/>
        <v>5.9457559604005894E-3</v>
      </c>
    </row>
    <row r="221" spans="1:10" x14ac:dyDescent="0.3">
      <c r="A221" s="168">
        <v>44522</v>
      </c>
      <c r="B221" s="219">
        <f>VLOOKUP('Ke Alternativo'!A221,'Dados para Ke Alternativo'!$A:$B,2,0)</f>
        <v>21.53</v>
      </c>
      <c r="C221" s="294">
        <f t="shared" si="16"/>
        <v>3.2618825722274813E-3</v>
      </c>
      <c r="D221" s="296">
        <f>VLOOKUP(A221,'Dados para Ke Alternativo'!$P:$Q,2,0)</f>
        <v>5.5865</v>
      </c>
      <c r="E221" s="296">
        <f t="shared" si="15"/>
        <v>3.8539335899042335</v>
      </c>
      <c r="F221" s="294">
        <f t="shared" si="17"/>
        <v>8.1107272566363076E-3</v>
      </c>
      <c r="G221" s="296">
        <f>VLOOKUP($A221,'Dados para Ke Alternativo'!$I:$J,2,0)</f>
        <v>3201.49</v>
      </c>
      <c r="H221" s="294">
        <f t="shared" si="18"/>
        <v>-5.7175688685985326E-3</v>
      </c>
      <c r="I221" s="297">
        <f>VLOOKUP(A221,'Dados para Ke Alternativo'!$W:$X,2,0)</f>
        <v>102122</v>
      </c>
      <c r="J221" s="294">
        <f t="shared" si="19"/>
        <v>-8.8610666278449157E-3</v>
      </c>
    </row>
    <row r="222" spans="1:10" x14ac:dyDescent="0.3">
      <c r="A222" s="167">
        <v>44523</v>
      </c>
      <c r="B222" s="219">
        <f>VLOOKUP('Ke Alternativo'!A222,'Dados para Ke Alternativo'!$A:$B,2,0)</f>
        <v>22.67</v>
      </c>
      <c r="C222" s="294">
        <f t="shared" si="16"/>
        <v>5.2949372967951769E-2</v>
      </c>
      <c r="D222" s="296">
        <f>VLOOKUP(A222,'Dados para Ke Alternativo'!$P:$Q,2,0)</f>
        <v>5.5712000000000002</v>
      </c>
      <c r="E222" s="296">
        <f t="shared" si="15"/>
        <v>4.0691412981045376</v>
      </c>
      <c r="F222" s="294">
        <f t="shared" si="17"/>
        <v>5.5841052571342198E-2</v>
      </c>
      <c r="G222" s="296">
        <f>VLOOKUP($A222,'Dados para Ke Alternativo'!$I:$J,2,0)</f>
        <v>3196.88</v>
      </c>
      <c r="H222" s="294">
        <f t="shared" si="18"/>
        <v>-1.4399545211759568E-3</v>
      </c>
      <c r="I222" s="297">
        <f>VLOOKUP(A222,'Dados para Ke Alternativo'!$W:$X,2,0)</f>
        <v>103654</v>
      </c>
      <c r="J222" s="294">
        <f t="shared" si="19"/>
        <v>1.500166467558417E-2</v>
      </c>
    </row>
    <row r="223" spans="1:10" x14ac:dyDescent="0.3">
      <c r="A223" s="168">
        <v>44524</v>
      </c>
      <c r="B223" s="219">
        <f>VLOOKUP('Ke Alternativo'!A223,'Dados para Ke Alternativo'!$A:$B,2,0)</f>
        <v>21.9</v>
      </c>
      <c r="C223" s="294">
        <f t="shared" si="16"/>
        <v>-3.3965593295103846E-2</v>
      </c>
      <c r="D223" s="296">
        <f>VLOOKUP(A223,'Dados para Ke Alternativo'!$P:$Q,2,0)</f>
        <v>5.6060999999999996</v>
      </c>
      <c r="E223" s="296">
        <f t="shared" si="15"/>
        <v>3.9064590356932629</v>
      </c>
      <c r="F223" s="294">
        <f t="shared" si="17"/>
        <v>-3.9979506852478752E-2</v>
      </c>
      <c r="G223" s="296">
        <f>VLOOKUP($A223,'Dados para Ke Alternativo'!$I:$J,2,0)</f>
        <v>3198.12</v>
      </c>
      <c r="H223" s="294">
        <f t="shared" si="18"/>
        <v>3.8787818122654194E-4</v>
      </c>
      <c r="I223" s="297">
        <f>VLOOKUP(A223,'Dados para Ke Alternativo'!$W:$X,2,0)</f>
        <v>104514</v>
      </c>
      <c r="J223" s="294">
        <f t="shared" si="19"/>
        <v>8.2968336967217393E-3</v>
      </c>
    </row>
    <row r="224" spans="1:10" x14ac:dyDescent="0.3">
      <c r="A224" s="167">
        <v>44525</v>
      </c>
      <c r="B224" s="219">
        <f>VLOOKUP('Ke Alternativo'!A224,'Dados para Ke Alternativo'!$A:$B,2,0)</f>
        <v>22.08</v>
      </c>
      <c r="C224" s="294">
        <f t="shared" si="16"/>
        <v>8.2191780821918581E-3</v>
      </c>
      <c r="D224" s="296">
        <f>VLOOKUP(A224,'Dados para Ke Alternativo'!$P:$Q,2,0)</f>
        <v>5.5663999999999998</v>
      </c>
      <c r="E224" s="296">
        <f t="shared" si="15"/>
        <v>3.9666570853693588</v>
      </c>
      <c r="F224" s="294">
        <f t="shared" si="17"/>
        <v>1.5409876086263097E-2</v>
      </c>
      <c r="G224" s="296">
        <f>VLOOKUP($A224,'Dados para Ke Alternativo'!$I:$J,2,0)</f>
        <v>3202.44</v>
      </c>
      <c r="H224" s="294">
        <f t="shared" si="18"/>
        <v>1.3507935912349112E-3</v>
      </c>
      <c r="I224" s="297">
        <f>VLOOKUP(A224,'Dados para Ke Alternativo'!$W:$X,2,0)</f>
        <v>105811</v>
      </c>
      <c r="J224" s="294">
        <f t="shared" si="19"/>
        <v>1.2409820693878304E-2</v>
      </c>
    </row>
    <row r="225" spans="1:10" x14ac:dyDescent="0.3">
      <c r="A225" s="168">
        <v>44526</v>
      </c>
      <c r="B225" s="219">
        <f>VLOOKUP('Ke Alternativo'!A225,'Dados para Ke Alternativo'!$A:$B,2,0)</f>
        <v>20.149999999999999</v>
      </c>
      <c r="C225" s="294">
        <f t="shared" si="16"/>
        <v>-8.74094202898551E-2</v>
      </c>
      <c r="D225" s="296">
        <f>VLOOKUP(A225,'Dados para Ke Alternativo'!$P:$Q,2,0)</f>
        <v>5.6093000000000002</v>
      </c>
      <c r="E225" s="296">
        <f t="shared" si="15"/>
        <v>3.592248587167739</v>
      </c>
      <c r="F225" s="294">
        <f t="shared" si="17"/>
        <v>-9.4388925017640291E-2</v>
      </c>
      <c r="G225" s="296">
        <f>VLOOKUP($A225,'Dados para Ke Alternativo'!$I:$J,2,0)</f>
        <v>3131.98</v>
      </c>
      <c r="H225" s="294">
        <f t="shared" si="18"/>
        <v>-2.2001973495209937E-2</v>
      </c>
      <c r="I225" s="297">
        <f>VLOOKUP(A225,'Dados para Ke Alternativo'!$W:$X,2,0)</f>
        <v>102224</v>
      </c>
      <c r="J225" s="294">
        <f t="shared" si="19"/>
        <v>-3.3900067100773978E-2</v>
      </c>
    </row>
    <row r="226" spans="1:10" x14ac:dyDescent="0.3">
      <c r="A226" s="167">
        <v>44529</v>
      </c>
      <c r="B226" s="219">
        <f>VLOOKUP('Ke Alternativo'!A226,'Dados para Ke Alternativo'!$A:$B,2,0)</f>
        <v>20.84</v>
      </c>
      <c r="C226" s="294">
        <f t="shared" si="16"/>
        <v>3.4243176178660129E-2</v>
      </c>
      <c r="D226" s="296">
        <f>VLOOKUP(A226,'Dados para Ke Alternativo'!$P:$Q,2,0)</f>
        <v>5.6017000000000001</v>
      </c>
      <c r="E226" s="296">
        <f t="shared" si="15"/>
        <v>3.7202991948872661</v>
      </c>
      <c r="F226" s="294">
        <f t="shared" si="17"/>
        <v>3.5646365949436376E-2</v>
      </c>
      <c r="G226" s="296">
        <f>VLOOKUP($A226,'Dados para Ke Alternativo'!$I:$J,2,0)</f>
        <v>3155.73</v>
      </c>
      <c r="H226" s="294">
        <f t="shared" si="18"/>
        <v>7.5830624716632933E-3</v>
      </c>
      <c r="I226" s="297">
        <f>VLOOKUP(A226,'Dados para Ke Alternativo'!$W:$X,2,0)</f>
        <v>102814</v>
      </c>
      <c r="J226" s="294">
        <f t="shared" si="19"/>
        <v>5.7716387541086878E-3</v>
      </c>
    </row>
    <row r="227" spans="1:10" x14ac:dyDescent="0.3">
      <c r="A227" s="168">
        <v>44530</v>
      </c>
      <c r="B227" s="219">
        <f>VLOOKUP('Ke Alternativo'!A227,'Dados para Ke Alternativo'!$A:$B,2,0)</f>
        <v>20.29</v>
      </c>
      <c r="C227" s="294">
        <f t="shared" si="16"/>
        <v>-2.6391554702495212E-2</v>
      </c>
      <c r="D227" s="296">
        <f>VLOOKUP(A227,'Dados para Ke Alternativo'!$P:$Q,2,0)</f>
        <v>5.6238999999999999</v>
      </c>
      <c r="E227" s="296">
        <f t="shared" si="15"/>
        <v>3.6078166396984299</v>
      </c>
      <c r="F227" s="294">
        <f t="shared" si="17"/>
        <v>-3.0234814270695964E-2</v>
      </c>
      <c r="G227" s="296">
        <f>VLOOKUP($A227,'Dados para Ke Alternativo'!$I:$J,2,0)</f>
        <v>3101.8</v>
      </c>
      <c r="H227" s="294">
        <f t="shared" si="18"/>
        <v>-1.7089548218637174E-2</v>
      </c>
      <c r="I227" s="297">
        <f>VLOOKUP(A227,'Dados para Ke Alternativo'!$W:$X,2,0)</f>
        <v>101915</v>
      </c>
      <c r="J227" s="294">
        <f t="shared" si="19"/>
        <v>-8.7439453770886688E-3</v>
      </c>
    </row>
    <row r="228" spans="1:10" x14ac:dyDescent="0.3">
      <c r="A228" s="167">
        <v>44531</v>
      </c>
      <c r="B228" s="219">
        <f>VLOOKUP('Ke Alternativo'!A228,'Dados para Ke Alternativo'!$A:$B,2,0)</f>
        <v>20.309999999999999</v>
      </c>
      <c r="C228" s="294">
        <f t="shared" si="16"/>
        <v>9.8570724494817519E-4</v>
      </c>
      <c r="D228" s="296">
        <f>VLOOKUP(A228,'Dados para Ke Alternativo'!$P:$Q,2,0)</f>
        <v>5.6955</v>
      </c>
      <c r="E228" s="296">
        <f t="shared" si="15"/>
        <v>3.5659731366868579</v>
      </c>
      <c r="F228" s="294">
        <f t="shared" si="17"/>
        <v>-1.1598012645972378E-2</v>
      </c>
      <c r="G228" s="296">
        <f>VLOOKUP($A228,'Dados para Ke Alternativo'!$I:$J,2,0)</f>
        <v>3087.98</v>
      </c>
      <c r="H228" s="294">
        <f t="shared" si="18"/>
        <v>-4.4554774646979878E-3</v>
      </c>
      <c r="I228" s="297">
        <f>VLOOKUP(A228,'Dados para Ke Alternativo'!$W:$X,2,0)</f>
        <v>100775</v>
      </c>
      <c r="J228" s="294">
        <f t="shared" si="19"/>
        <v>-1.1185792081636614E-2</v>
      </c>
    </row>
    <row r="229" spans="1:10" x14ac:dyDescent="0.3">
      <c r="A229" s="168">
        <v>44532</v>
      </c>
      <c r="B229" s="219">
        <f>VLOOKUP('Ke Alternativo'!A229,'Dados para Ke Alternativo'!$A:$B,2,0)</f>
        <v>20.96</v>
      </c>
      <c r="C229" s="294">
        <f t="shared" si="16"/>
        <v>3.2003938946332022E-2</v>
      </c>
      <c r="D229" s="296">
        <f>VLOOKUP(A229,'Dados para Ke Alternativo'!$P:$Q,2,0)</f>
        <v>5.6462000000000003</v>
      </c>
      <c r="E229" s="296">
        <f t="shared" si="15"/>
        <v>3.7122312351670148</v>
      </c>
      <c r="F229" s="294">
        <f t="shared" si="17"/>
        <v>4.1014918753999652E-2</v>
      </c>
      <c r="G229" s="296">
        <f>VLOOKUP($A229,'Dados para Ke Alternativo'!$I:$J,2,0)</f>
        <v>3111.17</v>
      </c>
      <c r="H229" s="294">
        <f t="shared" si="18"/>
        <v>7.509763664272473E-3</v>
      </c>
      <c r="I229" s="297">
        <f>VLOOKUP(A229,'Dados para Ke Alternativo'!$W:$X,2,0)</f>
        <v>104466</v>
      </c>
      <c r="J229" s="294">
        <f t="shared" si="19"/>
        <v>3.6626147357975647E-2</v>
      </c>
    </row>
    <row r="230" spans="1:10" x14ac:dyDescent="0.3">
      <c r="A230" s="167">
        <v>44533</v>
      </c>
      <c r="B230" s="219">
        <f>VLOOKUP('Ke Alternativo'!A230,'Dados para Ke Alternativo'!$A:$B,2,0)</f>
        <v>21.21</v>
      </c>
      <c r="C230" s="294">
        <f t="shared" si="16"/>
        <v>1.1927480916030575E-2</v>
      </c>
      <c r="D230" s="296">
        <f>VLOOKUP(A230,'Dados para Ke Alternativo'!$P:$Q,2,0)</f>
        <v>5.6532</v>
      </c>
      <c r="E230" s="296">
        <f t="shared" si="15"/>
        <v>3.7518573551263001</v>
      </c>
      <c r="F230" s="294">
        <f t="shared" si="17"/>
        <v>1.0674475119948346E-2</v>
      </c>
      <c r="G230" s="296">
        <f>VLOOKUP($A230,'Dados para Ke Alternativo'!$I:$J,2,0)</f>
        <v>3086.44</v>
      </c>
      <c r="H230" s="294">
        <f t="shared" si="18"/>
        <v>-7.9487781124143453E-3</v>
      </c>
      <c r="I230" s="297">
        <f>VLOOKUP(A230,'Dados para Ke Alternativo'!$W:$X,2,0)</f>
        <v>105070</v>
      </c>
      <c r="J230" s="294">
        <f t="shared" si="19"/>
        <v>5.7817854612984831E-3</v>
      </c>
    </row>
    <row r="231" spans="1:10" x14ac:dyDescent="0.3">
      <c r="A231" s="168">
        <v>44536</v>
      </c>
      <c r="B231" s="219">
        <f>VLOOKUP('Ke Alternativo'!A231,'Dados para Ke Alternativo'!$A:$B,2,0)</f>
        <v>21.61</v>
      </c>
      <c r="C231" s="294">
        <f t="shared" si="16"/>
        <v>1.885902876001877E-2</v>
      </c>
      <c r="D231" s="296">
        <f>VLOOKUP(A231,'Dados para Ke Alternativo'!$P:$Q,2,0)</f>
        <v>5.6890999999999998</v>
      </c>
      <c r="E231" s="296">
        <f t="shared" si="15"/>
        <v>3.7984918528413987</v>
      </c>
      <c r="F231" s="294">
        <f t="shared" si="17"/>
        <v>1.2429709688024371E-2</v>
      </c>
      <c r="G231" s="296">
        <f>VLOOKUP($A231,'Dados para Ke Alternativo'!$I:$J,2,0)</f>
        <v>3117.31</v>
      </c>
      <c r="H231" s="294">
        <f t="shared" si="18"/>
        <v>1.0001814388097552E-2</v>
      </c>
      <c r="I231" s="297">
        <f>VLOOKUP(A231,'Dados para Ke Alternativo'!$W:$X,2,0)</f>
        <v>106859</v>
      </c>
      <c r="J231" s="294">
        <f t="shared" si="19"/>
        <v>1.7026744075378408E-2</v>
      </c>
    </row>
    <row r="232" spans="1:10" x14ac:dyDescent="0.3">
      <c r="A232" s="167">
        <v>44537</v>
      </c>
      <c r="B232" s="219">
        <f>VLOOKUP('Ke Alternativo'!A232,'Dados para Ke Alternativo'!$A:$B,2,0)</f>
        <v>21.93</v>
      </c>
      <c r="C232" s="294">
        <f t="shared" si="16"/>
        <v>1.4807959278112071E-2</v>
      </c>
      <c r="D232" s="296">
        <f>VLOOKUP(A232,'Dados para Ke Alternativo'!$P:$Q,2,0)</f>
        <v>5.6128</v>
      </c>
      <c r="E232" s="296">
        <f t="shared" si="15"/>
        <v>3.9071408209806155</v>
      </c>
      <c r="F232" s="294">
        <f t="shared" si="17"/>
        <v>2.8603185776993056E-2</v>
      </c>
      <c r="G232" s="296">
        <f>VLOOKUP($A232,'Dados para Ke Alternativo'!$I:$J,2,0)</f>
        <v>3184.17</v>
      </c>
      <c r="H232" s="294">
        <f t="shared" si="18"/>
        <v>2.1447979187183774E-2</v>
      </c>
      <c r="I232" s="297">
        <f>VLOOKUP(A232,'Dados para Ke Alternativo'!$W:$X,2,0)</f>
        <v>107558</v>
      </c>
      <c r="J232" s="294">
        <f t="shared" si="19"/>
        <v>6.5413301640480093E-3</v>
      </c>
    </row>
    <row r="233" spans="1:10" x14ac:dyDescent="0.3">
      <c r="A233" s="168">
        <v>44538</v>
      </c>
      <c r="B233" s="219">
        <f>VLOOKUP('Ke Alternativo'!A233,'Dados para Ke Alternativo'!$A:$B,2,0)</f>
        <v>20.97</v>
      </c>
      <c r="C233" s="294">
        <f t="shared" si="16"/>
        <v>-4.3775649794801641E-2</v>
      </c>
      <c r="D233" s="296">
        <f>VLOOKUP(A233,'Dados para Ke Alternativo'!$P:$Q,2,0)</f>
        <v>5.5327000000000002</v>
      </c>
      <c r="E233" s="296">
        <f t="shared" si="15"/>
        <v>3.7901928533988829</v>
      </c>
      <c r="F233" s="294">
        <f t="shared" si="17"/>
        <v>-2.9931853736559488E-2</v>
      </c>
      <c r="G233" s="296">
        <f>VLOOKUP($A233,'Dados para Ke Alternativo'!$I:$J,2,0)</f>
        <v>3196.39</v>
      </c>
      <c r="H233" s="294">
        <f t="shared" si="18"/>
        <v>3.8377347943105988E-3</v>
      </c>
      <c r="I233" s="297">
        <f>VLOOKUP(A233,'Dados para Ke Alternativo'!$W:$X,2,0)</f>
        <v>108096</v>
      </c>
      <c r="J233" s="294">
        <f t="shared" si="19"/>
        <v>5.0019524349653732E-3</v>
      </c>
    </row>
    <row r="234" spans="1:10" x14ac:dyDescent="0.3">
      <c r="A234" s="167">
        <v>44539</v>
      </c>
      <c r="B234" s="219">
        <f>VLOOKUP('Ke Alternativo'!A234,'Dados para Ke Alternativo'!$A:$B,2,0)</f>
        <v>20.74</v>
      </c>
      <c r="C234" s="294">
        <f t="shared" si="16"/>
        <v>-1.0968049594659024E-2</v>
      </c>
      <c r="D234" s="296">
        <f>VLOOKUP(A234,'Dados para Ke Alternativo'!$P:$Q,2,0)</f>
        <v>5.5727000000000002</v>
      </c>
      <c r="E234" s="296">
        <f t="shared" si="15"/>
        <v>3.7217147881637263</v>
      </c>
      <c r="F234" s="294">
        <f t="shared" si="17"/>
        <v>-1.806717174661665E-2</v>
      </c>
      <c r="G234" s="296">
        <f>VLOOKUP($A234,'Dados para Ke Alternativo'!$I:$J,2,0)</f>
        <v>3172.49</v>
      </c>
      <c r="H234" s="294">
        <f t="shared" si="18"/>
        <v>-7.4771851995533156E-3</v>
      </c>
      <c r="I234" s="297">
        <f>VLOOKUP(A234,'Dados para Ke Alternativo'!$W:$X,2,0)</f>
        <v>106291</v>
      </c>
      <c r="J234" s="294">
        <f t="shared" si="19"/>
        <v>-1.6698120189461263E-2</v>
      </c>
    </row>
    <row r="235" spans="1:10" x14ac:dyDescent="0.3">
      <c r="A235" s="168">
        <v>44540</v>
      </c>
      <c r="B235" s="219">
        <f>VLOOKUP('Ke Alternativo'!A235,'Dados para Ke Alternativo'!$A:$B,2,0)</f>
        <v>20.7</v>
      </c>
      <c r="C235" s="294">
        <f t="shared" si="16"/>
        <v>-1.9286403085824189E-3</v>
      </c>
      <c r="D235" s="296">
        <f>VLOOKUP(A235,'Dados para Ke Alternativo'!$P:$Q,2,0)</f>
        <v>5.6127000000000002</v>
      </c>
      <c r="E235" s="296">
        <f t="shared" si="15"/>
        <v>3.6880645678550428</v>
      </c>
      <c r="F235" s="294">
        <f t="shared" si="17"/>
        <v>-9.0415902948023374E-3</v>
      </c>
      <c r="G235" s="296">
        <f>VLOOKUP($A235,'Dados para Ke Alternativo'!$I:$J,2,0)</f>
        <v>3188.26</v>
      </c>
      <c r="H235" s="294">
        <f t="shared" si="18"/>
        <v>4.9708588521950592E-3</v>
      </c>
      <c r="I235" s="297">
        <f>VLOOKUP(A235,'Dados para Ke Alternativo'!$W:$X,2,0)</f>
        <v>107758</v>
      </c>
      <c r="J235" s="294">
        <f t="shared" si="19"/>
        <v>1.3801732978333092E-2</v>
      </c>
    </row>
    <row r="236" spans="1:10" x14ac:dyDescent="0.3">
      <c r="A236" s="167">
        <v>44543</v>
      </c>
      <c r="B236" s="219">
        <f>VLOOKUP('Ke Alternativo'!A236,'Dados para Ke Alternativo'!$A:$B,2,0)</f>
        <v>20.39</v>
      </c>
      <c r="C236" s="294">
        <f t="shared" si="16"/>
        <v>-1.4975845410627908E-2</v>
      </c>
      <c r="D236" s="296">
        <f>VLOOKUP(A236,'Dados para Ke Alternativo'!$P:$Q,2,0)</f>
        <v>5.6803999999999997</v>
      </c>
      <c r="E236" s="296">
        <f t="shared" si="15"/>
        <v>3.5895359481726641</v>
      </c>
      <c r="F236" s="294">
        <f t="shared" si="17"/>
        <v>-2.6715535444023497E-2</v>
      </c>
      <c r="G236" s="296">
        <f>VLOOKUP($A236,'Dados para Ke Alternativo'!$I:$J,2,0)</f>
        <v>3162</v>
      </c>
      <c r="H236" s="294">
        <f t="shared" si="18"/>
        <v>-8.2364675402885057E-3</v>
      </c>
      <c r="I236" s="297">
        <f>VLOOKUP(A236,'Dados para Ke Alternativo'!$W:$X,2,0)</f>
        <v>107383</v>
      </c>
      <c r="J236" s="294">
        <f t="shared" si="19"/>
        <v>-3.4800200449154328E-3</v>
      </c>
    </row>
    <row r="237" spans="1:10" x14ac:dyDescent="0.3">
      <c r="A237" s="168">
        <v>44544</v>
      </c>
      <c r="B237" s="219">
        <f>VLOOKUP('Ke Alternativo'!A237,'Dados para Ke Alternativo'!$A:$B,2,0)</f>
        <v>19.7</v>
      </c>
      <c r="C237" s="294">
        <f t="shared" si="16"/>
        <v>-3.3840117704757255E-2</v>
      </c>
      <c r="D237" s="296">
        <f>VLOOKUP(A237,'Dados para Ke Alternativo'!$P:$Q,2,0)</f>
        <v>5.6814999999999998</v>
      </c>
      <c r="E237" s="296">
        <f t="shared" si="15"/>
        <v>3.4673941740737479</v>
      </c>
      <c r="F237" s="294">
        <f t="shared" si="17"/>
        <v>-3.4027176733275266E-2</v>
      </c>
      <c r="G237" s="296">
        <f>VLOOKUP($A237,'Dados para Ke Alternativo'!$I:$J,2,0)</f>
        <v>3138.06</v>
      </c>
      <c r="H237" s="294">
        <f t="shared" si="18"/>
        <v>-7.5711574952561644E-3</v>
      </c>
      <c r="I237" s="297">
        <f>VLOOKUP(A237,'Dados para Ke Alternativo'!$W:$X,2,0)</f>
        <v>106760</v>
      </c>
      <c r="J237" s="294">
        <f t="shared" si="19"/>
        <v>-5.8016632055353234E-3</v>
      </c>
    </row>
    <row r="238" spans="1:10" x14ac:dyDescent="0.3">
      <c r="A238" s="167">
        <v>44545</v>
      </c>
      <c r="B238" s="219">
        <f>VLOOKUP('Ke Alternativo'!A238,'Dados para Ke Alternativo'!$A:$B,2,0)</f>
        <v>19.899999999999999</v>
      </c>
      <c r="C238" s="294">
        <f t="shared" si="16"/>
        <v>1.0152284263959421E-2</v>
      </c>
      <c r="D238" s="296">
        <f>VLOOKUP(A238,'Dados para Ke Alternativo'!$P:$Q,2,0)</f>
        <v>5.6806000000000001</v>
      </c>
      <c r="E238" s="296">
        <f t="shared" si="15"/>
        <v>3.5031510755906061</v>
      </c>
      <c r="F238" s="294">
        <f t="shared" si="17"/>
        <v>1.0312326698884711E-2</v>
      </c>
      <c r="G238" s="296">
        <f>VLOOKUP($A238,'Dados para Ke Alternativo'!$I:$J,2,0)</f>
        <v>3175.11</v>
      </c>
      <c r="H238" s="294">
        <f t="shared" si="18"/>
        <v>1.1806657616489247E-2</v>
      </c>
      <c r="I238" s="297">
        <f>VLOOKUP(A238,'Dados para Ke Alternativo'!$W:$X,2,0)</f>
        <v>107431</v>
      </c>
      <c r="J238" s="294">
        <f t="shared" si="19"/>
        <v>6.2851255151741281E-3</v>
      </c>
    </row>
    <row r="239" spans="1:10" x14ac:dyDescent="0.3">
      <c r="A239" s="168">
        <v>44546</v>
      </c>
      <c r="B239" s="219">
        <f>VLOOKUP('Ke Alternativo'!A239,'Dados para Ke Alternativo'!$A:$B,2,0)</f>
        <v>20.02</v>
      </c>
      <c r="C239" s="294">
        <f t="shared" si="16"/>
        <v>6.0301507537690036E-3</v>
      </c>
      <c r="D239" s="296">
        <f>VLOOKUP(A239,'Dados para Ke Alternativo'!$P:$Q,2,0)</f>
        <v>5.6883999999999997</v>
      </c>
      <c r="E239" s="296">
        <f t="shared" si="15"/>
        <v>3.5194430771394418</v>
      </c>
      <c r="F239" s="294">
        <f t="shared" si="17"/>
        <v>4.6506705526792036E-3</v>
      </c>
      <c r="G239" s="296">
        <f>VLOOKUP($A239,'Dados para Ke Alternativo'!$I:$J,2,0)</f>
        <v>3167.33</v>
      </c>
      <c r="H239" s="294">
        <f t="shared" si="18"/>
        <v>-2.4503088081988533E-3</v>
      </c>
      <c r="I239" s="297">
        <f>VLOOKUP(A239,'Dados para Ke Alternativo'!$W:$X,2,0)</f>
        <v>108326</v>
      </c>
      <c r="J239" s="294">
        <f t="shared" si="19"/>
        <v>8.3309286891120049E-3</v>
      </c>
    </row>
    <row r="240" spans="1:10" x14ac:dyDescent="0.3">
      <c r="A240" s="167">
        <v>44547</v>
      </c>
      <c r="B240" s="219">
        <f>VLOOKUP('Ke Alternativo'!A240,'Dados para Ke Alternativo'!$A:$B,2,0)</f>
        <v>20.3</v>
      </c>
      <c r="C240" s="294">
        <f t="shared" si="16"/>
        <v>1.3986013986013957E-2</v>
      </c>
      <c r="D240" s="296">
        <f>VLOOKUP(A240,'Dados para Ke Alternativo'!$P:$Q,2,0)</f>
        <v>5.6959</v>
      </c>
      <c r="E240" s="296">
        <f t="shared" si="15"/>
        <v>3.5639670640285117</v>
      </c>
      <c r="F240" s="294">
        <f t="shared" si="17"/>
        <v>1.2650861489499787E-2</v>
      </c>
      <c r="G240" s="296">
        <f>VLOOKUP($A240,'Dados para Ke Alternativo'!$I:$J,2,0)</f>
        <v>3139.75</v>
      </c>
      <c r="H240" s="294">
        <f t="shared" si="18"/>
        <v>-8.7076496607552123E-3</v>
      </c>
      <c r="I240" s="297">
        <f>VLOOKUP(A240,'Dados para Ke Alternativo'!$W:$X,2,0)</f>
        <v>107201</v>
      </c>
      <c r="J240" s="294">
        <f t="shared" si="19"/>
        <v>-1.0385318390783382E-2</v>
      </c>
    </row>
    <row r="241" spans="1:10" x14ac:dyDescent="0.3">
      <c r="A241" s="168">
        <v>44550</v>
      </c>
      <c r="B241" s="219">
        <f>VLOOKUP('Ke Alternativo'!A241,'Dados para Ke Alternativo'!$A:$B,2,0)</f>
        <v>19.11</v>
      </c>
      <c r="C241" s="294">
        <f t="shared" si="16"/>
        <v>-5.862068965517242E-2</v>
      </c>
      <c r="D241" s="296">
        <f>VLOOKUP(A241,'Dados para Ke Alternativo'!$P:$Q,2,0)</f>
        <v>5.742</v>
      </c>
      <c r="E241" s="296">
        <f t="shared" si="15"/>
        <v>3.328108672936259</v>
      </c>
      <c r="F241" s="294">
        <f t="shared" si="17"/>
        <v>-6.6178611321298653E-2</v>
      </c>
      <c r="G241" s="296">
        <f>VLOOKUP($A241,'Dados para Ke Alternativo'!$I:$J,2,0)</f>
        <v>3100.5</v>
      </c>
      <c r="H241" s="294">
        <f t="shared" si="18"/>
        <v>-1.2500995302173745E-2</v>
      </c>
      <c r="I241" s="297">
        <f>VLOOKUP(A241,'Dados para Ke Alternativo'!$W:$X,2,0)</f>
        <v>105020</v>
      </c>
      <c r="J241" s="294">
        <f t="shared" si="19"/>
        <v>-2.0344959468661661E-2</v>
      </c>
    </row>
    <row r="242" spans="1:10" x14ac:dyDescent="0.3">
      <c r="A242" s="167">
        <v>44551</v>
      </c>
      <c r="B242" s="219">
        <f>VLOOKUP('Ke Alternativo'!A242,'Dados para Ke Alternativo'!$A:$B,2,0)</f>
        <v>19.63</v>
      </c>
      <c r="C242" s="294">
        <f t="shared" si="16"/>
        <v>2.7210884353741527E-2</v>
      </c>
      <c r="D242" s="296">
        <f>VLOOKUP(A242,'Dados para Ke Alternativo'!$P:$Q,2,0)</f>
        <v>5.7450999999999999</v>
      </c>
      <c r="E242" s="296">
        <f t="shared" si="15"/>
        <v>3.4168247724147531</v>
      </c>
      <c r="F242" s="294">
        <f t="shared" si="17"/>
        <v>2.6656611366065563E-2</v>
      </c>
      <c r="G242" s="296">
        <f>VLOOKUP($A242,'Dados para Ke Alternativo'!$I:$J,2,0)</f>
        <v>3152.31</v>
      </c>
      <c r="H242" s="294">
        <f t="shared" si="18"/>
        <v>1.6710208030962681E-2</v>
      </c>
      <c r="I242" s="297">
        <f>VLOOKUP(A242,'Dados para Ke Alternativo'!$W:$X,2,0)</f>
        <v>105500</v>
      </c>
      <c r="J242" s="294">
        <f t="shared" si="19"/>
        <v>4.57055798895456E-3</v>
      </c>
    </row>
    <row r="243" spans="1:10" x14ac:dyDescent="0.3">
      <c r="A243" s="168">
        <v>44552</v>
      </c>
      <c r="B243" s="219">
        <f>VLOOKUP('Ke Alternativo'!A243,'Dados para Ke Alternativo'!$A:$B,2,0)</f>
        <v>19.87</v>
      </c>
      <c r="C243" s="294">
        <f t="shared" si="16"/>
        <v>1.2226184411614938E-2</v>
      </c>
      <c r="D243" s="296">
        <f>VLOOKUP(A243,'Dados para Ke Alternativo'!$P:$Q,2,0)</f>
        <v>5.6539999999999999</v>
      </c>
      <c r="E243" s="296">
        <f t="shared" si="15"/>
        <v>3.5143261407852848</v>
      </c>
      <c r="F243" s="294">
        <f t="shared" si="17"/>
        <v>2.8535665380822195E-2</v>
      </c>
      <c r="G243" s="296">
        <f>VLOOKUP($A243,'Dados para Ke Alternativo'!$I:$J,2,0)</f>
        <v>3183.62</v>
      </c>
      <c r="H243" s="294">
        <f t="shared" si="18"/>
        <v>9.9323987805768343E-3</v>
      </c>
      <c r="I243" s="297">
        <f>VLOOKUP(A243,'Dados para Ke Alternativo'!$W:$X,2,0)</f>
        <v>105244</v>
      </c>
      <c r="J243" s="294">
        <f t="shared" si="19"/>
        <v>-2.4265402843601791E-3</v>
      </c>
    </row>
    <row r="244" spans="1:10" x14ac:dyDescent="0.3">
      <c r="A244" s="167">
        <v>44553</v>
      </c>
      <c r="B244" s="219">
        <f>VLOOKUP('Ke Alternativo'!A244,'Dados para Ke Alternativo'!$A:$B,2,0)</f>
        <v>19.7</v>
      </c>
      <c r="C244" s="294">
        <f t="shared" si="16"/>
        <v>-8.5556114745848344E-3</v>
      </c>
      <c r="D244" s="296">
        <f>VLOOKUP(A244,'Dados para Ke Alternativo'!$P:$Q,2,0)</f>
        <v>5.6749000000000001</v>
      </c>
      <c r="E244" s="296">
        <f t="shared" si="15"/>
        <v>3.471426809282983</v>
      </c>
      <c r="F244" s="294">
        <f t="shared" si="17"/>
        <v>-1.2206986427479305E-2</v>
      </c>
      <c r="G244" s="296">
        <f>VLOOKUP($A244,'Dados para Ke Alternativo'!$I:$J,2,0)</f>
        <v>3206.08</v>
      </c>
      <c r="H244" s="294">
        <f t="shared" si="18"/>
        <v>7.0548620752477476E-3</v>
      </c>
      <c r="I244" s="297">
        <f>VLOOKUP(A244,'Dados para Ke Alternativo'!$W:$X,2,0)</f>
        <v>104891</v>
      </c>
      <c r="J244" s="294">
        <f t="shared" si="19"/>
        <v>-3.3541104481015216E-3</v>
      </c>
    </row>
    <row r="245" spans="1:10" x14ac:dyDescent="0.3">
      <c r="A245" s="168">
        <v>44557</v>
      </c>
      <c r="B245" s="219">
        <f>VLOOKUP('Ke Alternativo'!A245,'Dados para Ke Alternativo'!$A:$B,2,0)</f>
        <v>20.66</v>
      </c>
      <c r="C245" s="294">
        <f t="shared" si="16"/>
        <v>4.8730964467005089E-2</v>
      </c>
      <c r="D245" s="296">
        <f>VLOOKUP(A245,'Dados para Ke Alternativo'!$P:$Q,2,0)</f>
        <v>5.6249000000000002</v>
      </c>
      <c r="E245" s="296">
        <f t="shared" si="15"/>
        <v>3.672954185852193</v>
      </c>
      <c r="F245" s="294">
        <f t="shared" si="17"/>
        <v>5.8053183212822823E-2</v>
      </c>
      <c r="G245" s="296">
        <f>VLOOKUP($A245,'Dados para Ke Alternativo'!$I:$J,2,0)</f>
        <v>3237.7</v>
      </c>
      <c r="H245" s="294">
        <f t="shared" si="18"/>
        <v>9.8625112286654382E-3</v>
      </c>
      <c r="I245" s="297">
        <f>VLOOKUP(A245,'Dados para Ke Alternativo'!$W:$X,2,0)</f>
        <v>105554</v>
      </c>
      <c r="J245" s="294">
        <f t="shared" si="19"/>
        <v>6.3208473558264977E-3</v>
      </c>
    </row>
    <row r="246" spans="1:10" x14ac:dyDescent="0.3">
      <c r="A246" s="167">
        <v>44558</v>
      </c>
      <c r="B246" s="219">
        <f>VLOOKUP('Ke Alternativo'!A246,'Dados para Ke Alternativo'!$A:$B,2,0)</f>
        <v>20.05</v>
      </c>
      <c r="C246" s="294">
        <f t="shared" si="16"/>
        <v>-2.9525653436592414E-2</v>
      </c>
      <c r="D246" s="296">
        <f>VLOOKUP(A246,'Dados para Ke Alternativo'!$P:$Q,2,0)</f>
        <v>5.6283000000000003</v>
      </c>
      <c r="E246" s="296">
        <f t="shared" si="15"/>
        <v>3.5623545297869694</v>
      </c>
      <c r="F246" s="294">
        <f t="shared" si="17"/>
        <v>-3.0111907328232101E-2</v>
      </c>
      <c r="G246" s="296">
        <f>VLOOKUP($A246,'Dados para Ke Alternativo'!$I:$J,2,0)</f>
        <v>3239.28</v>
      </c>
      <c r="H246" s="294">
        <f t="shared" si="18"/>
        <v>4.880007412670917E-4</v>
      </c>
      <c r="I246" s="297">
        <f>VLOOKUP(A246,'Dados para Ke Alternativo'!$W:$X,2,0)</f>
        <v>104864</v>
      </c>
      <c r="J246" s="294">
        <f t="shared" si="19"/>
        <v>-6.5369384390927543E-3</v>
      </c>
    </row>
    <row r="247" spans="1:10" x14ac:dyDescent="0.3">
      <c r="A247" s="168">
        <v>44559</v>
      </c>
      <c r="B247" s="219">
        <f>VLOOKUP('Ke Alternativo'!A247,'Dados para Ke Alternativo'!$A:$B,2,0)</f>
        <v>20.05</v>
      </c>
      <c r="C247" s="294">
        <f t="shared" si="16"/>
        <v>0</v>
      </c>
      <c r="D247" s="296">
        <f>VLOOKUP(A247,'Dados para Ke Alternativo'!$P:$Q,2,0)</f>
        <v>5.7031999999999998</v>
      </c>
      <c r="E247" s="296">
        <f t="shared" si="15"/>
        <v>3.5155702062000285</v>
      </c>
      <c r="F247" s="294">
        <f t="shared" si="17"/>
        <v>-1.313297797727575E-2</v>
      </c>
      <c r="G247" s="296">
        <f>VLOOKUP($A247,'Dados para Ke Alternativo'!$I:$J,2,0)</f>
        <v>3243.95</v>
      </c>
      <c r="H247" s="294">
        <f t="shared" si="18"/>
        <v>1.441678397668511E-3</v>
      </c>
      <c r="I247" s="297">
        <f>VLOOKUP(A247,'Dados para Ke Alternativo'!$W:$X,2,0)</f>
        <v>104107</v>
      </c>
      <c r="J247" s="294">
        <f t="shared" si="19"/>
        <v>-7.2188739700945748E-3</v>
      </c>
    </row>
    <row r="248" spans="1:10" x14ac:dyDescent="0.3">
      <c r="A248" s="167">
        <v>44560</v>
      </c>
      <c r="B248" s="219">
        <f>VLOOKUP('Ke Alternativo'!A248,'Dados para Ke Alternativo'!$A:$B,2,0)</f>
        <v>20.67</v>
      </c>
      <c r="C248" s="294">
        <f t="shared" si="16"/>
        <v>3.0922693266832946E-2</v>
      </c>
      <c r="D248" s="296">
        <f>VLOOKUP(A248,'Dados para Ke Alternativo'!$P:$Q,2,0)</f>
        <v>5.5709999999999997</v>
      </c>
      <c r="E248" s="296">
        <f t="shared" si="15"/>
        <v>3.7102854065697368</v>
      </c>
      <c r="F248" s="294">
        <f t="shared" si="17"/>
        <v>5.5386520236833992E-2</v>
      </c>
      <c r="G248" s="296">
        <f>VLOOKUP($A248,'Dados para Ke Alternativo'!$I:$J,2,0)</f>
        <v>3237.07</v>
      </c>
      <c r="H248" s="294">
        <f t="shared" si="18"/>
        <v>-2.1208711601595764E-3</v>
      </c>
      <c r="I248" s="297">
        <f>VLOOKUP(A248,'Dados para Ke Alternativo'!$W:$X,2,0)</f>
        <v>104822</v>
      </c>
      <c r="J248" s="294">
        <f t="shared" si="19"/>
        <v>6.8679339525681282E-3</v>
      </c>
    </row>
    <row r="249" spans="1:10" x14ac:dyDescent="0.3">
      <c r="A249" s="168">
        <v>44564</v>
      </c>
      <c r="B249" s="219">
        <f>VLOOKUP('Ke Alternativo'!A249,'Dados para Ke Alternativo'!$A:$B,2,0)</f>
        <v>20.29</v>
      </c>
      <c r="C249" s="294">
        <f t="shared" si="16"/>
        <v>-1.8384131591678843E-2</v>
      </c>
      <c r="D249" s="296">
        <f>VLOOKUP(A249,'Dados para Ke Alternativo'!$P:$Q,2,0)</f>
        <v>5.6818</v>
      </c>
      <c r="E249" s="296">
        <f t="shared" si="15"/>
        <v>3.5710514273645675</v>
      </c>
      <c r="F249" s="294">
        <f t="shared" si="17"/>
        <v>-3.7526487573875111E-2</v>
      </c>
      <c r="G249" s="296">
        <f>VLOOKUP($A249,'Dados para Ke Alternativo'!$I:$J,2,0)</f>
        <v>3241.43</v>
      </c>
      <c r="H249" s="294">
        <f t="shared" si="18"/>
        <v>1.3468970396066648E-3</v>
      </c>
      <c r="I249" s="297">
        <f>VLOOKUP(A249,'Dados para Ke Alternativo'!$W:$X,2,0)</f>
        <v>103922</v>
      </c>
      <c r="J249" s="294">
        <f t="shared" si="19"/>
        <v>-8.585983858350299E-3</v>
      </c>
    </row>
    <row r="250" spans="1:10" x14ac:dyDescent="0.3">
      <c r="A250" s="167">
        <v>44565</v>
      </c>
      <c r="B250" s="219">
        <f>VLOOKUP('Ke Alternativo'!A250,'Dados para Ke Alternativo'!$A:$B,2,0)</f>
        <v>20.72</v>
      </c>
      <c r="C250" s="294">
        <f t="shared" si="16"/>
        <v>2.1192705766387432E-2</v>
      </c>
      <c r="D250" s="296">
        <f>VLOOKUP(A250,'Dados para Ke Alternativo'!$P:$Q,2,0)</f>
        <v>5.6769999999999996</v>
      </c>
      <c r="E250" s="296">
        <f t="shared" si="15"/>
        <v>3.6498150431565968</v>
      </c>
      <c r="F250" s="294">
        <f t="shared" si="17"/>
        <v>2.2056141557770026E-2</v>
      </c>
      <c r="G250" s="296">
        <f>VLOOKUP($A250,'Dados para Ke Alternativo'!$I:$J,2,0)</f>
        <v>3248.12</v>
      </c>
      <c r="H250" s="294">
        <f t="shared" si="18"/>
        <v>2.0639038942689147E-3</v>
      </c>
      <c r="I250" s="297">
        <f>VLOOKUP(A250,'Dados para Ke Alternativo'!$W:$X,2,0)</f>
        <v>103514</v>
      </c>
      <c r="J250" s="294">
        <f t="shared" si="19"/>
        <v>-3.9260214391563242E-3</v>
      </c>
    </row>
    <row r="251" spans="1:10" x14ac:dyDescent="0.3">
      <c r="A251" s="168">
        <v>44566</v>
      </c>
      <c r="B251" s="219">
        <f>VLOOKUP('Ke Alternativo'!A251,'Dados para Ke Alternativo'!$A:$B,2,0)</f>
        <v>18.489999999999998</v>
      </c>
      <c r="C251" s="294">
        <f t="shared" si="16"/>
        <v>-0.10762548262548266</v>
      </c>
      <c r="D251" s="296">
        <f>VLOOKUP(A251,'Dados para Ke Alternativo'!$P:$Q,2,0)</f>
        <v>5.7087000000000003</v>
      </c>
      <c r="E251" s="296">
        <f t="shared" si="15"/>
        <v>3.2389160404295194</v>
      </c>
      <c r="F251" s="294">
        <f t="shared" si="17"/>
        <v>-0.11258077405799316</v>
      </c>
      <c r="G251" s="296">
        <f>VLOOKUP($A251,'Dados para Ke Alternativo'!$I:$J,2,0)</f>
        <v>3203.03</v>
      </c>
      <c r="H251" s="294">
        <f t="shared" si="18"/>
        <v>-1.3881876285358863E-2</v>
      </c>
      <c r="I251" s="297">
        <f>VLOOKUP(A251,'Dados para Ke Alternativo'!$W:$X,2,0)</f>
        <v>101006</v>
      </c>
      <c r="J251" s="294">
        <f t="shared" si="19"/>
        <v>-2.4228606758506133E-2</v>
      </c>
    </row>
    <row r="252" spans="1:10" x14ac:dyDescent="0.3">
      <c r="A252" s="167">
        <v>44567</v>
      </c>
      <c r="B252" s="219">
        <f>VLOOKUP('Ke Alternativo'!A252,'Dados para Ke Alternativo'!$A:$B,2,0)</f>
        <v>18.96</v>
      </c>
      <c r="C252" s="294">
        <f t="shared" si="16"/>
        <v>2.5419145484045558E-2</v>
      </c>
      <c r="D252" s="296">
        <f>VLOOKUP(A252,'Dados para Ke Alternativo'!$P:$Q,2,0)</f>
        <v>5.6833999999999998</v>
      </c>
      <c r="E252" s="296">
        <f t="shared" si="15"/>
        <v>3.3360312489003063</v>
      </c>
      <c r="F252" s="294">
        <f t="shared" si="17"/>
        <v>2.9983861038246795E-2</v>
      </c>
      <c r="G252" s="296">
        <f>VLOOKUP($A252,'Dados para Ke Alternativo'!$I:$J,2,0)</f>
        <v>3184.62</v>
      </c>
      <c r="H252" s="294">
        <f t="shared" si="18"/>
        <v>-5.7476826629785371E-3</v>
      </c>
      <c r="I252" s="297">
        <f>VLOOKUP(A252,'Dados para Ke Alternativo'!$W:$X,2,0)</f>
        <v>101561</v>
      </c>
      <c r="J252" s="294">
        <f t="shared" si="19"/>
        <v>5.4947230857573803E-3</v>
      </c>
    </row>
    <row r="253" spans="1:10" x14ac:dyDescent="0.3">
      <c r="A253" s="168">
        <v>44568</v>
      </c>
      <c r="B253" s="219">
        <f>VLOOKUP('Ke Alternativo'!A253,'Dados para Ke Alternativo'!$A:$B,2,0)</f>
        <v>19.82</v>
      </c>
      <c r="C253" s="294">
        <f t="shared" si="16"/>
        <v>4.5358649789029482E-2</v>
      </c>
      <c r="D253" s="296">
        <f>VLOOKUP(A253,'Dados para Ke Alternativo'!$P:$Q,2,0)</f>
        <v>5.6355000000000004</v>
      </c>
      <c r="E253" s="296">
        <f t="shared" si="15"/>
        <v>3.5169905066098837</v>
      </c>
      <c r="F253" s="294">
        <f t="shared" si="17"/>
        <v>5.4243873695496436E-2</v>
      </c>
      <c r="G253" s="296">
        <f>VLOOKUP($A253,'Dados para Ke Alternativo'!$I:$J,2,0)</f>
        <v>3177.54</v>
      </c>
      <c r="H253" s="294">
        <f t="shared" si="18"/>
        <v>-2.2231851837896111E-3</v>
      </c>
      <c r="I253" s="297">
        <f>VLOOKUP(A253,'Dados para Ke Alternativo'!$W:$X,2,0)</f>
        <v>102719</v>
      </c>
      <c r="J253" s="294">
        <f t="shared" si="19"/>
        <v>1.1402014552830408E-2</v>
      </c>
    </row>
    <row r="254" spans="1:10" x14ac:dyDescent="0.3">
      <c r="A254" s="167">
        <v>44571</v>
      </c>
      <c r="B254" s="219">
        <f>VLOOKUP('Ke Alternativo'!A254,'Dados para Ke Alternativo'!$A:$B,2,0)</f>
        <v>20.14</v>
      </c>
      <c r="C254" s="294">
        <f t="shared" si="16"/>
        <v>1.6145307769929396E-2</v>
      </c>
      <c r="D254" s="296">
        <f>VLOOKUP(A254,'Dados para Ke Alternativo'!$P:$Q,2,0)</f>
        <v>5.6632999999999996</v>
      </c>
      <c r="E254" s="296">
        <f t="shared" si="15"/>
        <v>3.5562304663358821</v>
      </c>
      <c r="F254" s="294">
        <f t="shared" si="17"/>
        <v>1.1157254946309925E-2</v>
      </c>
      <c r="G254" s="296">
        <f>VLOOKUP($A254,'Dados para Ke Alternativo'!$I:$J,2,0)</f>
        <v>3166.14</v>
      </c>
      <c r="H254" s="294">
        <f t="shared" si="18"/>
        <v>-3.5876810362733824E-3</v>
      </c>
      <c r="I254" s="297">
        <f>VLOOKUP(A254,'Dados para Ke Alternativo'!$W:$X,2,0)</f>
        <v>101945</v>
      </c>
      <c r="J254" s="294">
        <f t="shared" si="19"/>
        <v>-7.5351200848917665E-3</v>
      </c>
    </row>
    <row r="255" spans="1:10" x14ac:dyDescent="0.3">
      <c r="A255" s="168">
        <v>44572</v>
      </c>
      <c r="B255" s="219">
        <f>VLOOKUP('Ke Alternativo'!A255,'Dados para Ke Alternativo'!$A:$B,2,0)</f>
        <v>21.2</v>
      </c>
      <c r="C255" s="294">
        <f t="shared" si="16"/>
        <v>5.2631578947368363E-2</v>
      </c>
      <c r="D255" s="296">
        <f>VLOOKUP(A255,'Dados para Ke Alternativo'!$P:$Q,2,0)</f>
        <v>5.5686</v>
      </c>
      <c r="E255" s="296">
        <f t="shared" si="15"/>
        <v>3.8070610207233413</v>
      </c>
      <c r="F255" s="294">
        <f t="shared" si="17"/>
        <v>7.0532704998137907E-2</v>
      </c>
      <c r="G255" s="296">
        <f>VLOOKUP($A255,'Dados para Ke Alternativo'!$I:$J,2,0)</f>
        <v>3193.39</v>
      </c>
      <c r="H255" s="294">
        <f t="shared" si="18"/>
        <v>8.606694587099728E-3</v>
      </c>
      <c r="I255" s="297">
        <f>VLOOKUP(A255,'Dados para Ke Alternativo'!$W:$X,2,0)</f>
        <v>103779</v>
      </c>
      <c r="J255" s="294">
        <f t="shared" si="19"/>
        <v>1.7990092697042437E-2</v>
      </c>
    </row>
    <row r="256" spans="1:10" x14ac:dyDescent="0.3">
      <c r="A256" s="167">
        <v>44573</v>
      </c>
      <c r="B256" s="219">
        <f>VLOOKUP('Ke Alternativo'!A256,'Dados para Ke Alternativo'!$A:$B,2,0)</f>
        <v>21.36</v>
      </c>
      <c r="C256" s="294">
        <f t="shared" si="16"/>
        <v>7.547169811320753E-3</v>
      </c>
      <c r="D256" s="296">
        <f>VLOOKUP(A256,'Dados para Ke Alternativo'!$P:$Q,2,0)</f>
        <v>5.5338000000000003</v>
      </c>
      <c r="E256" s="296">
        <f t="shared" si="15"/>
        <v>3.8599154288192561</v>
      </c>
      <c r="F256" s="294">
        <f t="shared" si="17"/>
        <v>1.3883257402024007E-2</v>
      </c>
      <c r="G256" s="296">
        <f>VLOOKUP($A256,'Dados para Ke Alternativo'!$I:$J,2,0)</f>
        <v>3214.19</v>
      </c>
      <c r="H256" s="294">
        <f t="shared" si="18"/>
        <v>6.5134543541502943E-3</v>
      </c>
      <c r="I256" s="297">
        <f>VLOOKUP(A256,'Dados para Ke Alternativo'!$W:$X,2,0)</f>
        <v>105686</v>
      </c>
      <c r="J256" s="294">
        <f t="shared" si="19"/>
        <v>1.8375586583027292E-2</v>
      </c>
    </row>
    <row r="257" spans="1:10" x14ac:dyDescent="0.3">
      <c r="A257" s="168">
        <v>44574</v>
      </c>
      <c r="B257" s="219">
        <f>VLOOKUP('Ke Alternativo'!A257,'Dados para Ke Alternativo'!$A:$B,2,0)</f>
        <v>22.02</v>
      </c>
      <c r="C257" s="294">
        <f t="shared" si="16"/>
        <v>3.0898876404494402E-2</v>
      </c>
      <c r="D257" s="296">
        <f>VLOOKUP(A257,'Dados para Ke Alternativo'!$P:$Q,2,0)</f>
        <v>5.5286</v>
      </c>
      <c r="E257" s="296">
        <f t="shared" si="15"/>
        <v>3.9829251528415872</v>
      </c>
      <c r="F257" s="294">
        <f t="shared" si="17"/>
        <v>3.1868502378032515E-2</v>
      </c>
      <c r="G257" s="296">
        <f>VLOOKUP($A257,'Dados para Ke Alternativo'!$I:$J,2,0)</f>
        <v>3182.06</v>
      </c>
      <c r="H257" s="294">
        <f t="shared" si="18"/>
        <v>-9.9962976675306292E-3</v>
      </c>
      <c r="I257" s="297">
        <f>VLOOKUP(A257,'Dados para Ke Alternativo'!$W:$X,2,0)</f>
        <v>105530</v>
      </c>
      <c r="J257" s="294">
        <f t="shared" si="19"/>
        <v>-1.476070624302217E-3</v>
      </c>
    </row>
    <row r="258" spans="1:10" x14ac:dyDescent="0.3">
      <c r="A258" s="167">
        <v>44575</v>
      </c>
      <c r="B258" s="219">
        <f>VLOOKUP('Ke Alternativo'!A258,'Dados para Ke Alternativo'!$A:$B,2,0)</f>
        <v>22.9</v>
      </c>
      <c r="C258" s="294">
        <f t="shared" si="16"/>
        <v>3.9963669391462231E-2</v>
      </c>
      <c r="D258" s="296">
        <f>VLOOKUP(A258,'Dados para Ke Alternativo'!$P:$Q,2,0)</f>
        <v>5.5343999999999998</v>
      </c>
      <c r="E258" s="296">
        <f t="shared" ref="E258:E321" si="20">B258/D258</f>
        <v>4.1377565770453888</v>
      </c>
      <c r="F258" s="294">
        <f t="shared" si="17"/>
        <v>3.8873797086881767E-2</v>
      </c>
      <c r="G258" s="296">
        <f>VLOOKUP($A258,'Dados para Ke Alternativo'!$I:$J,2,0)</f>
        <v>3173.12</v>
      </c>
      <c r="H258" s="294">
        <f t="shared" si="18"/>
        <v>-2.8095007636562697E-3</v>
      </c>
      <c r="I258" s="297">
        <f>VLOOKUP(A258,'Dados para Ke Alternativo'!$W:$X,2,0)</f>
        <v>106928</v>
      </c>
      <c r="J258" s="294">
        <f t="shared" si="19"/>
        <v>1.3247417795887451E-2</v>
      </c>
    </row>
    <row r="259" spans="1:10" x14ac:dyDescent="0.3">
      <c r="A259" s="168">
        <v>44578</v>
      </c>
      <c r="B259" s="219">
        <f>VLOOKUP('Ke Alternativo'!A259,'Dados para Ke Alternativo'!$A:$B,2,0)</f>
        <v>22.82</v>
      </c>
      <c r="C259" s="294">
        <f t="shared" ref="C259:C322" si="21">B259/B258-1</f>
        <v>-3.4934497816593302E-3</v>
      </c>
      <c r="D259" s="296">
        <f>VLOOKUP(A259,'Dados para Ke Alternativo'!$P:$Q,2,0)</f>
        <v>5.5164999999999997</v>
      </c>
      <c r="E259" s="296">
        <f t="shared" si="20"/>
        <v>4.1366808664914352</v>
      </c>
      <c r="F259" s="294">
        <f t="shared" ref="F259:F322" si="22">E259/E258-1</f>
        <v>-2.5997434453284285E-4</v>
      </c>
      <c r="G259" s="296">
        <f>VLOOKUP($A259,'Dados para Ke Alternativo'!$I:$J,2,0)</f>
        <v>3176.19</v>
      </c>
      <c r="H259" s="294">
        <f t="shared" ref="H259:H322" si="23">G259/G258-1</f>
        <v>9.675020169424009E-4</v>
      </c>
      <c r="I259" s="297">
        <f>VLOOKUP(A259,'Dados para Ke Alternativo'!$W:$X,2,0)</f>
        <v>106374</v>
      </c>
      <c r="J259" s="294">
        <f t="shared" ref="J259:J322" si="24">I259/I258-1</f>
        <v>-5.1810564117911184E-3</v>
      </c>
    </row>
    <row r="260" spans="1:10" x14ac:dyDescent="0.3">
      <c r="A260" s="167">
        <v>44579</v>
      </c>
      <c r="B260" s="219">
        <f>VLOOKUP('Ke Alternativo'!A260,'Dados para Ke Alternativo'!$A:$B,2,0)</f>
        <v>23.92</v>
      </c>
      <c r="C260" s="294">
        <f t="shared" si="21"/>
        <v>4.8203330411919376E-2</v>
      </c>
      <c r="D260" s="296">
        <f>VLOOKUP(A260,'Dados para Ke Alternativo'!$P:$Q,2,0)</f>
        <v>5.5666000000000002</v>
      </c>
      <c r="E260" s="296">
        <f t="shared" si="20"/>
        <v>4.2970574497898184</v>
      </c>
      <c r="F260" s="294">
        <f t="shared" si="22"/>
        <v>3.8769387456859317E-2</v>
      </c>
      <c r="G260" s="296">
        <f>VLOOKUP($A260,'Dados para Ke Alternativo'!$I:$J,2,0)</f>
        <v>3124.21</v>
      </c>
      <c r="H260" s="294">
        <f t="shared" si="23"/>
        <v>-1.6365519694980457E-2</v>
      </c>
      <c r="I260" s="297">
        <f>VLOOKUP(A260,'Dados para Ke Alternativo'!$W:$X,2,0)</f>
        <v>106668</v>
      </c>
      <c r="J260" s="294">
        <f t="shared" si="24"/>
        <v>2.7638332675277155E-3</v>
      </c>
    </row>
    <row r="261" spans="1:10" x14ac:dyDescent="0.3">
      <c r="A261" s="168">
        <v>44580</v>
      </c>
      <c r="B261" s="219">
        <f>VLOOKUP('Ke Alternativo'!A261,'Dados para Ke Alternativo'!$A:$B,2,0)</f>
        <v>23.99</v>
      </c>
      <c r="C261" s="294">
        <f t="shared" si="21"/>
        <v>2.9264214046822445E-3</v>
      </c>
      <c r="D261" s="296">
        <f>VLOOKUP(A261,'Dados para Ke Alternativo'!$P:$Q,2,0)</f>
        <v>5.4382999999999999</v>
      </c>
      <c r="E261" s="296">
        <f t="shared" si="20"/>
        <v>4.4113050034017984</v>
      </c>
      <c r="F261" s="294">
        <f t="shared" si="22"/>
        <v>2.6587392639483509E-2</v>
      </c>
      <c r="G261" s="296">
        <f>VLOOKUP($A261,'Dados para Ke Alternativo'!$I:$J,2,0)</f>
        <v>3098.6</v>
      </c>
      <c r="H261" s="294">
        <f t="shared" si="23"/>
        <v>-8.1972722704299894E-3</v>
      </c>
      <c r="I261" s="297">
        <f>VLOOKUP(A261,'Dados para Ke Alternativo'!$W:$X,2,0)</f>
        <v>108013</v>
      </c>
      <c r="J261" s="294">
        <f t="shared" si="24"/>
        <v>1.2609217384782712E-2</v>
      </c>
    </row>
    <row r="262" spans="1:10" x14ac:dyDescent="0.3">
      <c r="A262" s="167">
        <v>44581</v>
      </c>
      <c r="B262" s="219">
        <f>VLOOKUP('Ke Alternativo'!A262,'Dados para Ke Alternativo'!$A:$B,2,0)</f>
        <v>24.2</v>
      </c>
      <c r="C262" s="294">
        <f t="shared" si="21"/>
        <v>8.7536473530638315E-3</v>
      </c>
      <c r="D262" s="296">
        <f>VLOOKUP(A262,'Dados para Ke Alternativo'!$P:$Q,2,0)</f>
        <v>5.4191000000000003</v>
      </c>
      <c r="E262" s="296">
        <f t="shared" si="20"/>
        <v>4.4656861840527018</v>
      </c>
      <c r="F262" s="294">
        <f t="shared" si="22"/>
        <v>1.2327685482859785E-2</v>
      </c>
      <c r="G262" s="296">
        <f>VLOOKUP($A262,'Dados para Ke Alternativo'!$I:$J,2,0)</f>
        <v>3082.25</v>
      </c>
      <c r="H262" s="294">
        <f t="shared" si="23"/>
        <v>-5.2765765184276114E-3</v>
      </c>
      <c r="I262" s="297">
        <f>VLOOKUP(A262,'Dados para Ke Alternativo'!$W:$X,2,0)</f>
        <v>109102</v>
      </c>
      <c r="J262" s="294">
        <f t="shared" si="24"/>
        <v>1.0082119744845519E-2</v>
      </c>
    </row>
    <row r="263" spans="1:10" x14ac:dyDescent="0.3">
      <c r="A263" s="168">
        <v>44582</v>
      </c>
      <c r="B263" s="219">
        <f>VLOOKUP('Ke Alternativo'!A263,'Dados para Ke Alternativo'!$A:$B,2,0)</f>
        <v>23.6</v>
      </c>
      <c r="C263" s="294">
        <f t="shared" si="21"/>
        <v>-2.4793388429751984E-2</v>
      </c>
      <c r="D263" s="296">
        <f>VLOOKUP(A263,'Dados para Ke Alternativo'!$P:$Q,2,0)</f>
        <v>5.4581999999999997</v>
      </c>
      <c r="E263" s="296">
        <f t="shared" si="20"/>
        <v>4.3237697409402376</v>
      </c>
      <c r="F263" s="294">
        <f t="shared" si="22"/>
        <v>-3.1779313920279106E-2</v>
      </c>
      <c r="G263" s="296">
        <f>VLOOKUP($A263,'Dados para Ke Alternativo'!$I:$J,2,0)</f>
        <v>3025.1</v>
      </c>
      <c r="H263" s="294">
        <f t="shared" si="23"/>
        <v>-1.8541649768837765E-2</v>
      </c>
      <c r="I263" s="297">
        <f>VLOOKUP(A263,'Dados para Ke Alternativo'!$W:$X,2,0)</f>
        <v>108942</v>
      </c>
      <c r="J263" s="294">
        <f t="shared" si="24"/>
        <v>-1.466517570713699E-3</v>
      </c>
    </row>
    <row r="264" spans="1:10" x14ac:dyDescent="0.3">
      <c r="A264" s="167">
        <v>44585</v>
      </c>
      <c r="B264" s="219">
        <f>VLOOKUP('Ke Alternativo'!A264,'Dados para Ke Alternativo'!$A:$B,2,0)</f>
        <v>23.17</v>
      </c>
      <c r="C264" s="294">
        <f t="shared" si="21"/>
        <v>-1.8220338983050866E-2</v>
      </c>
      <c r="D264" s="296">
        <f>VLOOKUP(A264,'Dados para Ke Alternativo'!$P:$Q,2,0)</f>
        <v>5.4877000000000002</v>
      </c>
      <c r="E264" s="296">
        <f t="shared" si="20"/>
        <v>4.2221695792408482</v>
      </c>
      <c r="F264" s="294">
        <f t="shared" si="22"/>
        <v>-2.3498050957102001E-2</v>
      </c>
      <c r="G264" s="296">
        <f>VLOOKUP($A264,'Dados para Ke Alternativo'!$I:$J,2,0)</f>
        <v>3005.52</v>
      </c>
      <c r="H264" s="294">
        <f t="shared" si="23"/>
        <v>-6.4725133053452621E-3</v>
      </c>
      <c r="I264" s="297">
        <f>VLOOKUP(A264,'Dados para Ke Alternativo'!$W:$X,2,0)</f>
        <v>107937</v>
      </c>
      <c r="J264" s="294">
        <f t="shared" si="24"/>
        <v>-9.2250922509224953E-3</v>
      </c>
    </row>
    <row r="265" spans="1:10" x14ac:dyDescent="0.3">
      <c r="A265" s="168">
        <v>44586</v>
      </c>
      <c r="B265" s="219">
        <f>VLOOKUP('Ke Alternativo'!A265,'Dados para Ke Alternativo'!$A:$B,2,0)</f>
        <v>23.88</v>
      </c>
      <c r="C265" s="294">
        <f t="shared" si="21"/>
        <v>3.0643072939145366E-2</v>
      </c>
      <c r="D265" s="296">
        <f>VLOOKUP(A265,'Dados para Ke Alternativo'!$P:$Q,2,0)</f>
        <v>5.4436999999999998</v>
      </c>
      <c r="E265" s="296">
        <f t="shared" si="20"/>
        <v>4.3867222661057736</v>
      </c>
      <c r="F265" s="294">
        <f t="shared" si="22"/>
        <v>3.8973490708185121E-2</v>
      </c>
      <c r="G265" s="296">
        <f>VLOOKUP($A265,'Dados para Ke Alternativo'!$I:$J,2,0)</f>
        <v>2975.48</v>
      </c>
      <c r="H265" s="294">
        <f t="shared" si="23"/>
        <v>-9.9949426388777907E-3</v>
      </c>
      <c r="I265" s="297">
        <f>VLOOKUP(A265,'Dados para Ke Alternativo'!$W:$X,2,0)</f>
        <v>110204</v>
      </c>
      <c r="J265" s="294">
        <f t="shared" si="24"/>
        <v>2.100299248635773E-2</v>
      </c>
    </row>
    <row r="266" spans="1:10" x14ac:dyDescent="0.3">
      <c r="A266" s="167">
        <v>44587</v>
      </c>
      <c r="B266" s="219">
        <f>VLOOKUP('Ke Alternativo'!A266,'Dados para Ke Alternativo'!$A:$B,2,0)</f>
        <v>23.59</v>
      </c>
      <c r="C266" s="294">
        <f t="shared" si="21"/>
        <v>-1.2144053601339966E-2</v>
      </c>
      <c r="D266" s="296">
        <f>VLOOKUP(A266,'Dados para Ke Alternativo'!$P:$Q,2,0)</f>
        <v>5.4324000000000003</v>
      </c>
      <c r="E266" s="296">
        <f t="shared" si="20"/>
        <v>4.3424637361019069</v>
      </c>
      <c r="F266" s="294">
        <f t="shared" si="22"/>
        <v>-1.0089202670940045E-2</v>
      </c>
      <c r="G266" s="296">
        <f>VLOOKUP($A266,'Dados para Ke Alternativo'!$I:$J,2,0)</f>
        <v>2979.7</v>
      </c>
      <c r="H266" s="294">
        <f t="shared" si="23"/>
        <v>1.4182585666848713E-3</v>
      </c>
      <c r="I266" s="297">
        <f>VLOOKUP(A266,'Dados para Ke Alternativo'!$W:$X,2,0)</f>
        <v>111289</v>
      </c>
      <c r="J266" s="294">
        <f t="shared" si="24"/>
        <v>9.8453776632427825E-3</v>
      </c>
    </row>
    <row r="267" spans="1:10" x14ac:dyDescent="0.3">
      <c r="A267" s="168">
        <v>44588</v>
      </c>
      <c r="B267" s="219">
        <f>VLOOKUP('Ke Alternativo'!A267,'Dados para Ke Alternativo'!$A:$B,2,0)</f>
        <v>23.81</v>
      </c>
      <c r="C267" s="294">
        <f t="shared" si="21"/>
        <v>9.3259855871130615E-3</v>
      </c>
      <c r="D267" s="296">
        <f>VLOOKUP(A267,'Dados para Ke Alternativo'!$P:$Q,2,0)</f>
        <v>5.4065000000000003</v>
      </c>
      <c r="E267" s="296">
        <f t="shared" si="20"/>
        <v>4.4039581984648102</v>
      </c>
      <c r="F267" s="294">
        <f t="shared" si="22"/>
        <v>1.4161191917771765E-2</v>
      </c>
      <c r="G267" s="296">
        <f>VLOOKUP($A267,'Dados para Ke Alternativo'!$I:$J,2,0)</f>
        <v>2955.34</v>
      </c>
      <c r="H267" s="294">
        <f t="shared" si="23"/>
        <v>-8.1753196630531821E-3</v>
      </c>
      <c r="I267" s="297">
        <f>VLOOKUP(A267,'Dados para Ke Alternativo'!$W:$X,2,0)</f>
        <v>112612</v>
      </c>
      <c r="J267" s="294">
        <f t="shared" si="24"/>
        <v>1.1887967364249796E-2</v>
      </c>
    </row>
    <row r="268" spans="1:10" x14ac:dyDescent="0.3">
      <c r="A268" s="167">
        <v>44589</v>
      </c>
      <c r="B268" s="219">
        <f>VLOOKUP('Ke Alternativo'!A268,'Dados para Ke Alternativo'!$A:$B,2,0)</f>
        <v>23.84</v>
      </c>
      <c r="C268" s="294">
        <f t="shared" si="21"/>
        <v>1.2599748005039935E-3</v>
      </c>
      <c r="D268" s="296">
        <f>VLOOKUP(A268,'Dados para Ke Alternativo'!$P:$Q,2,0)</f>
        <v>5.3673999999999999</v>
      </c>
      <c r="E268" s="296">
        <f t="shared" si="20"/>
        <v>4.4416290941610459</v>
      </c>
      <c r="F268" s="294">
        <f t="shared" si="22"/>
        <v>8.5538722209870244E-3</v>
      </c>
      <c r="G268" s="296">
        <f>VLOOKUP($A268,'Dados para Ke Alternativo'!$I:$J,2,0)</f>
        <v>3005.63</v>
      </c>
      <c r="H268" s="294">
        <f t="shared" si="23"/>
        <v>1.7016654598117187E-2</v>
      </c>
      <c r="I268" s="297">
        <f>VLOOKUP(A268,'Dados para Ke Alternativo'!$W:$X,2,0)</f>
        <v>111910</v>
      </c>
      <c r="J268" s="294">
        <f t="shared" si="24"/>
        <v>-6.2337939118388697E-3</v>
      </c>
    </row>
    <row r="269" spans="1:10" x14ac:dyDescent="0.3">
      <c r="A269" s="168">
        <v>44592</v>
      </c>
      <c r="B269" s="219">
        <f>VLOOKUP('Ke Alternativo'!A269,'Dados para Ke Alternativo'!$A:$B,2,0)</f>
        <v>23.92</v>
      </c>
      <c r="C269" s="294">
        <f t="shared" si="21"/>
        <v>3.3557046979866278E-3</v>
      </c>
      <c r="D269" s="296">
        <f>VLOOKUP(A269,'Dados para Ke Alternativo'!$P:$Q,2,0)</f>
        <v>5.3041</v>
      </c>
      <c r="E269" s="296">
        <f t="shared" si="20"/>
        <v>4.5097188967025508</v>
      </c>
      <c r="F269" s="294">
        <f t="shared" si="22"/>
        <v>1.5329916365825147E-2</v>
      </c>
      <c r="G269" s="296">
        <f>VLOOKUP($A269,'Dados para Ke Alternativo'!$I:$J,2,0)</f>
        <v>3059.05</v>
      </c>
      <c r="H269" s="294">
        <f t="shared" si="23"/>
        <v>1.7773312084321757E-2</v>
      </c>
      <c r="I269" s="297">
        <f>VLOOKUP(A269,'Dados para Ke Alternativo'!$W:$X,2,0)</f>
        <v>112144</v>
      </c>
      <c r="J269" s="294">
        <f t="shared" si="24"/>
        <v>2.0909659547851955E-3</v>
      </c>
    </row>
    <row r="270" spans="1:10" x14ac:dyDescent="0.3">
      <c r="A270" s="167">
        <v>44593</v>
      </c>
      <c r="B270" s="219">
        <f>VLOOKUP('Ke Alternativo'!A270,'Dados para Ke Alternativo'!$A:$B,2,0)</f>
        <v>23.74</v>
      </c>
      <c r="C270" s="294">
        <f t="shared" si="21"/>
        <v>-7.5250836120402953E-3</v>
      </c>
      <c r="D270" s="296">
        <f>VLOOKUP(A270,'Dados para Ke Alternativo'!$P:$Q,2,0)</f>
        <v>5.2655000000000003</v>
      </c>
      <c r="E270" s="296">
        <f t="shared" si="20"/>
        <v>4.5085936758142617</v>
      </c>
      <c r="F270" s="294">
        <f t="shared" si="22"/>
        <v>-2.4951020541696955E-4</v>
      </c>
      <c r="G270" s="296">
        <f>VLOOKUP($A270,'Dados para Ke Alternativo'!$I:$J,2,0)</f>
        <v>3086.62</v>
      </c>
      <c r="H270" s="294">
        <f t="shared" si="23"/>
        <v>9.0126019515861522E-3</v>
      </c>
      <c r="I270" s="297">
        <f>VLOOKUP(A270,'Dados para Ke Alternativo'!$W:$X,2,0)</f>
        <v>113228</v>
      </c>
      <c r="J270" s="294">
        <f t="shared" si="24"/>
        <v>9.666143529747373E-3</v>
      </c>
    </row>
    <row r="271" spans="1:10" x14ac:dyDescent="0.3">
      <c r="A271" s="168">
        <v>44594</v>
      </c>
      <c r="B271" s="219">
        <f>VLOOKUP('Ke Alternativo'!A271,'Dados para Ke Alternativo'!$A:$B,2,0)</f>
        <v>23.03</v>
      </c>
      <c r="C271" s="294">
        <f t="shared" si="21"/>
        <v>-2.9907329401853255E-2</v>
      </c>
      <c r="D271" s="296">
        <f>VLOOKUP(A271,'Dados para Ke Alternativo'!$P:$Q,2,0)</f>
        <v>5.2619999999999996</v>
      </c>
      <c r="E271" s="296">
        <f t="shared" si="20"/>
        <v>4.3766628658304834</v>
      </c>
      <c r="F271" s="294">
        <f t="shared" si="22"/>
        <v>-2.9262075820117306E-2</v>
      </c>
      <c r="G271" s="296">
        <f>VLOOKUP($A271,'Dados para Ke Alternativo'!$I:$J,2,0)</f>
        <v>3113.84</v>
      </c>
      <c r="H271" s="294">
        <f t="shared" si="23"/>
        <v>8.8187078422352627E-3</v>
      </c>
      <c r="I271" s="297">
        <f>VLOOKUP(A271,'Dados para Ke Alternativo'!$W:$X,2,0)</f>
        <v>111894</v>
      </c>
      <c r="J271" s="294">
        <f t="shared" si="24"/>
        <v>-1.1781538135443581E-2</v>
      </c>
    </row>
    <row r="272" spans="1:10" x14ac:dyDescent="0.3">
      <c r="A272" s="167">
        <v>44595</v>
      </c>
      <c r="B272" s="219">
        <f>VLOOKUP('Ke Alternativo'!A272,'Dados para Ke Alternativo'!$A:$B,2,0)</f>
        <v>22.74</v>
      </c>
      <c r="C272" s="294">
        <f t="shared" si="21"/>
        <v>-1.2592270950933626E-2</v>
      </c>
      <c r="D272" s="296">
        <f>VLOOKUP(A272,'Dados para Ke Alternativo'!$P:$Q,2,0)</f>
        <v>5.2839</v>
      </c>
      <c r="E272" s="296">
        <f t="shared" si="20"/>
        <v>4.3036393572929086</v>
      </c>
      <c r="F272" s="294">
        <f t="shared" si="22"/>
        <v>-1.6684746067074152E-2</v>
      </c>
      <c r="G272" s="296">
        <f>VLOOKUP($A272,'Dados para Ke Alternativo'!$I:$J,2,0)</f>
        <v>3052.5</v>
      </c>
      <c r="H272" s="294">
        <f t="shared" si="23"/>
        <v>-1.9699149603062516E-2</v>
      </c>
      <c r="I272" s="297">
        <f>VLOOKUP(A272,'Dados para Ke Alternativo'!$W:$X,2,0)</f>
        <v>111696</v>
      </c>
      <c r="J272" s="294">
        <f t="shared" si="24"/>
        <v>-1.7695318783849112E-3</v>
      </c>
    </row>
    <row r="273" spans="1:10" x14ac:dyDescent="0.3">
      <c r="A273" s="168">
        <v>44596</v>
      </c>
      <c r="B273" s="219">
        <f>VLOOKUP('Ke Alternativo'!A273,'Dados para Ke Alternativo'!$A:$B,2,0)</f>
        <v>24.41</v>
      </c>
      <c r="C273" s="294">
        <f t="shared" si="21"/>
        <v>7.343887423043105E-2</v>
      </c>
      <c r="D273" s="296">
        <f>VLOOKUP(A273,'Dados para Ke Alternativo'!$P:$Q,2,0)</f>
        <v>5.3278999999999996</v>
      </c>
      <c r="E273" s="296">
        <f t="shared" si="20"/>
        <v>4.5815424463672372</v>
      </c>
      <c r="F273" s="294">
        <f t="shared" si="22"/>
        <v>6.4573972399289525E-2</v>
      </c>
      <c r="G273" s="296">
        <f>VLOOKUP($A273,'Dados para Ke Alternativo'!$I:$J,2,0)</f>
        <v>3061.46</v>
      </c>
      <c r="H273" s="294">
        <f t="shared" si="23"/>
        <v>2.935298935298869E-3</v>
      </c>
      <c r="I273" s="297">
        <f>VLOOKUP(A273,'Dados para Ke Alternativo'!$W:$X,2,0)</f>
        <v>112245</v>
      </c>
      <c r="J273" s="294">
        <f t="shared" si="24"/>
        <v>4.9151267726685877E-3</v>
      </c>
    </row>
    <row r="274" spans="1:10" x14ac:dyDescent="0.3">
      <c r="A274" s="167">
        <v>44599</v>
      </c>
      <c r="B274" s="219">
        <f>VLOOKUP('Ke Alternativo'!A274,'Dados para Ke Alternativo'!$A:$B,2,0)</f>
        <v>24.17</v>
      </c>
      <c r="C274" s="294">
        <f t="shared" si="21"/>
        <v>-9.8320360507987425E-3</v>
      </c>
      <c r="D274" s="296">
        <f>VLOOKUP(A274,'Dados para Ke Alternativo'!$P:$Q,2,0)</f>
        <v>5.2636000000000003</v>
      </c>
      <c r="E274" s="296">
        <f t="shared" si="20"/>
        <v>4.5919142792005472</v>
      </c>
      <c r="F274" s="294">
        <f t="shared" si="22"/>
        <v>2.2638299120274485E-3</v>
      </c>
      <c r="G274" s="296">
        <f>VLOOKUP($A274,'Dados para Ke Alternativo'!$I:$J,2,0)</f>
        <v>3059.44</v>
      </c>
      <c r="H274" s="294">
        <f t="shared" si="23"/>
        <v>-6.5981590482966368E-4</v>
      </c>
      <c r="I274" s="297">
        <f>VLOOKUP(A274,'Dados para Ke Alternativo'!$W:$X,2,0)</f>
        <v>111996</v>
      </c>
      <c r="J274" s="294">
        <f t="shared" si="24"/>
        <v>-2.2183616196712608E-3</v>
      </c>
    </row>
    <row r="275" spans="1:10" x14ac:dyDescent="0.3">
      <c r="A275" s="168">
        <v>44600</v>
      </c>
      <c r="B275" s="219">
        <f>VLOOKUP('Ke Alternativo'!A275,'Dados para Ke Alternativo'!$A:$B,2,0)</f>
        <v>23.87</v>
      </c>
      <c r="C275" s="294">
        <f t="shared" si="21"/>
        <v>-1.2412081092263216E-2</v>
      </c>
      <c r="D275" s="296">
        <f>VLOOKUP(A275,'Dados para Ke Alternativo'!$P:$Q,2,0)</f>
        <v>5.2592999999999996</v>
      </c>
      <c r="E275" s="296">
        <f t="shared" si="20"/>
        <v>4.5386268134542629</v>
      </c>
      <c r="F275" s="294">
        <f t="shared" si="22"/>
        <v>-1.1604629900791918E-2</v>
      </c>
      <c r="G275" s="296">
        <f>VLOOKUP($A275,'Dados para Ke Alternativo'!$I:$J,2,0)</f>
        <v>3077.13</v>
      </c>
      <c r="H275" s="294">
        <f t="shared" si="23"/>
        <v>5.782103914441894E-3</v>
      </c>
      <c r="I275" s="297">
        <f>VLOOKUP(A275,'Dados para Ke Alternativo'!$W:$X,2,0)</f>
        <v>112234</v>
      </c>
      <c r="J275" s="294">
        <f t="shared" si="24"/>
        <v>2.1250758955677629E-3</v>
      </c>
    </row>
    <row r="276" spans="1:10" x14ac:dyDescent="0.3">
      <c r="A276" s="167">
        <v>44601</v>
      </c>
      <c r="B276" s="219">
        <f>VLOOKUP('Ke Alternativo'!A276,'Dados para Ke Alternativo'!$A:$B,2,0)</f>
        <v>24.5</v>
      </c>
      <c r="C276" s="294">
        <f t="shared" si="21"/>
        <v>2.6392961876832821E-2</v>
      </c>
      <c r="D276" s="296">
        <f>VLOOKUP(A276,'Dados para Ke Alternativo'!$P:$Q,2,0)</f>
        <v>5.2354000000000003</v>
      </c>
      <c r="E276" s="296">
        <f t="shared" si="20"/>
        <v>4.6796806356725371</v>
      </c>
      <c r="F276" s="294">
        <f t="shared" si="22"/>
        <v>3.1078523971201033E-2</v>
      </c>
      <c r="G276" s="296">
        <f>VLOOKUP($A276,'Dados para Ke Alternativo'!$I:$J,2,0)</f>
        <v>3124.93</v>
      </c>
      <c r="H276" s="294">
        <f t="shared" si="23"/>
        <v>1.5533955341503258E-2</v>
      </c>
      <c r="I276" s="297">
        <f>VLOOKUP(A276,'Dados para Ke Alternativo'!$W:$X,2,0)</f>
        <v>112461</v>
      </c>
      <c r="J276" s="294">
        <f t="shared" si="24"/>
        <v>2.0225600085534978E-3</v>
      </c>
    </row>
    <row r="277" spans="1:10" x14ac:dyDescent="0.3">
      <c r="A277" s="168">
        <v>44602</v>
      </c>
      <c r="B277" s="219">
        <f>VLOOKUP('Ke Alternativo'!A277,'Dados para Ke Alternativo'!$A:$B,2,0)</f>
        <v>24.75</v>
      </c>
      <c r="C277" s="294">
        <f t="shared" si="21"/>
        <v>1.0204081632652962E-2</v>
      </c>
      <c r="D277" s="296">
        <f>VLOOKUP(A277,'Dados para Ke Alternativo'!$P:$Q,2,0)</f>
        <v>5.2496</v>
      </c>
      <c r="E277" s="296">
        <f t="shared" si="20"/>
        <v>4.7146449253276437</v>
      </c>
      <c r="F277" s="294">
        <f t="shared" si="22"/>
        <v>7.4715119208303982E-3</v>
      </c>
      <c r="G277" s="296">
        <f>VLOOKUP($A277,'Dados para Ke Alternativo'!$I:$J,2,0)</f>
        <v>3087.98</v>
      </c>
      <c r="H277" s="294">
        <f t="shared" si="23"/>
        <v>-1.1824264863532941E-2</v>
      </c>
      <c r="I277" s="297">
        <f>VLOOKUP(A277,'Dados para Ke Alternativo'!$W:$X,2,0)</f>
        <v>113368</v>
      </c>
      <c r="J277" s="294">
        <f t="shared" si="24"/>
        <v>8.0650180951618022E-3</v>
      </c>
    </row>
    <row r="278" spans="1:10" x14ac:dyDescent="0.3">
      <c r="A278" s="167">
        <v>44603</v>
      </c>
      <c r="B278" s="219">
        <f>VLOOKUP('Ke Alternativo'!A278,'Dados para Ke Alternativo'!$A:$B,2,0)</f>
        <v>25.8</v>
      </c>
      <c r="C278" s="294">
        <f t="shared" si="21"/>
        <v>4.2424242424242475E-2</v>
      </c>
      <c r="D278" s="296">
        <f>VLOOKUP(A278,'Dados para Ke Alternativo'!$P:$Q,2,0)</f>
        <v>5.2526999999999999</v>
      </c>
      <c r="E278" s="296">
        <f t="shared" si="20"/>
        <v>4.9117596664572512</v>
      </c>
      <c r="F278" s="294">
        <f t="shared" si="22"/>
        <v>4.1809032122585243E-2</v>
      </c>
      <c r="G278" s="296">
        <f>VLOOKUP($A278,'Dados para Ke Alternativo'!$I:$J,2,0)</f>
        <v>3039.18</v>
      </c>
      <c r="H278" s="294">
        <f t="shared" si="23"/>
        <v>-1.5803211160694053E-2</v>
      </c>
      <c r="I278" s="297">
        <f>VLOOKUP(A278,'Dados para Ke Alternativo'!$W:$X,2,0)</f>
        <v>113572</v>
      </c>
      <c r="J278" s="294">
        <f t="shared" si="24"/>
        <v>1.7994495801283428E-3</v>
      </c>
    </row>
    <row r="279" spans="1:10" x14ac:dyDescent="0.3">
      <c r="A279" s="168">
        <v>44606</v>
      </c>
      <c r="B279" s="219">
        <f>VLOOKUP('Ke Alternativo'!A279,'Dados para Ke Alternativo'!$A:$B,2,0)</f>
        <v>26.5</v>
      </c>
      <c r="C279" s="294">
        <f t="shared" si="21"/>
        <v>2.7131782945736482E-2</v>
      </c>
      <c r="D279" s="296">
        <f>VLOOKUP(A279,'Dados para Ke Alternativo'!$P:$Q,2,0)</f>
        <v>5.2149000000000001</v>
      </c>
      <c r="E279" s="296">
        <f t="shared" si="20"/>
        <v>5.081593127384993</v>
      </c>
      <c r="F279" s="294">
        <f t="shared" si="22"/>
        <v>3.4576907760277109E-2</v>
      </c>
      <c r="G279" s="296">
        <f>VLOOKUP($A279,'Dados para Ke Alternativo'!$I:$J,2,0)</f>
        <v>3011.45</v>
      </c>
      <c r="H279" s="294">
        <f t="shared" si="23"/>
        <v>-9.1241716515638727E-3</v>
      </c>
      <c r="I279" s="297">
        <f>VLOOKUP(A279,'Dados para Ke Alternativo'!$W:$X,2,0)</f>
        <v>113899</v>
      </c>
      <c r="J279" s="294">
        <f t="shared" si="24"/>
        <v>2.8792307963230179E-3</v>
      </c>
    </row>
    <row r="280" spans="1:10" x14ac:dyDescent="0.3">
      <c r="A280" s="167">
        <v>44607</v>
      </c>
      <c r="B280" s="219">
        <f>VLOOKUP('Ke Alternativo'!A280,'Dados para Ke Alternativo'!$A:$B,2,0)</f>
        <v>25.75</v>
      </c>
      <c r="C280" s="294">
        <f t="shared" si="21"/>
        <v>-2.8301886792452824E-2</v>
      </c>
      <c r="D280" s="296">
        <f>VLOOKUP(A280,'Dados para Ke Alternativo'!$P:$Q,2,0)</f>
        <v>5.1589999999999998</v>
      </c>
      <c r="E280" s="296">
        <f t="shared" si="20"/>
        <v>4.991277379337081</v>
      </c>
      <c r="F280" s="294">
        <f t="shared" si="22"/>
        <v>-1.7773116773398323E-2</v>
      </c>
      <c r="G280" s="296">
        <f>VLOOKUP($A280,'Dados para Ke Alternativo'!$I:$J,2,0)</f>
        <v>3054.26</v>
      </c>
      <c r="H280" s="294">
        <f t="shared" si="23"/>
        <v>1.4215743246609014E-2</v>
      </c>
      <c r="I280" s="297">
        <f>VLOOKUP(A280,'Dados para Ke Alternativo'!$W:$X,2,0)</f>
        <v>114828</v>
      </c>
      <c r="J280" s="294">
        <f t="shared" si="24"/>
        <v>8.1563490460847543E-3</v>
      </c>
    </row>
    <row r="281" spans="1:10" x14ac:dyDescent="0.3">
      <c r="A281" s="168">
        <v>44608</v>
      </c>
      <c r="B281" s="219">
        <f>VLOOKUP('Ke Alternativo'!A281,'Dados para Ke Alternativo'!$A:$B,2,0)</f>
        <v>25.24</v>
      </c>
      <c r="C281" s="294">
        <f t="shared" si="21"/>
        <v>-1.9805825242718456E-2</v>
      </c>
      <c r="D281" s="296">
        <f>VLOOKUP(A281,'Dados para Ke Alternativo'!$P:$Q,2,0)</f>
        <v>5.1364999999999998</v>
      </c>
      <c r="E281" s="296">
        <f t="shared" si="20"/>
        <v>4.9138518446412922</v>
      </c>
      <c r="F281" s="294">
        <f t="shared" si="22"/>
        <v>-1.5512168291090256E-2</v>
      </c>
      <c r="G281" s="296">
        <f>VLOOKUP($A281,'Dados para Ke Alternativo'!$I:$J,2,0)</f>
        <v>3060.29</v>
      </c>
      <c r="H281" s="294">
        <f t="shared" si="23"/>
        <v>1.9742916451119807E-3</v>
      </c>
      <c r="I281" s="297">
        <f>VLOOKUP(A281,'Dados para Ke Alternativo'!$W:$X,2,0)</f>
        <v>115181</v>
      </c>
      <c r="J281" s="294">
        <f t="shared" si="24"/>
        <v>3.0741630961088617E-3</v>
      </c>
    </row>
    <row r="282" spans="1:10" x14ac:dyDescent="0.3">
      <c r="A282" s="167">
        <v>44609</v>
      </c>
      <c r="B282" s="219">
        <f>VLOOKUP('Ke Alternativo'!A282,'Dados para Ke Alternativo'!$A:$B,2,0)</f>
        <v>24.89</v>
      </c>
      <c r="C282" s="294">
        <f t="shared" si="21"/>
        <v>-1.386687797147379E-2</v>
      </c>
      <c r="D282" s="296">
        <f>VLOOKUP(A282,'Dados para Ke Alternativo'!$P:$Q,2,0)</f>
        <v>5.1718000000000002</v>
      </c>
      <c r="E282" s="296">
        <f t="shared" si="20"/>
        <v>4.8126377663482733</v>
      </c>
      <c r="F282" s="294">
        <f t="shared" si="22"/>
        <v>-2.0597706543268313E-2</v>
      </c>
      <c r="G282" s="296">
        <f>VLOOKUP($A282,'Dados para Ke Alternativo'!$I:$J,2,0)</f>
        <v>3009.09</v>
      </c>
      <c r="H282" s="294">
        <f t="shared" si="23"/>
        <v>-1.6730440579160732E-2</v>
      </c>
      <c r="I282" s="297">
        <f>VLOOKUP(A282,'Dados para Ke Alternativo'!$W:$X,2,0)</f>
        <v>113528</v>
      </c>
      <c r="J282" s="294">
        <f t="shared" si="24"/>
        <v>-1.4351325305388962E-2</v>
      </c>
    </row>
    <row r="283" spans="1:10" x14ac:dyDescent="0.3">
      <c r="A283" s="168">
        <v>44610</v>
      </c>
      <c r="B283" s="219">
        <f>VLOOKUP('Ke Alternativo'!A283,'Dados para Ke Alternativo'!$A:$B,2,0)</f>
        <v>24.38</v>
      </c>
      <c r="C283" s="294">
        <f t="shared" si="21"/>
        <v>-2.0490156689433547E-2</v>
      </c>
      <c r="D283" s="296">
        <f>VLOOKUP(A283,'Dados para Ke Alternativo'!$P:$Q,2,0)</f>
        <v>5.1384999999999996</v>
      </c>
      <c r="E283" s="296">
        <f t="shared" si="20"/>
        <v>4.7445752651552011</v>
      </c>
      <c r="F283" s="294">
        <f t="shared" si="22"/>
        <v>-1.4142452537980299E-2</v>
      </c>
      <c r="G283" s="296">
        <f>VLOOKUP($A283,'Dados para Ke Alternativo'!$I:$J,2,0)</f>
        <v>2983.59</v>
      </c>
      <c r="H283" s="294">
        <f t="shared" si="23"/>
        <v>-8.4743228019101835E-3</v>
      </c>
      <c r="I283" s="297">
        <f>VLOOKUP(A283,'Dados para Ke Alternativo'!$W:$X,2,0)</f>
        <v>112880</v>
      </c>
      <c r="J283" s="294">
        <f t="shared" si="24"/>
        <v>-5.7078429990838897E-3</v>
      </c>
    </row>
    <row r="284" spans="1:10" x14ac:dyDescent="0.3">
      <c r="A284" s="167">
        <v>44613</v>
      </c>
      <c r="B284" s="219">
        <f>VLOOKUP('Ke Alternativo'!A284,'Dados para Ke Alternativo'!$A:$B,2,0)</f>
        <v>25.27</v>
      </c>
      <c r="C284" s="294">
        <f t="shared" si="21"/>
        <v>3.6505332239540556E-2</v>
      </c>
      <c r="D284" s="296">
        <f>VLOOKUP(A284,'Dados para Ke Alternativo'!$P:$Q,2,0)</f>
        <v>5.1036000000000001</v>
      </c>
      <c r="E284" s="296">
        <f t="shared" si="20"/>
        <v>4.9514068500666193</v>
      </c>
      <c r="F284" s="294">
        <f t="shared" si="22"/>
        <v>4.3593277238200168E-2</v>
      </c>
      <c r="G284" s="296">
        <f>VLOOKUP($A284,'Dados para Ke Alternativo'!$I:$J,2,0)</f>
        <v>2975.91</v>
      </c>
      <c r="H284" s="294">
        <f t="shared" si="23"/>
        <v>-2.5740802187969036E-3</v>
      </c>
      <c r="I284" s="297">
        <f>VLOOKUP(A284,'Dados para Ke Alternativo'!$W:$X,2,0)</f>
        <v>111725</v>
      </c>
      <c r="J284" s="294">
        <f t="shared" si="24"/>
        <v>-1.0232104890148808E-2</v>
      </c>
    </row>
    <row r="285" spans="1:10" x14ac:dyDescent="0.3">
      <c r="A285" s="168">
        <v>44614</v>
      </c>
      <c r="B285" s="219">
        <f>VLOOKUP('Ke Alternativo'!A285,'Dados para Ke Alternativo'!$A:$B,2,0)</f>
        <v>24.54</v>
      </c>
      <c r="C285" s="294">
        <f t="shared" si="21"/>
        <v>-2.8888009497427758E-2</v>
      </c>
      <c r="D285" s="296">
        <f>VLOOKUP(A285,'Dados para Ke Alternativo'!$P:$Q,2,0)</f>
        <v>5.0583</v>
      </c>
      <c r="E285" s="296">
        <f t="shared" si="20"/>
        <v>4.8514322993891223</v>
      </c>
      <c r="F285" s="294">
        <f t="shared" si="22"/>
        <v>-2.0191140357644355E-2</v>
      </c>
      <c r="G285" s="296">
        <f>VLOOKUP($A285,'Dados para Ke Alternativo'!$I:$J,2,0)</f>
        <v>2949.64</v>
      </c>
      <c r="H285" s="294">
        <f t="shared" si="23"/>
        <v>-8.8275519084918264E-3</v>
      </c>
      <c r="I285" s="297">
        <f>VLOOKUP(A285,'Dados para Ke Alternativo'!$W:$X,2,0)</f>
        <v>112892</v>
      </c>
      <c r="J285" s="294">
        <f t="shared" si="24"/>
        <v>1.0445289773998612E-2</v>
      </c>
    </row>
    <row r="286" spans="1:10" x14ac:dyDescent="0.3">
      <c r="A286" s="167">
        <v>44615</v>
      </c>
      <c r="B286" s="219">
        <f>VLOOKUP('Ke Alternativo'!A286,'Dados para Ke Alternativo'!$A:$B,2,0)</f>
        <v>24.89</v>
      </c>
      <c r="C286" s="294">
        <f t="shared" si="21"/>
        <v>1.4262428687856543E-2</v>
      </c>
      <c r="D286" s="296">
        <f>VLOOKUP(A286,'Dados para Ke Alternativo'!$P:$Q,2,0)</f>
        <v>5.0096999999999996</v>
      </c>
      <c r="E286" s="296">
        <f t="shared" si="20"/>
        <v>4.9683613789248859</v>
      </c>
      <c r="F286" s="294">
        <f t="shared" si="22"/>
        <v>2.4101970783038107E-2</v>
      </c>
      <c r="G286" s="296">
        <f>VLOOKUP($A286,'Dados para Ke Alternativo'!$I:$J,2,0)</f>
        <v>2909.33</v>
      </c>
      <c r="H286" s="294">
        <f t="shared" si="23"/>
        <v>-1.3666074504007253E-2</v>
      </c>
      <c r="I286" s="297">
        <f>VLOOKUP(A286,'Dados para Ke Alternativo'!$W:$X,2,0)</f>
        <v>112008</v>
      </c>
      <c r="J286" s="294">
        <f t="shared" si="24"/>
        <v>-7.8304928604330248E-3</v>
      </c>
    </row>
    <row r="287" spans="1:10" x14ac:dyDescent="0.3">
      <c r="A287" s="168">
        <v>44616</v>
      </c>
      <c r="B287" s="219">
        <f>VLOOKUP('Ke Alternativo'!A287,'Dados para Ke Alternativo'!$A:$B,2,0)</f>
        <v>24.86</v>
      </c>
      <c r="C287" s="294">
        <f t="shared" si="21"/>
        <v>-1.2053033346726139E-3</v>
      </c>
      <c r="D287" s="296">
        <f>VLOOKUP(A287,'Dados para Ke Alternativo'!$P:$Q,2,0)</f>
        <v>5.1231</v>
      </c>
      <c r="E287" s="296">
        <f t="shared" si="20"/>
        <v>4.8525306943061821</v>
      </c>
      <c r="F287" s="294">
        <f t="shared" si="22"/>
        <v>-2.3313659330426728E-2</v>
      </c>
      <c r="G287" s="296">
        <f>VLOOKUP($A287,'Dados para Ke Alternativo'!$I:$J,2,0)</f>
        <v>2905.94</v>
      </c>
      <c r="H287" s="294">
        <f t="shared" si="23"/>
        <v>-1.1652167337496966E-3</v>
      </c>
      <c r="I287" s="297">
        <f>VLOOKUP(A287,'Dados para Ke Alternativo'!$W:$X,2,0)</f>
        <v>111592</v>
      </c>
      <c r="J287" s="294">
        <f t="shared" si="24"/>
        <v>-3.71402042711233E-3</v>
      </c>
    </row>
    <row r="288" spans="1:10" x14ac:dyDescent="0.3">
      <c r="A288" s="167">
        <v>44617</v>
      </c>
      <c r="B288" s="219">
        <f>VLOOKUP('Ke Alternativo'!A288,'Dados para Ke Alternativo'!$A:$B,2,0)</f>
        <v>25.82</v>
      </c>
      <c r="C288" s="294">
        <f t="shared" si="21"/>
        <v>3.8616251005631597E-2</v>
      </c>
      <c r="D288" s="296">
        <f>VLOOKUP(A288,'Dados para Ke Alternativo'!$P:$Q,2,0)</f>
        <v>5.1623000000000001</v>
      </c>
      <c r="E288" s="296">
        <f t="shared" si="20"/>
        <v>5.0016465528930905</v>
      </c>
      <c r="F288" s="294">
        <f t="shared" si="22"/>
        <v>3.0729503424239413E-2</v>
      </c>
      <c r="G288" s="296">
        <f>VLOOKUP($A288,'Dados para Ke Alternativo'!$I:$J,2,0)</f>
        <v>2980.2</v>
      </c>
      <c r="H288" s="294">
        <f t="shared" si="23"/>
        <v>2.5554553776058642E-2</v>
      </c>
      <c r="I288" s="297">
        <f>VLOOKUP(A288,'Dados para Ke Alternativo'!$W:$X,2,0)</f>
        <v>113142</v>
      </c>
      <c r="J288" s="294">
        <f t="shared" si="24"/>
        <v>1.3889884579539657E-2</v>
      </c>
    </row>
    <row r="289" spans="1:10" x14ac:dyDescent="0.3">
      <c r="A289" s="168">
        <v>44622</v>
      </c>
      <c r="B289" s="219">
        <f>VLOOKUP('Ke Alternativo'!A289,'Dados para Ke Alternativo'!$A:$B,2,0)</f>
        <v>28.15</v>
      </c>
      <c r="C289" s="294">
        <f t="shared" si="21"/>
        <v>9.0240123934934191E-2</v>
      </c>
      <c r="D289" s="296">
        <f>VLOOKUP(A289,'Dados para Ke Alternativo'!$P:$Q,2,0)</f>
        <v>5.0994999999999999</v>
      </c>
      <c r="E289" s="296">
        <f t="shared" si="20"/>
        <v>5.5201490342190409</v>
      </c>
      <c r="F289" s="294">
        <f t="shared" si="22"/>
        <v>0.1036663578369077</v>
      </c>
      <c r="G289" s="296">
        <f>VLOOKUP($A289,'Dados para Ke Alternativo'!$I:$J,2,0)</f>
        <v>2964.24</v>
      </c>
      <c r="H289" s="294">
        <f t="shared" si="23"/>
        <v>-5.3553452788404066E-3</v>
      </c>
      <c r="I289" s="297">
        <f>VLOOKUP(A289,'Dados para Ke Alternativo'!$W:$X,2,0)</f>
        <v>115174</v>
      </c>
      <c r="J289" s="294">
        <f t="shared" si="24"/>
        <v>1.7959732018171914E-2</v>
      </c>
    </row>
    <row r="290" spans="1:10" x14ac:dyDescent="0.3">
      <c r="A290" s="167">
        <v>44623</v>
      </c>
      <c r="B290" s="219">
        <f>VLOOKUP('Ke Alternativo'!A290,'Dados para Ke Alternativo'!$A:$B,2,0)</f>
        <v>28.46</v>
      </c>
      <c r="C290" s="294">
        <f t="shared" si="21"/>
        <v>1.10124333925401E-2</v>
      </c>
      <c r="D290" s="296">
        <f>VLOOKUP(A290,'Dados para Ke Alternativo'!$P:$Q,2,0)</f>
        <v>5.032</v>
      </c>
      <c r="E290" s="296">
        <f t="shared" si="20"/>
        <v>5.6558028616852152</v>
      </c>
      <c r="F290" s="294">
        <f t="shared" si="22"/>
        <v>2.4574305263366014E-2</v>
      </c>
      <c r="G290" s="296">
        <f>VLOOKUP($A290,'Dados para Ke Alternativo'!$I:$J,2,0)</f>
        <v>2942.45</v>
      </c>
      <c r="H290" s="294">
        <f t="shared" si="23"/>
        <v>-7.3509567376460749E-3</v>
      </c>
      <c r="I290" s="297">
        <f>VLOOKUP(A290,'Dados para Ke Alternativo'!$W:$X,2,0)</f>
        <v>115166</v>
      </c>
      <c r="J290" s="294">
        <f t="shared" si="24"/>
        <v>-6.946012120789824E-5</v>
      </c>
    </row>
    <row r="291" spans="1:10" x14ac:dyDescent="0.3">
      <c r="A291" s="168">
        <v>44624</v>
      </c>
      <c r="B291" s="219">
        <f>VLOOKUP('Ke Alternativo'!A291,'Dados para Ke Alternativo'!$A:$B,2,0)</f>
        <v>28.2</v>
      </c>
      <c r="C291" s="294">
        <f t="shared" si="21"/>
        <v>-9.1356289529164192E-3</v>
      </c>
      <c r="D291" s="296">
        <f>VLOOKUP(A291,'Dados para Ke Alternativo'!$P:$Q,2,0)</f>
        <v>5.0620000000000003</v>
      </c>
      <c r="E291" s="296">
        <f t="shared" si="20"/>
        <v>5.5709205847491106</v>
      </c>
      <c r="F291" s="294">
        <f t="shared" si="22"/>
        <v>-1.5007997805427942E-2</v>
      </c>
      <c r="G291" s="296">
        <f>VLOOKUP($A291,'Dados para Ke Alternativo'!$I:$J,2,0)</f>
        <v>2896.52</v>
      </c>
      <c r="H291" s="294">
        <f t="shared" si="23"/>
        <v>-1.5609441111998468E-2</v>
      </c>
      <c r="I291" s="297">
        <f>VLOOKUP(A291,'Dados para Ke Alternativo'!$W:$X,2,0)</f>
        <v>114474</v>
      </c>
      <c r="J291" s="294">
        <f t="shared" si="24"/>
        <v>-6.0087178507545191E-3</v>
      </c>
    </row>
    <row r="292" spans="1:10" x14ac:dyDescent="0.3">
      <c r="A292" s="167">
        <v>44627</v>
      </c>
      <c r="B292" s="219">
        <f>VLOOKUP('Ke Alternativo'!A292,'Dados para Ke Alternativo'!$A:$B,2,0)</f>
        <v>27.55</v>
      </c>
      <c r="C292" s="294">
        <f t="shared" si="21"/>
        <v>-2.3049645390070927E-2</v>
      </c>
      <c r="D292" s="296">
        <f>VLOOKUP(A292,'Dados para Ke Alternativo'!$P:$Q,2,0)</f>
        <v>5.1115000000000004</v>
      </c>
      <c r="E292" s="296">
        <f t="shared" si="20"/>
        <v>5.3898072972708597</v>
      </c>
      <c r="F292" s="294">
        <f t="shared" si="22"/>
        <v>-3.2510477348046352E-2</v>
      </c>
      <c r="G292" s="296">
        <f>VLOOKUP($A292,'Dados para Ke Alternativo'!$I:$J,2,0)</f>
        <v>2819.54</v>
      </c>
      <c r="H292" s="294">
        <f t="shared" si="23"/>
        <v>-2.6576719649786695E-2</v>
      </c>
      <c r="I292" s="297">
        <f>VLOOKUP(A292,'Dados para Ke Alternativo'!$W:$X,2,0)</f>
        <v>111593</v>
      </c>
      <c r="J292" s="294">
        <f t="shared" si="24"/>
        <v>-2.5167286894840712E-2</v>
      </c>
    </row>
    <row r="293" spans="1:10" x14ac:dyDescent="0.3">
      <c r="A293" s="168">
        <v>44628</v>
      </c>
      <c r="B293" s="219">
        <f>VLOOKUP('Ke Alternativo'!A293,'Dados para Ke Alternativo'!$A:$B,2,0)</f>
        <v>27.9</v>
      </c>
      <c r="C293" s="294">
        <f t="shared" si="21"/>
        <v>1.2704174228675091E-2</v>
      </c>
      <c r="D293" s="296">
        <f>VLOOKUP(A293,'Dados para Ke Alternativo'!$P:$Q,2,0)</f>
        <v>5.0598999999999998</v>
      </c>
      <c r="E293" s="296">
        <f t="shared" si="20"/>
        <v>5.5139429632996695</v>
      </c>
      <c r="F293" s="294">
        <f t="shared" si="22"/>
        <v>2.3031559234347077E-2</v>
      </c>
      <c r="G293" s="296">
        <f>VLOOKUP($A293,'Dados para Ke Alternativo'!$I:$J,2,0)</f>
        <v>2797.7</v>
      </c>
      <c r="H293" s="294">
        <f t="shared" si="23"/>
        <v>-7.7459443739049672E-3</v>
      </c>
      <c r="I293" s="297">
        <f>VLOOKUP(A293,'Dados para Ke Alternativo'!$W:$X,2,0)</f>
        <v>111203</v>
      </c>
      <c r="J293" s="294">
        <f t="shared" si="24"/>
        <v>-3.494842866488046E-3</v>
      </c>
    </row>
    <row r="294" spans="1:10" x14ac:dyDescent="0.3">
      <c r="A294" s="167">
        <v>44629</v>
      </c>
      <c r="B294" s="219">
        <f>VLOOKUP('Ke Alternativo'!A294,'Dados para Ke Alternativo'!$A:$B,2,0)</f>
        <v>26.1</v>
      </c>
      <c r="C294" s="294">
        <f t="shared" si="21"/>
        <v>-6.4516129032258007E-2</v>
      </c>
      <c r="D294" s="296">
        <f>VLOOKUP(A294,'Dados para Ke Alternativo'!$P:$Q,2,0)</f>
        <v>5.0122999999999998</v>
      </c>
      <c r="E294" s="296">
        <f t="shared" si="20"/>
        <v>5.2071903118328917</v>
      </c>
      <c r="F294" s="294">
        <f t="shared" si="22"/>
        <v>-5.5632177102392433E-2</v>
      </c>
      <c r="G294" s="296">
        <f>VLOOKUP($A294,'Dados para Ke Alternativo'!$I:$J,2,0)</f>
        <v>2881.78</v>
      </c>
      <c r="H294" s="294">
        <f t="shared" si="23"/>
        <v>3.0053258033384767E-2</v>
      </c>
      <c r="I294" s="297">
        <f>VLOOKUP(A294,'Dados para Ke Alternativo'!$W:$X,2,0)</f>
        <v>113900</v>
      </c>
      <c r="J294" s="294">
        <f t="shared" si="24"/>
        <v>2.4252942816290979E-2</v>
      </c>
    </row>
    <row r="295" spans="1:10" x14ac:dyDescent="0.3">
      <c r="A295" s="168">
        <v>44630</v>
      </c>
      <c r="B295" s="219">
        <f>VLOOKUP('Ke Alternativo'!A295,'Dados para Ke Alternativo'!$A:$B,2,0)</f>
        <v>25.78</v>
      </c>
      <c r="C295" s="294">
        <f t="shared" si="21"/>
        <v>-1.226053639846747E-2</v>
      </c>
      <c r="D295" s="296">
        <f>VLOOKUP(A295,'Dados para Ke Alternativo'!$P:$Q,2,0)</f>
        <v>5.0110000000000001</v>
      </c>
      <c r="E295" s="296">
        <f t="shared" si="20"/>
        <v>5.1446817002594294</v>
      </c>
      <c r="F295" s="294">
        <f t="shared" si="22"/>
        <v>-1.2004287884661458E-2</v>
      </c>
      <c r="G295" s="296">
        <f>VLOOKUP($A295,'Dados para Ke Alternativo'!$I:$J,2,0)</f>
        <v>2871.52</v>
      </c>
      <c r="H295" s="294">
        <f t="shared" si="23"/>
        <v>-3.5602995370916934E-3</v>
      </c>
      <c r="I295" s="297">
        <f>VLOOKUP(A295,'Dados para Ke Alternativo'!$W:$X,2,0)</f>
        <v>113663</v>
      </c>
      <c r="J295" s="294">
        <f t="shared" si="24"/>
        <v>-2.0807726075504629E-3</v>
      </c>
    </row>
    <row r="296" spans="1:10" x14ac:dyDescent="0.3">
      <c r="A296" s="167">
        <v>44631</v>
      </c>
      <c r="B296" s="219">
        <f>VLOOKUP('Ke Alternativo'!A296,'Dados para Ke Alternativo'!$A:$B,2,0)</f>
        <v>24.87</v>
      </c>
      <c r="C296" s="294">
        <f t="shared" si="21"/>
        <v>-3.5298681148176914E-2</v>
      </c>
      <c r="D296" s="296">
        <f>VLOOKUP(A296,'Dados para Ke Alternativo'!$P:$Q,2,0)</f>
        <v>5.0744999999999996</v>
      </c>
      <c r="E296" s="296">
        <f t="shared" si="20"/>
        <v>4.9009754655631106</v>
      </c>
      <c r="F296" s="294">
        <f t="shared" si="22"/>
        <v>-4.7370517535424872E-2</v>
      </c>
      <c r="G296" s="296">
        <f>VLOOKUP($A296,'Dados para Ke Alternativo'!$I:$J,2,0)</f>
        <v>2840.04</v>
      </c>
      <c r="H296" s="294">
        <f t="shared" si="23"/>
        <v>-1.0962835014208472E-2</v>
      </c>
      <c r="I296" s="297">
        <f>VLOOKUP(A296,'Dados para Ke Alternativo'!$W:$X,2,0)</f>
        <v>111713</v>
      </c>
      <c r="J296" s="294">
        <f t="shared" si="24"/>
        <v>-1.7155978638607072E-2</v>
      </c>
    </row>
    <row r="297" spans="1:10" x14ac:dyDescent="0.3">
      <c r="A297" s="168">
        <v>44634</v>
      </c>
      <c r="B297" s="219">
        <f>VLOOKUP('Ke Alternativo'!A297,'Dados para Ke Alternativo'!$A:$B,2,0)</f>
        <v>23.52</v>
      </c>
      <c r="C297" s="294">
        <f t="shared" si="21"/>
        <v>-5.428226779252121E-2</v>
      </c>
      <c r="D297" s="296">
        <f>VLOOKUP(A297,'Dados para Ke Alternativo'!$P:$Q,2,0)</f>
        <v>5.1193</v>
      </c>
      <c r="E297" s="296">
        <f t="shared" si="20"/>
        <v>4.5943781376360047</v>
      </c>
      <c r="F297" s="294">
        <f t="shared" si="22"/>
        <v>-6.2558429455814135E-2</v>
      </c>
      <c r="G297" s="296">
        <f>VLOOKUP($A297,'Dados para Ke Alternativo'!$I:$J,2,0)</f>
        <v>2826.49</v>
      </c>
      <c r="H297" s="294">
        <f t="shared" si="23"/>
        <v>-4.7710595625414243E-3</v>
      </c>
      <c r="I297" s="297">
        <f>VLOOKUP(A297,'Dados para Ke Alternativo'!$W:$X,2,0)</f>
        <v>109928</v>
      </c>
      <c r="J297" s="294">
        <f t="shared" si="24"/>
        <v>-1.5978444764709554E-2</v>
      </c>
    </row>
    <row r="298" spans="1:10" x14ac:dyDescent="0.3">
      <c r="A298" s="167">
        <v>44635</v>
      </c>
      <c r="B298" s="219">
        <f>VLOOKUP('Ke Alternativo'!A298,'Dados para Ke Alternativo'!$A:$B,2,0)</f>
        <v>23.67</v>
      </c>
      <c r="C298" s="294">
        <f t="shared" si="21"/>
        <v>6.3775510204082675E-3</v>
      </c>
      <c r="D298" s="296">
        <f>VLOOKUP(A298,'Dados para Ke Alternativo'!$P:$Q,2,0)</f>
        <v>5.1631</v>
      </c>
      <c r="E298" s="296">
        <f t="shared" si="20"/>
        <v>4.5844550754391742</v>
      </c>
      <c r="F298" s="294">
        <f t="shared" si="22"/>
        <v>-2.1598270537515063E-3</v>
      </c>
      <c r="G298" s="296">
        <f>VLOOKUP($A298,'Dados para Ke Alternativo'!$I:$J,2,0)</f>
        <v>2865.89</v>
      </c>
      <c r="H298" s="294">
        <f t="shared" si="23"/>
        <v>1.3939550467187312E-2</v>
      </c>
      <c r="I298" s="297">
        <f>VLOOKUP(A298,'Dados para Ke Alternativo'!$W:$X,2,0)</f>
        <v>108959</v>
      </c>
      <c r="J298" s="294">
        <f t="shared" si="24"/>
        <v>-8.8148606360526349E-3</v>
      </c>
    </row>
    <row r="299" spans="1:10" x14ac:dyDescent="0.3">
      <c r="A299" s="168">
        <v>44636</v>
      </c>
      <c r="B299" s="219">
        <f>VLOOKUP('Ke Alternativo'!A299,'Dados para Ke Alternativo'!$A:$B,2,0)</f>
        <v>23.12</v>
      </c>
      <c r="C299" s="294">
        <f t="shared" si="21"/>
        <v>-2.3236163920574593E-2</v>
      </c>
      <c r="D299" s="296">
        <f>VLOOKUP(A299,'Dados para Ke Alternativo'!$P:$Q,2,0)</f>
        <v>5.0757000000000003</v>
      </c>
      <c r="E299" s="296">
        <f t="shared" si="20"/>
        <v>4.5550367437003763</v>
      </c>
      <c r="F299" s="294">
        <f t="shared" si="22"/>
        <v>-6.4169745923358112E-3</v>
      </c>
      <c r="G299" s="296">
        <f>VLOOKUP($A299,'Dados para Ke Alternativo'!$I:$J,2,0)</f>
        <v>2936.33</v>
      </c>
      <c r="H299" s="294">
        <f t="shared" si="23"/>
        <v>2.4578752150291816E-2</v>
      </c>
      <c r="I299" s="297">
        <f>VLOOKUP(A299,'Dados para Ke Alternativo'!$W:$X,2,0)</f>
        <v>111112</v>
      </c>
      <c r="J299" s="294">
        <f t="shared" si="24"/>
        <v>1.9759726135518907E-2</v>
      </c>
    </row>
    <row r="300" spans="1:10" x14ac:dyDescent="0.3">
      <c r="A300" s="167">
        <v>44637</v>
      </c>
      <c r="B300" s="219">
        <f>VLOOKUP('Ke Alternativo'!A300,'Dados para Ke Alternativo'!$A:$B,2,0)</f>
        <v>25.01</v>
      </c>
      <c r="C300" s="294">
        <f t="shared" si="21"/>
        <v>8.1747404844290772E-2</v>
      </c>
      <c r="D300" s="296">
        <f>VLOOKUP(A300,'Dados para Ke Alternativo'!$P:$Q,2,0)</f>
        <v>5.0389999999999997</v>
      </c>
      <c r="E300" s="296">
        <f t="shared" si="20"/>
        <v>4.9632863663425288</v>
      </c>
      <c r="F300" s="294">
        <f t="shared" si="22"/>
        <v>8.962597792581195E-2</v>
      </c>
      <c r="G300" s="296">
        <f>VLOOKUP($A300,'Dados para Ke Alternativo'!$I:$J,2,0)</f>
        <v>2981.31</v>
      </c>
      <c r="H300" s="294">
        <f t="shared" si="23"/>
        <v>1.5318441728279897E-2</v>
      </c>
      <c r="I300" s="297">
        <f>VLOOKUP(A300,'Dados para Ke Alternativo'!$W:$X,2,0)</f>
        <v>113076</v>
      </c>
      <c r="J300" s="294">
        <f t="shared" si="24"/>
        <v>1.7675858593131144E-2</v>
      </c>
    </row>
    <row r="301" spans="1:10" x14ac:dyDescent="0.3">
      <c r="A301" s="168">
        <v>44638</v>
      </c>
      <c r="B301" s="219">
        <f>VLOOKUP('Ke Alternativo'!A301,'Dados para Ke Alternativo'!$A:$B,2,0)</f>
        <v>25.87</v>
      </c>
      <c r="C301" s="294">
        <f t="shared" si="21"/>
        <v>3.4386245501799362E-2</v>
      </c>
      <c r="D301" s="296">
        <f>VLOOKUP(A301,'Dados para Ke Alternativo'!$P:$Q,2,0)</f>
        <v>5.0231000000000003</v>
      </c>
      <c r="E301" s="296">
        <f t="shared" si="20"/>
        <v>5.1502060480579717</v>
      </c>
      <c r="F301" s="294">
        <f t="shared" si="22"/>
        <v>3.7660466859820829E-2</v>
      </c>
      <c r="G301" s="296">
        <f>VLOOKUP($A301,'Dados para Ke Alternativo'!$I:$J,2,0)</f>
        <v>3010.59</v>
      </c>
      <c r="H301" s="294">
        <f t="shared" si="23"/>
        <v>9.8211859887096242E-3</v>
      </c>
      <c r="I301" s="297">
        <f>VLOOKUP(A301,'Dados para Ke Alternativo'!$W:$X,2,0)</f>
        <v>115311</v>
      </c>
      <c r="J301" s="294">
        <f t="shared" si="24"/>
        <v>1.9765467473203957E-2</v>
      </c>
    </row>
    <row r="302" spans="1:10" x14ac:dyDescent="0.3">
      <c r="A302" s="167">
        <v>44641</v>
      </c>
      <c r="B302" s="219">
        <f>VLOOKUP('Ke Alternativo'!A302,'Dados para Ke Alternativo'!$A:$B,2,0)</f>
        <v>26.13</v>
      </c>
      <c r="C302" s="294">
        <f t="shared" si="21"/>
        <v>1.0050251256281229E-2</v>
      </c>
      <c r="D302" s="296">
        <f>VLOOKUP(A302,'Dados para Ke Alternativo'!$P:$Q,2,0)</f>
        <v>4.9353999999999996</v>
      </c>
      <c r="E302" s="296">
        <f t="shared" si="20"/>
        <v>5.2944036957490788</v>
      </c>
      <c r="F302" s="294">
        <f t="shared" si="22"/>
        <v>2.7998423042798537E-2</v>
      </c>
      <c r="G302" s="296">
        <f>VLOOKUP($A302,'Dados para Ke Alternativo'!$I:$J,2,0)</f>
        <v>3010.08</v>
      </c>
      <c r="H302" s="294">
        <f t="shared" si="23"/>
        <v>-1.6940201090154261E-4</v>
      </c>
      <c r="I302" s="297">
        <f>VLOOKUP(A302,'Dados para Ke Alternativo'!$W:$X,2,0)</f>
        <v>116155</v>
      </c>
      <c r="J302" s="294">
        <f t="shared" si="24"/>
        <v>7.319336403291965E-3</v>
      </c>
    </row>
    <row r="303" spans="1:10" x14ac:dyDescent="0.3">
      <c r="A303" s="168">
        <v>44642</v>
      </c>
      <c r="B303" s="219">
        <f>VLOOKUP('Ke Alternativo'!A303,'Dados para Ke Alternativo'!$A:$B,2,0)</f>
        <v>26.52</v>
      </c>
      <c r="C303" s="294">
        <f t="shared" si="21"/>
        <v>1.4925373134328401E-2</v>
      </c>
      <c r="D303" s="296">
        <f>VLOOKUP(A303,'Dados para Ke Alternativo'!$P:$Q,2,0)</f>
        <v>4.9093999999999998</v>
      </c>
      <c r="E303" s="296">
        <f t="shared" si="20"/>
        <v>5.4018821037193954</v>
      </c>
      <c r="F303" s="294">
        <f t="shared" si="22"/>
        <v>2.0300380202705748E-2</v>
      </c>
      <c r="G303" s="296">
        <f>VLOOKUP($A303,'Dados para Ke Alternativo'!$I:$J,2,0)</f>
        <v>3040.37</v>
      </c>
      <c r="H303" s="294">
        <f t="shared" si="23"/>
        <v>1.0062855472279697E-2</v>
      </c>
      <c r="I303" s="297">
        <f>VLOOKUP(A303,'Dados para Ke Alternativo'!$W:$X,2,0)</f>
        <v>117272</v>
      </c>
      <c r="J303" s="294">
        <f t="shared" si="24"/>
        <v>9.6164607636348709E-3</v>
      </c>
    </row>
    <row r="304" spans="1:10" x14ac:dyDescent="0.3">
      <c r="A304" s="167">
        <v>44643</v>
      </c>
      <c r="B304" s="219">
        <f>VLOOKUP('Ke Alternativo'!A304,'Dados para Ke Alternativo'!$A:$B,2,0)</f>
        <v>27.3</v>
      </c>
      <c r="C304" s="294">
        <f t="shared" si="21"/>
        <v>2.941176470588247E-2</v>
      </c>
      <c r="D304" s="296">
        <f>VLOOKUP(A304,'Dados para Ke Alternativo'!$P:$Q,2,0)</f>
        <v>4.8258000000000001</v>
      </c>
      <c r="E304" s="296">
        <f t="shared" si="20"/>
        <v>5.6570931244560487</v>
      </c>
      <c r="F304" s="294">
        <f t="shared" si="22"/>
        <v>4.7244833529582531E-2</v>
      </c>
      <c r="G304" s="296">
        <f>VLOOKUP($A304,'Dados para Ke Alternativo'!$I:$J,2,0)</f>
        <v>3012.79</v>
      </c>
      <c r="H304" s="294">
        <f t="shared" si="23"/>
        <v>-9.0712643526938974E-3</v>
      </c>
      <c r="I304" s="297">
        <f>VLOOKUP(A304,'Dados para Ke Alternativo'!$W:$X,2,0)</f>
        <v>117457</v>
      </c>
      <c r="J304" s="294">
        <f t="shared" si="24"/>
        <v>1.5775291629716026E-3</v>
      </c>
    </row>
    <row r="305" spans="1:10" x14ac:dyDescent="0.3">
      <c r="A305" s="168">
        <v>44644</v>
      </c>
      <c r="B305" s="219">
        <f>VLOOKUP('Ke Alternativo'!A305,'Dados para Ke Alternativo'!$A:$B,2,0)</f>
        <v>26.07</v>
      </c>
      <c r="C305" s="294">
        <f t="shared" si="21"/>
        <v>-4.5054945054945117E-2</v>
      </c>
      <c r="D305" s="296">
        <f>VLOOKUP(A305,'Dados para Ke Alternativo'!$P:$Q,2,0)</f>
        <v>4.8253000000000004</v>
      </c>
      <c r="E305" s="296">
        <f t="shared" si="20"/>
        <v>5.4027728845874865</v>
      </c>
      <c r="F305" s="294">
        <f t="shared" si="22"/>
        <v>-4.4955993170612052E-2</v>
      </c>
      <c r="G305" s="296">
        <f>VLOOKUP($A305,'Dados para Ke Alternativo'!$I:$J,2,0)</f>
        <v>3041.48</v>
      </c>
      <c r="H305" s="294">
        <f t="shared" si="23"/>
        <v>9.5227347408879393E-3</v>
      </c>
      <c r="I305" s="297">
        <f>VLOOKUP(A305,'Dados para Ke Alternativo'!$W:$X,2,0)</f>
        <v>119053</v>
      </c>
      <c r="J305" s="294">
        <f t="shared" si="24"/>
        <v>1.3587951335382265E-2</v>
      </c>
    </row>
    <row r="306" spans="1:10" x14ac:dyDescent="0.3">
      <c r="A306" s="167">
        <v>44645</v>
      </c>
      <c r="B306" s="219">
        <f>VLOOKUP('Ke Alternativo'!A306,'Dados para Ke Alternativo'!$A:$B,2,0)</f>
        <v>25.19</v>
      </c>
      <c r="C306" s="294">
        <f t="shared" si="21"/>
        <v>-3.3755274261603296E-2</v>
      </c>
      <c r="D306" s="296">
        <f>VLOOKUP(A306,'Dados para Ke Alternativo'!$P:$Q,2,0)</f>
        <v>4.742</v>
      </c>
      <c r="E306" s="296">
        <f t="shared" si="20"/>
        <v>5.312104597216365</v>
      </c>
      <c r="F306" s="294">
        <f t="shared" si="22"/>
        <v>-1.6781806177670555E-2</v>
      </c>
      <c r="G306" s="296">
        <f>VLOOKUP($A306,'Dados para Ke Alternativo'!$I:$J,2,0)</f>
        <v>3049.11</v>
      </c>
      <c r="H306" s="294">
        <f t="shared" si="23"/>
        <v>2.5086471060142834E-3</v>
      </c>
      <c r="I306" s="297">
        <f>VLOOKUP(A306,'Dados para Ke Alternativo'!$W:$X,2,0)</f>
        <v>119081</v>
      </c>
      <c r="J306" s="294">
        <f t="shared" si="24"/>
        <v>2.3518936944055824E-4</v>
      </c>
    </row>
    <row r="307" spans="1:10" x14ac:dyDescent="0.3">
      <c r="A307" s="168">
        <v>44648</v>
      </c>
      <c r="B307" s="219">
        <f>VLOOKUP('Ke Alternativo'!A307,'Dados para Ke Alternativo'!$A:$B,2,0)</f>
        <v>24.99</v>
      </c>
      <c r="C307" s="294">
        <f t="shared" si="21"/>
        <v>-7.9396585946804876E-3</v>
      </c>
      <c r="D307" s="296">
        <f>VLOOKUP(A307,'Dados para Ke Alternativo'!$P:$Q,2,0)</f>
        <v>4.7675000000000001</v>
      </c>
      <c r="E307" s="296">
        <f t="shared" si="20"/>
        <v>5.2417409543786047</v>
      </c>
      <c r="F307" s="294">
        <f t="shared" si="22"/>
        <v>-1.3245906881169445E-2</v>
      </c>
      <c r="G307" s="296">
        <f>VLOOKUP($A307,'Dados para Ke Alternativo'!$I:$J,2,0)</f>
        <v>3061.63</v>
      </c>
      <c r="H307" s="294">
        <f t="shared" si="23"/>
        <v>4.1061162109599092E-3</v>
      </c>
      <c r="I307" s="297">
        <f>VLOOKUP(A307,'Dados para Ke Alternativo'!$W:$X,2,0)</f>
        <v>118738</v>
      </c>
      <c r="J307" s="294">
        <f t="shared" si="24"/>
        <v>-2.8803923379884244E-3</v>
      </c>
    </row>
    <row r="308" spans="1:10" x14ac:dyDescent="0.3">
      <c r="A308" s="167">
        <v>44649</v>
      </c>
      <c r="B308" s="219">
        <f>VLOOKUP('Ke Alternativo'!A308,'Dados para Ke Alternativo'!$A:$B,2,0)</f>
        <v>25.2</v>
      </c>
      <c r="C308" s="294">
        <f t="shared" si="21"/>
        <v>8.4033613445377853E-3</v>
      </c>
      <c r="D308" s="296">
        <f>VLOOKUP(A308,'Dados para Ke Alternativo'!$P:$Q,2,0)</f>
        <v>4.7561</v>
      </c>
      <c r="E308" s="296">
        <f t="shared" si="20"/>
        <v>5.2984588213031687</v>
      </c>
      <c r="F308" s="294">
        <f t="shared" si="22"/>
        <v>1.0820425392671362E-2</v>
      </c>
      <c r="G308" s="296">
        <f>VLOOKUP($A308,'Dados para Ke Alternativo'!$I:$J,2,0)</f>
        <v>3110.81</v>
      </c>
      <c r="H308" s="294">
        <f t="shared" si="23"/>
        <v>1.6063338809718886E-2</v>
      </c>
      <c r="I308" s="297">
        <f>VLOOKUP(A308,'Dados para Ke Alternativo'!$W:$X,2,0)</f>
        <v>120014</v>
      </c>
      <c r="J308" s="294">
        <f t="shared" si="24"/>
        <v>1.0746349104751696E-2</v>
      </c>
    </row>
    <row r="309" spans="1:10" x14ac:dyDescent="0.3">
      <c r="A309" s="168">
        <v>44650</v>
      </c>
      <c r="B309" s="219">
        <f>VLOOKUP('Ke Alternativo'!A309,'Dados para Ke Alternativo'!$A:$B,2,0)</f>
        <v>25.04</v>
      </c>
      <c r="C309" s="294">
        <f t="shared" si="21"/>
        <v>-6.3492063492063266E-3</v>
      </c>
      <c r="D309" s="296">
        <f>VLOOKUP(A309,'Dados para Ke Alternativo'!$P:$Q,2,0)</f>
        <v>4.7685000000000004</v>
      </c>
      <c r="E309" s="296">
        <f t="shared" si="20"/>
        <v>5.2511271888434514</v>
      </c>
      <c r="F309" s="294">
        <f t="shared" si="22"/>
        <v>-8.9330943310182986E-3</v>
      </c>
      <c r="G309" s="296">
        <f>VLOOKUP($A309,'Dados para Ke Alternativo'!$I:$J,2,0)</f>
        <v>3096.67</v>
      </c>
      <c r="H309" s="294">
        <f t="shared" si="23"/>
        <v>-4.5454399336506413E-3</v>
      </c>
      <c r="I309" s="297">
        <f>VLOOKUP(A309,'Dados para Ke Alternativo'!$W:$X,2,0)</f>
        <v>120260</v>
      </c>
      <c r="J309" s="294">
        <f t="shared" si="24"/>
        <v>2.0497608612328744E-3</v>
      </c>
    </row>
    <row r="310" spans="1:10" x14ac:dyDescent="0.3">
      <c r="A310" s="167">
        <v>44651</v>
      </c>
      <c r="B310" s="219">
        <f>VLOOKUP('Ke Alternativo'!A310,'Dados para Ke Alternativo'!$A:$B,2,0)</f>
        <v>23.77</v>
      </c>
      <c r="C310" s="294">
        <f t="shared" si="21"/>
        <v>-5.0718849840255542E-2</v>
      </c>
      <c r="D310" s="296">
        <f>VLOOKUP(A310,'Dados para Ke Alternativo'!$P:$Q,2,0)</f>
        <v>4.7389999999999999</v>
      </c>
      <c r="E310" s="296">
        <f t="shared" si="20"/>
        <v>5.0158261236547794</v>
      </c>
      <c r="F310" s="294">
        <f t="shared" si="22"/>
        <v>-4.4809629766460968E-2</v>
      </c>
      <c r="G310" s="296">
        <f>VLOOKUP($A310,'Dados para Ke Alternativo'!$I:$J,2,0)</f>
        <v>3053.07</v>
      </c>
      <c r="H310" s="294">
        <f t="shared" si="23"/>
        <v>-1.4079640387900549E-2</v>
      </c>
      <c r="I310" s="297">
        <f>VLOOKUP(A310,'Dados para Ke Alternativo'!$W:$X,2,0)</f>
        <v>119999</v>
      </c>
      <c r="J310" s="294">
        <f t="shared" si="24"/>
        <v>-2.1702976883418712E-3</v>
      </c>
    </row>
    <row r="311" spans="1:10" x14ac:dyDescent="0.3">
      <c r="A311" s="168">
        <v>44652</v>
      </c>
      <c r="B311" s="219">
        <f>VLOOKUP('Ke Alternativo'!A311,'Dados para Ke Alternativo'!$A:$B,2,0)</f>
        <v>24.45</v>
      </c>
      <c r="C311" s="294">
        <f t="shared" si="21"/>
        <v>2.8607488430795192E-2</v>
      </c>
      <c r="D311" s="296">
        <f>VLOOKUP(A311,'Dados para Ke Alternativo'!$P:$Q,2,0)</f>
        <v>4.6574999999999998</v>
      </c>
      <c r="E311" s="296">
        <f t="shared" si="20"/>
        <v>5.2495974235104672</v>
      </c>
      <c r="F311" s="294">
        <f t="shared" si="22"/>
        <v>4.6606739167694755E-2</v>
      </c>
      <c r="G311" s="296">
        <f>VLOOKUP($A311,'Dados para Ke Alternativo'!$I:$J,2,0)</f>
        <v>3057.07</v>
      </c>
      <c r="H311" s="294">
        <f t="shared" si="23"/>
        <v>1.3101566619828642E-3</v>
      </c>
      <c r="I311" s="297">
        <f>VLOOKUP(A311,'Dados para Ke Alternativo'!$W:$X,2,0)</f>
        <v>121570</v>
      </c>
      <c r="J311" s="294">
        <f t="shared" si="24"/>
        <v>1.3091775764798141E-2</v>
      </c>
    </row>
    <row r="312" spans="1:10" x14ac:dyDescent="0.3">
      <c r="A312" s="167">
        <v>44655</v>
      </c>
      <c r="B312" s="219">
        <f>VLOOKUP('Ke Alternativo'!A312,'Dados para Ke Alternativo'!$A:$B,2,0)</f>
        <v>24.32</v>
      </c>
      <c r="C312" s="294">
        <f t="shared" si="21"/>
        <v>-5.3169734151329306E-3</v>
      </c>
      <c r="D312" s="296">
        <f>VLOOKUP(A312,'Dados para Ke Alternativo'!$P:$Q,2,0)</f>
        <v>4.5928000000000004</v>
      </c>
      <c r="E312" s="296">
        <f t="shared" si="20"/>
        <v>5.2952447308831205</v>
      </c>
      <c r="F312" s="294">
        <f t="shared" si="22"/>
        <v>8.6953919872447827E-3</v>
      </c>
      <c r="G312" s="296">
        <f>VLOOKUP($A312,'Dados para Ke Alternativo'!$I:$J,2,0)</f>
        <v>3081.38</v>
      </c>
      <c r="H312" s="294">
        <f t="shared" si="23"/>
        <v>7.9520586705570384E-3</v>
      </c>
      <c r="I312" s="297">
        <f>VLOOKUP(A312,'Dados para Ke Alternativo'!$W:$X,2,0)</f>
        <v>121280</v>
      </c>
      <c r="J312" s="294">
        <f t="shared" si="24"/>
        <v>-2.3854569383894297E-3</v>
      </c>
    </row>
    <row r="313" spans="1:10" x14ac:dyDescent="0.3">
      <c r="A313" s="168">
        <v>44656</v>
      </c>
      <c r="B313" s="219">
        <f>VLOOKUP('Ke Alternativo'!A313,'Dados para Ke Alternativo'!$A:$B,2,0)</f>
        <v>24.01</v>
      </c>
      <c r="C313" s="294">
        <f t="shared" si="21"/>
        <v>-1.2746710526315708E-2</v>
      </c>
      <c r="D313" s="296">
        <f>VLOOKUP(A313,'Dados para Ke Alternativo'!$P:$Q,2,0)</f>
        <v>4.6505999999999998</v>
      </c>
      <c r="E313" s="296">
        <f t="shared" si="20"/>
        <v>5.162774695738185</v>
      </c>
      <c r="F313" s="294">
        <f t="shared" si="22"/>
        <v>-2.5016791834443275E-2</v>
      </c>
      <c r="G313" s="296">
        <f>VLOOKUP($A313,'Dados para Ke Alternativo'!$I:$J,2,0)</f>
        <v>3049.39</v>
      </c>
      <c r="H313" s="294">
        <f t="shared" si="23"/>
        <v>-1.0381712090037687E-2</v>
      </c>
      <c r="I313" s="297">
        <f>VLOOKUP(A313,'Dados para Ke Alternativo'!$W:$X,2,0)</f>
        <v>118885</v>
      </c>
      <c r="J313" s="294">
        <f t="shared" si="24"/>
        <v>-1.9747691292876013E-2</v>
      </c>
    </row>
    <row r="314" spans="1:10" x14ac:dyDescent="0.3">
      <c r="A314" s="167">
        <v>44657</v>
      </c>
      <c r="B314" s="219">
        <f>VLOOKUP('Ke Alternativo'!A314,'Dados para Ke Alternativo'!$A:$B,2,0)</f>
        <v>23.51</v>
      </c>
      <c r="C314" s="294">
        <f t="shared" si="21"/>
        <v>-2.0824656393169549E-2</v>
      </c>
      <c r="D314" s="296">
        <f>VLOOKUP(A314,'Dados para Ke Alternativo'!$P:$Q,2,0)</f>
        <v>4.7161</v>
      </c>
      <c r="E314" s="296">
        <f t="shared" si="20"/>
        <v>4.985051207565574</v>
      </c>
      <c r="F314" s="294">
        <f t="shared" si="22"/>
        <v>-3.4424025576657469E-2</v>
      </c>
      <c r="G314" s="296">
        <f>VLOOKUP($A314,'Dados para Ke Alternativo'!$I:$J,2,0)</f>
        <v>3012.24</v>
      </c>
      <c r="H314" s="294">
        <f t="shared" si="23"/>
        <v>-1.2182764421736825E-2</v>
      </c>
      <c r="I314" s="297">
        <f>VLOOKUP(A314,'Dados para Ke Alternativo'!$W:$X,2,0)</f>
        <v>118228</v>
      </c>
      <c r="J314" s="294">
        <f t="shared" si="24"/>
        <v>-5.5263489927240839E-3</v>
      </c>
    </row>
    <row r="315" spans="1:10" x14ac:dyDescent="0.3">
      <c r="A315" s="168">
        <v>44658</v>
      </c>
      <c r="B315" s="219">
        <f>VLOOKUP('Ke Alternativo'!A315,'Dados para Ke Alternativo'!$A:$B,2,0)</f>
        <v>23.52</v>
      </c>
      <c r="C315" s="294">
        <f t="shared" si="21"/>
        <v>4.2535091450446316E-4</v>
      </c>
      <c r="D315" s="296">
        <f>VLOOKUP(A315,'Dados para Ke Alternativo'!$P:$Q,2,0)</f>
        <v>4.7523999999999997</v>
      </c>
      <c r="E315" s="296">
        <f t="shared" si="20"/>
        <v>4.9490783604073734</v>
      </c>
      <c r="F315" s="294">
        <f t="shared" si="22"/>
        <v>-7.2161439592849375E-3</v>
      </c>
      <c r="G315" s="296">
        <f>VLOOKUP($A315,'Dados para Ke Alternativo'!$I:$J,2,0)</f>
        <v>3014.08</v>
      </c>
      <c r="H315" s="294">
        <f t="shared" si="23"/>
        <v>6.1084110163878158E-4</v>
      </c>
      <c r="I315" s="297">
        <f>VLOOKUP(A315,'Dados para Ke Alternativo'!$W:$X,2,0)</f>
        <v>118862</v>
      </c>
      <c r="J315" s="294">
        <f t="shared" si="24"/>
        <v>5.3625198768481042E-3</v>
      </c>
    </row>
    <row r="316" spans="1:10" x14ac:dyDescent="0.3">
      <c r="A316" s="167">
        <v>44659</v>
      </c>
      <c r="B316" s="219">
        <f>VLOOKUP('Ke Alternativo'!A316,'Dados para Ke Alternativo'!$A:$B,2,0)</f>
        <v>23.54</v>
      </c>
      <c r="C316" s="294">
        <f t="shared" si="21"/>
        <v>8.5034013605445047E-4</v>
      </c>
      <c r="D316" s="296">
        <f>VLOOKUP(A316,'Dados para Ke Alternativo'!$P:$Q,2,0)</f>
        <v>4.6970000000000001</v>
      </c>
      <c r="E316" s="296">
        <f t="shared" si="20"/>
        <v>5.0117096018735356</v>
      </c>
      <c r="F316" s="294">
        <f t="shared" si="22"/>
        <v>1.2655132310535278E-2</v>
      </c>
      <c r="G316" s="296">
        <f>VLOOKUP($A316,'Dados para Ke Alternativo'!$I:$J,2,0)</f>
        <v>3012.19</v>
      </c>
      <c r="H316" s="294">
        <f t="shared" si="23"/>
        <v>-6.2705701242160572E-4</v>
      </c>
      <c r="I316" s="297">
        <f>VLOOKUP(A316,'Dados para Ke Alternativo'!$W:$X,2,0)</f>
        <v>118322</v>
      </c>
      <c r="J316" s="294">
        <f t="shared" si="24"/>
        <v>-4.5430835759115995E-3</v>
      </c>
    </row>
    <row r="317" spans="1:10" x14ac:dyDescent="0.3">
      <c r="A317" s="168">
        <v>44662</v>
      </c>
      <c r="B317" s="219">
        <f>VLOOKUP('Ke Alternativo'!A317,'Dados para Ke Alternativo'!$A:$B,2,0)</f>
        <v>23.31</v>
      </c>
      <c r="C317" s="294">
        <f t="shared" si="21"/>
        <v>-9.77060322854717E-3</v>
      </c>
      <c r="D317" s="296">
        <f>VLOOKUP(A317,'Dados para Ke Alternativo'!$P:$Q,2,0)</f>
        <v>4.6943999999999999</v>
      </c>
      <c r="E317" s="296">
        <f t="shared" si="20"/>
        <v>4.9654907975460123</v>
      </c>
      <c r="F317" s="294">
        <f t="shared" si="22"/>
        <v>-9.2221632933889852E-3</v>
      </c>
      <c r="G317" s="296">
        <f>VLOOKUP($A317,'Dados para Ke Alternativo'!$I:$J,2,0)</f>
        <v>2972.4</v>
      </c>
      <c r="H317" s="294">
        <f t="shared" si="23"/>
        <v>-1.3209658089297194E-2</v>
      </c>
      <c r="I317" s="297">
        <f>VLOOKUP(A317,'Dados para Ke Alternativo'!$W:$X,2,0)</f>
        <v>116953</v>
      </c>
      <c r="J317" s="294">
        <f t="shared" si="24"/>
        <v>-1.1570122208887645E-2</v>
      </c>
    </row>
    <row r="318" spans="1:10" x14ac:dyDescent="0.3">
      <c r="A318" s="167">
        <v>44663</v>
      </c>
      <c r="B318" s="219">
        <f>VLOOKUP('Ke Alternativo'!A318,'Dados para Ke Alternativo'!$A:$B,2,0)</f>
        <v>23.71</v>
      </c>
      <c r="C318" s="294">
        <f t="shared" si="21"/>
        <v>1.7160017160017249E-2</v>
      </c>
      <c r="D318" s="296">
        <f>VLOOKUP(A318,'Dados para Ke Alternativo'!$P:$Q,2,0)</f>
        <v>4.6734999999999998</v>
      </c>
      <c r="E318" s="296">
        <f t="shared" si="20"/>
        <v>5.073285546164545</v>
      </c>
      <c r="F318" s="294">
        <f t="shared" si="22"/>
        <v>2.170878026232681E-2</v>
      </c>
      <c r="G318" s="296">
        <f>VLOOKUP($A318,'Dados para Ke Alternativo'!$I:$J,2,0)</f>
        <v>2959.78</v>
      </c>
      <c r="H318" s="294">
        <f t="shared" si="23"/>
        <v>-4.2457273583635935E-3</v>
      </c>
      <c r="I318" s="297">
        <f>VLOOKUP(A318,'Dados para Ke Alternativo'!$W:$X,2,0)</f>
        <v>116147</v>
      </c>
      <c r="J318" s="294">
        <f t="shared" si="24"/>
        <v>-6.891657332432688E-3</v>
      </c>
    </row>
    <row r="319" spans="1:10" x14ac:dyDescent="0.3">
      <c r="A319" s="168">
        <v>44664</v>
      </c>
      <c r="B319" s="219">
        <f>VLOOKUP('Ke Alternativo'!A319,'Dados para Ke Alternativo'!$A:$B,2,0)</f>
        <v>24.3</v>
      </c>
      <c r="C319" s="294">
        <f t="shared" si="21"/>
        <v>2.4884015183466834E-2</v>
      </c>
      <c r="D319" s="296">
        <f>VLOOKUP(A319,'Dados para Ke Alternativo'!$P:$Q,2,0)</f>
        <v>4.6898999999999997</v>
      </c>
      <c r="E319" s="296">
        <f t="shared" si="20"/>
        <v>5.181347150259068</v>
      </c>
      <c r="F319" s="294">
        <f t="shared" si="22"/>
        <v>2.130012259535019E-2</v>
      </c>
      <c r="G319" s="296">
        <f>VLOOKUP($A319,'Dados para Ke Alternativo'!$I:$J,2,0)</f>
        <v>2985.07</v>
      </c>
      <c r="H319" s="294">
        <f t="shared" si="23"/>
        <v>8.5445539871207288E-3</v>
      </c>
      <c r="I319" s="297">
        <f>VLOOKUP(A319,'Dados para Ke Alternativo'!$W:$X,2,0)</f>
        <v>116782</v>
      </c>
      <c r="J319" s="294">
        <f t="shared" si="24"/>
        <v>5.4672096567280892E-3</v>
      </c>
    </row>
    <row r="320" spans="1:10" x14ac:dyDescent="0.3">
      <c r="A320" s="167">
        <v>44665</v>
      </c>
      <c r="B320" s="219">
        <f>VLOOKUP('Ke Alternativo'!A320,'Dados para Ke Alternativo'!$A:$B,2,0)</f>
        <v>24.86</v>
      </c>
      <c r="C320" s="294">
        <f t="shared" si="21"/>
        <v>2.3045267489711918E-2</v>
      </c>
      <c r="D320" s="296">
        <f>VLOOKUP(A320,'Dados para Ke Alternativo'!$P:$Q,2,0)</f>
        <v>4.7012999999999998</v>
      </c>
      <c r="E320" s="296">
        <f t="shared" si="20"/>
        <v>5.2878990917405826</v>
      </c>
      <c r="F320" s="294">
        <f t="shared" si="22"/>
        <v>2.0564524705932286E-2</v>
      </c>
      <c r="G320" s="296">
        <f>VLOOKUP($A320,'Dados para Ke Alternativo'!$I:$J,2,0)</f>
        <v>2960.64</v>
      </c>
      <c r="H320" s="294">
        <f t="shared" si="23"/>
        <v>-8.1840626852972553E-3</v>
      </c>
      <c r="I320" s="297">
        <f>VLOOKUP(A320,'Dados para Ke Alternativo'!$W:$X,2,0)</f>
        <v>116182</v>
      </c>
      <c r="J320" s="294">
        <f t="shared" si="24"/>
        <v>-5.1377780822386976E-3</v>
      </c>
    </row>
    <row r="321" spans="1:10" x14ac:dyDescent="0.3">
      <c r="A321" s="168">
        <v>44669</v>
      </c>
      <c r="B321" s="219">
        <f>VLOOKUP('Ke Alternativo'!A321,'Dados para Ke Alternativo'!$A:$B,2,0)</f>
        <v>24.8</v>
      </c>
      <c r="C321" s="294">
        <f t="shared" si="21"/>
        <v>-2.4135156878519748E-3</v>
      </c>
      <c r="D321" s="296">
        <f>VLOOKUP(A321,'Dados para Ke Alternativo'!$P:$Q,2,0)</f>
        <v>4.6527000000000003</v>
      </c>
      <c r="E321" s="296">
        <f t="shared" si="20"/>
        <v>5.3302383562232682</v>
      </c>
      <c r="F321" s="294">
        <f t="shared" si="22"/>
        <v>8.0068215652635555E-3</v>
      </c>
      <c r="G321" s="296">
        <f>VLOOKUP($A321,'Dados para Ke Alternativo'!$I:$J,2,0)</f>
        <v>2954.15</v>
      </c>
      <c r="H321" s="294">
        <f t="shared" si="23"/>
        <v>-2.1920936013833936E-3</v>
      </c>
      <c r="I321" s="297">
        <f>VLOOKUP(A321,'Dados para Ke Alternativo'!$W:$X,2,0)</f>
        <v>115687</v>
      </c>
      <c r="J321" s="294">
        <f t="shared" si="24"/>
        <v>-4.2605567127438349E-3</v>
      </c>
    </row>
    <row r="322" spans="1:10" x14ac:dyDescent="0.3">
      <c r="A322" s="167">
        <v>44670</v>
      </c>
      <c r="B322" s="219">
        <f>VLOOKUP('Ke Alternativo'!A322,'Dados para Ke Alternativo'!$A:$B,2,0)</f>
        <v>24.62</v>
      </c>
      <c r="C322" s="294">
        <f t="shared" si="21"/>
        <v>-7.2580645161289814E-3</v>
      </c>
      <c r="D322" s="296">
        <f>VLOOKUP(A322,'Dados para Ke Alternativo'!$P:$Q,2,0)</f>
        <v>4.6675000000000004</v>
      </c>
      <c r="E322" s="296">
        <f t="shared" ref="E322:E385" si="25">B322/D322</f>
        <v>5.2747723620781999</v>
      </c>
      <c r="F322" s="294">
        <f t="shared" si="22"/>
        <v>-1.0405912538659634E-2</v>
      </c>
      <c r="G322" s="296">
        <f>VLOOKUP($A322,'Dados para Ke Alternativo'!$I:$J,2,0)</f>
        <v>2984.7</v>
      </c>
      <c r="H322" s="294">
        <f t="shared" si="23"/>
        <v>1.0341384154494371E-2</v>
      </c>
      <c r="I322" s="297">
        <f>VLOOKUP(A322,'Dados para Ke Alternativo'!$W:$X,2,0)</f>
        <v>115057</v>
      </c>
      <c r="J322" s="294">
        <f t="shared" si="24"/>
        <v>-5.445728560685259E-3</v>
      </c>
    </row>
    <row r="323" spans="1:10" x14ac:dyDescent="0.3">
      <c r="A323" s="168">
        <v>44671</v>
      </c>
      <c r="B323" s="219">
        <f>VLOOKUP('Ke Alternativo'!A323,'Dados para Ke Alternativo'!$A:$B,2,0)</f>
        <v>25.66</v>
      </c>
      <c r="C323" s="294">
        <f t="shared" ref="C323:C386" si="26">B323/B322-1</f>
        <v>4.2242079610073091E-2</v>
      </c>
      <c r="D323" s="296">
        <f>VLOOKUP(A323,'Dados para Ke Alternativo'!$P:$Q,2,0)</f>
        <v>4.6219000000000001</v>
      </c>
      <c r="E323" s="296">
        <f t="shared" si="25"/>
        <v>5.5518293342564746</v>
      </c>
      <c r="F323" s="294">
        <f t="shared" ref="F323:F386" si="27">E323/E322-1</f>
        <v>5.2524915420068874E-2</v>
      </c>
      <c r="G323" s="296">
        <f>VLOOKUP($A323,'Dados para Ke Alternativo'!$I:$J,2,0)</f>
        <v>2994.64</v>
      </c>
      <c r="H323" s="294">
        <f t="shared" ref="H323:H386" si="28">G323/G322-1</f>
        <v>3.3303179549033501E-3</v>
      </c>
      <c r="I323" s="297">
        <f>VLOOKUP(A323,'Dados para Ke Alternativo'!$W:$X,2,0)</f>
        <v>114344</v>
      </c>
      <c r="J323" s="294">
        <f t="shared" ref="J323:J386" si="29">I323/I322-1</f>
        <v>-6.1969284789278323E-3</v>
      </c>
    </row>
    <row r="324" spans="1:10" x14ac:dyDescent="0.3">
      <c r="A324" s="167">
        <v>44673</v>
      </c>
      <c r="B324" s="219">
        <f>VLOOKUP('Ke Alternativo'!A324,'Dados para Ke Alternativo'!$A:$B,2,0)</f>
        <v>24.44</v>
      </c>
      <c r="C324" s="294">
        <f t="shared" si="26"/>
        <v>-4.7544816835541681E-2</v>
      </c>
      <c r="D324" s="296">
        <f>VLOOKUP(A324,'Dados para Ke Alternativo'!$P:$Q,2,0)</f>
        <v>4.7937000000000003</v>
      </c>
      <c r="E324" s="296">
        <f t="shared" si="25"/>
        <v>5.0983582618853909</v>
      </c>
      <c r="F324" s="294">
        <f t="shared" si="27"/>
        <v>-8.1679577139201598E-2</v>
      </c>
      <c r="G324" s="296">
        <f>VLOOKUP($A324,'Dados para Ke Alternativo'!$I:$J,2,0)</f>
        <v>2882.45</v>
      </c>
      <c r="H324" s="294">
        <f t="shared" si="28"/>
        <v>-3.7463601634921129E-2</v>
      </c>
      <c r="I324" s="297">
        <f>VLOOKUP(A324,'Dados para Ke Alternativo'!$W:$X,2,0)</f>
        <v>111078</v>
      </c>
      <c r="J324" s="294">
        <f t="shared" si="29"/>
        <v>-2.8562932904218852E-2</v>
      </c>
    </row>
    <row r="325" spans="1:10" x14ac:dyDescent="0.3">
      <c r="A325" s="168">
        <v>44676</v>
      </c>
      <c r="B325" s="219">
        <f>VLOOKUP('Ke Alternativo'!A325,'Dados para Ke Alternativo'!$A:$B,2,0)</f>
        <v>24.66</v>
      </c>
      <c r="C325" s="294">
        <f t="shared" si="26"/>
        <v>9.0016366612111209E-3</v>
      </c>
      <c r="D325" s="296">
        <f>VLOOKUP(A325,'Dados para Ke Alternativo'!$P:$Q,2,0)</f>
        <v>4.8765999999999998</v>
      </c>
      <c r="E325" s="296">
        <f t="shared" si="25"/>
        <v>5.0568018701554367</v>
      </c>
      <c r="F325" s="294">
        <f t="shared" si="27"/>
        <v>-8.1509359670982606E-3</v>
      </c>
      <c r="G325" s="296">
        <f>VLOOKUP($A325,'Dados para Ke Alternativo'!$I:$J,2,0)</f>
        <v>2877.7</v>
      </c>
      <c r="H325" s="294">
        <f t="shared" si="28"/>
        <v>-1.6479036930389102E-3</v>
      </c>
      <c r="I325" s="297">
        <f>VLOOKUP(A325,'Dados para Ke Alternativo'!$W:$X,2,0)</f>
        <v>110685</v>
      </c>
      <c r="J325" s="294">
        <f t="shared" si="29"/>
        <v>-3.5380543401933862E-3</v>
      </c>
    </row>
    <row r="326" spans="1:10" x14ac:dyDescent="0.3">
      <c r="A326" s="167">
        <v>44677</v>
      </c>
      <c r="B326" s="219">
        <f>VLOOKUP('Ke Alternativo'!A326,'Dados para Ke Alternativo'!$A:$B,2,0)</f>
        <v>25.27</v>
      </c>
      <c r="C326" s="294">
        <f t="shared" si="26"/>
        <v>2.4736415247364141E-2</v>
      </c>
      <c r="D326" s="296">
        <f>VLOOKUP(A326,'Dados para Ke Alternativo'!$P:$Q,2,0)</f>
        <v>4.9988999999999999</v>
      </c>
      <c r="E326" s="296">
        <f t="shared" si="25"/>
        <v>5.0551121246674269</v>
      </c>
      <c r="F326" s="294">
        <f t="shared" si="27"/>
        <v>-3.3415299459971237E-4</v>
      </c>
      <c r="G326" s="296">
        <f>VLOOKUP($A326,'Dados para Ke Alternativo'!$I:$J,2,0)</f>
        <v>2811</v>
      </c>
      <c r="H326" s="294">
        <f t="shared" si="28"/>
        <v>-2.3178232616325456E-2</v>
      </c>
      <c r="I326" s="297">
        <f>VLOOKUP(A326,'Dados para Ke Alternativo'!$W:$X,2,0)</f>
        <v>108213</v>
      </c>
      <c r="J326" s="294">
        <f t="shared" si="29"/>
        <v>-2.2333649546008916E-2</v>
      </c>
    </row>
    <row r="327" spans="1:10" x14ac:dyDescent="0.3">
      <c r="A327" s="168">
        <v>44678</v>
      </c>
      <c r="B327" s="219">
        <f>VLOOKUP('Ke Alternativo'!A327,'Dados para Ke Alternativo'!$A:$B,2,0)</f>
        <v>25.55</v>
      </c>
      <c r="C327" s="294">
        <f t="shared" si="26"/>
        <v>1.1080332409972415E-2</v>
      </c>
      <c r="D327" s="296">
        <f>VLOOKUP(A327,'Dados para Ke Alternativo'!$P:$Q,2,0)</f>
        <v>4.9650999999999996</v>
      </c>
      <c r="E327" s="296">
        <f t="shared" si="25"/>
        <v>5.145918511208234</v>
      </c>
      <c r="F327" s="294">
        <f t="shared" si="27"/>
        <v>1.7963278420215278E-2</v>
      </c>
      <c r="G327" s="296">
        <f>VLOOKUP($A327,'Dados para Ke Alternativo'!$I:$J,2,0)</f>
        <v>2807.51</v>
      </c>
      <c r="H327" s="294">
        <f t="shared" si="28"/>
        <v>-1.2415510494485638E-3</v>
      </c>
      <c r="I327" s="297">
        <f>VLOOKUP(A327,'Dados para Ke Alternativo'!$W:$X,2,0)</f>
        <v>109349</v>
      </c>
      <c r="J327" s="294">
        <f t="shared" si="29"/>
        <v>1.0497814495485702E-2</v>
      </c>
    </row>
    <row r="328" spans="1:10" x14ac:dyDescent="0.3">
      <c r="A328" s="167">
        <v>44679</v>
      </c>
      <c r="B328" s="219">
        <f>VLOOKUP('Ke Alternativo'!A328,'Dados para Ke Alternativo'!$A:$B,2,0)</f>
        <v>26.24</v>
      </c>
      <c r="C328" s="294">
        <f t="shared" si="26"/>
        <v>2.700587084148709E-2</v>
      </c>
      <c r="D328" s="296">
        <f>VLOOKUP(A328,'Dados para Ke Alternativo'!$P:$Q,2,0)</f>
        <v>4.9424999999999999</v>
      </c>
      <c r="E328" s="296">
        <f t="shared" si="25"/>
        <v>5.3090541224076881</v>
      </c>
      <c r="F328" s="294">
        <f t="shared" si="27"/>
        <v>3.1701942198294031E-2</v>
      </c>
      <c r="G328" s="296">
        <f>VLOOKUP($A328,'Dados para Ke Alternativo'!$I:$J,2,0)</f>
        <v>2861.55</v>
      </c>
      <c r="H328" s="294">
        <f t="shared" si="28"/>
        <v>1.9248373113541772E-2</v>
      </c>
      <c r="I328" s="297">
        <f>VLOOKUP(A328,'Dados para Ke Alternativo'!$W:$X,2,0)</f>
        <v>109919</v>
      </c>
      <c r="J328" s="294">
        <f t="shared" si="29"/>
        <v>5.2126676970067898E-3</v>
      </c>
    </row>
    <row r="329" spans="1:10" x14ac:dyDescent="0.3">
      <c r="A329" s="168">
        <v>44680</v>
      </c>
      <c r="B329" s="219">
        <f>VLOOKUP('Ke Alternativo'!A329,'Dados para Ke Alternativo'!$A:$B,2,0)</f>
        <v>26.66</v>
      </c>
      <c r="C329" s="294">
        <f t="shared" si="26"/>
        <v>1.6006097560975707E-2</v>
      </c>
      <c r="D329" s="296">
        <f>VLOOKUP(A329,'Dados para Ke Alternativo'!$P:$Q,2,0)</f>
        <v>4.9721000000000002</v>
      </c>
      <c r="E329" s="296">
        <f t="shared" si="25"/>
        <v>5.3619195108706581</v>
      </c>
      <c r="F329" s="294">
        <f t="shared" si="27"/>
        <v>9.9575907956641618E-3</v>
      </c>
      <c r="G329" s="296">
        <f>VLOOKUP($A329,'Dados para Ke Alternativo'!$I:$J,2,0)</f>
        <v>2795.62</v>
      </c>
      <c r="H329" s="294">
        <f t="shared" si="28"/>
        <v>-2.3039960860372966E-2</v>
      </c>
      <c r="I329" s="297">
        <f>VLOOKUP(A329,'Dados para Ke Alternativo'!$W:$X,2,0)</f>
        <v>107876</v>
      </c>
      <c r="J329" s="294">
        <f t="shared" si="29"/>
        <v>-1.8586413631856202E-2</v>
      </c>
    </row>
    <row r="330" spans="1:10" x14ac:dyDescent="0.3">
      <c r="A330" s="167">
        <v>44683</v>
      </c>
      <c r="B330" s="219">
        <f>VLOOKUP('Ke Alternativo'!A330,'Dados para Ke Alternativo'!$A:$B,2,0)</f>
        <v>25.11</v>
      </c>
      <c r="C330" s="294">
        <f t="shared" si="26"/>
        <v>-5.8139534883720922E-2</v>
      </c>
      <c r="D330" s="296">
        <f>VLOOKUP(A330,'Dados para Ke Alternativo'!$P:$Q,2,0)</f>
        <v>5.0848000000000004</v>
      </c>
      <c r="E330" s="296">
        <f t="shared" si="25"/>
        <v>4.9382473253618624</v>
      </c>
      <c r="F330" s="294">
        <f t="shared" si="27"/>
        <v>-7.9015021514189154E-2</v>
      </c>
      <c r="G330" s="296">
        <f>VLOOKUP($A330,'Dados para Ke Alternativo'!$I:$J,2,0)</f>
        <v>2796.33</v>
      </c>
      <c r="H330" s="294">
        <f t="shared" si="28"/>
        <v>2.5396870819349715E-4</v>
      </c>
      <c r="I330" s="297">
        <f>VLOOKUP(A330,'Dados para Ke Alternativo'!$W:$X,2,0)</f>
        <v>106639</v>
      </c>
      <c r="J330" s="294">
        <f t="shared" si="29"/>
        <v>-1.1466869368534249E-2</v>
      </c>
    </row>
    <row r="331" spans="1:10" x14ac:dyDescent="0.3">
      <c r="A331" s="168">
        <v>44684</v>
      </c>
      <c r="B331" s="219">
        <f>VLOOKUP('Ke Alternativo'!A331,'Dados para Ke Alternativo'!$A:$B,2,0)</f>
        <v>25.79</v>
      </c>
      <c r="C331" s="294">
        <f t="shared" si="26"/>
        <v>2.7080844285145345E-2</v>
      </c>
      <c r="D331" s="296">
        <f>VLOOKUP(A331,'Dados para Ke Alternativo'!$P:$Q,2,0)</f>
        <v>4.9584000000000001</v>
      </c>
      <c r="E331" s="296">
        <f t="shared" si="25"/>
        <v>5.2012746047111964</v>
      </c>
      <c r="F331" s="294">
        <f t="shared" si="27"/>
        <v>5.3263285943269345E-2</v>
      </c>
      <c r="G331" s="296">
        <f>VLOOKUP($A331,'Dados para Ke Alternativo'!$I:$J,2,0)</f>
        <v>2809.82</v>
      </c>
      <c r="H331" s="294">
        <f t="shared" si="28"/>
        <v>4.824180264847211E-3</v>
      </c>
      <c r="I331" s="297">
        <f>VLOOKUP(A331,'Dados para Ke Alternativo'!$W:$X,2,0)</f>
        <v>106528</v>
      </c>
      <c r="J331" s="294">
        <f t="shared" si="29"/>
        <v>-1.0408949821359981E-3</v>
      </c>
    </row>
    <row r="332" spans="1:10" x14ac:dyDescent="0.3">
      <c r="A332" s="167">
        <v>44685</v>
      </c>
      <c r="B332" s="219">
        <f>VLOOKUP('Ke Alternativo'!A332,'Dados para Ke Alternativo'!$A:$B,2,0)</f>
        <v>27.29</v>
      </c>
      <c r="C332" s="294">
        <f t="shared" si="26"/>
        <v>5.8162078324932143E-2</v>
      </c>
      <c r="D332" s="296">
        <f>VLOOKUP(A332,'Dados para Ke Alternativo'!$P:$Q,2,0)</f>
        <v>4.9198000000000004</v>
      </c>
      <c r="E332" s="296">
        <f t="shared" si="25"/>
        <v>5.546973454205455</v>
      </c>
      <c r="F332" s="294">
        <f t="shared" si="27"/>
        <v>6.646425650765142E-2</v>
      </c>
      <c r="G332" s="296">
        <f>VLOOKUP($A332,'Dados para Ke Alternativo'!$I:$J,2,0)</f>
        <v>2864.43</v>
      </c>
      <c r="H332" s="294">
        <f t="shared" si="28"/>
        <v>1.9435408673865062E-2</v>
      </c>
      <c r="I332" s="297">
        <f>VLOOKUP(A332,'Dados para Ke Alternativo'!$W:$X,2,0)</f>
        <v>108344</v>
      </c>
      <c r="J332" s="294">
        <f t="shared" si="29"/>
        <v>1.7047161309702519E-2</v>
      </c>
    </row>
    <row r="333" spans="1:10" x14ac:dyDescent="0.3">
      <c r="A333" s="168">
        <v>44686</v>
      </c>
      <c r="B333" s="219">
        <f>VLOOKUP('Ke Alternativo'!A333,'Dados para Ke Alternativo'!$A:$B,2,0)</f>
        <v>26.51</v>
      </c>
      <c r="C333" s="294">
        <f t="shared" si="26"/>
        <v>-2.8581898131183503E-2</v>
      </c>
      <c r="D333" s="296">
        <f>VLOOKUP(A333,'Dados para Ke Alternativo'!$P:$Q,2,0)</f>
        <v>5.0279999999999996</v>
      </c>
      <c r="E333" s="296">
        <f t="shared" si="25"/>
        <v>5.2724741447891814</v>
      </c>
      <c r="F333" s="294">
        <f t="shared" si="27"/>
        <v>-4.9486321087071516E-2</v>
      </c>
      <c r="G333" s="296">
        <f>VLOOKUP($A333,'Dados para Ke Alternativo'!$I:$J,2,0)</f>
        <v>2784.12</v>
      </c>
      <c r="H333" s="294">
        <f t="shared" si="28"/>
        <v>-2.80369916527895E-2</v>
      </c>
      <c r="I333" s="297">
        <f>VLOOKUP(A333,'Dados para Ke Alternativo'!$W:$X,2,0)</f>
        <v>105304</v>
      </c>
      <c r="J333" s="294">
        <f t="shared" si="29"/>
        <v>-2.8058775751310661E-2</v>
      </c>
    </row>
    <row r="334" spans="1:10" x14ac:dyDescent="0.3">
      <c r="A334" s="167">
        <v>44687</v>
      </c>
      <c r="B334" s="219">
        <f>VLOOKUP('Ke Alternativo'!A334,'Dados para Ke Alternativo'!$A:$B,2,0)</f>
        <v>26.46</v>
      </c>
      <c r="C334" s="294">
        <f t="shared" si="26"/>
        <v>-1.8860807242550015E-3</v>
      </c>
      <c r="D334" s="296">
        <f>VLOOKUP(A334,'Dados para Ke Alternativo'!$P:$Q,2,0)</f>
        <v>5.0773999999999999</v>
      </c>
      <c r="E334" s="296">
        <f t="shared" si="25"/>
        <v>5.2113286327648014</v>
      </c>
      <c r="F334" s="294">
        <f t="shared" si="27"/>
        <v>-1.159711936848673E-2</v>
      </c>
      <c r="G334" s="296">
        <f>VLOOKUP($A334,'Dados para Ke Alternativo'!$I:$J,2,0)</f>
        <v>2762.21</v>
      </c>
      <c r="H334" s="294">
        <f t="shared" si="28"/>
        <v>-7.8696320560894817E-3</v>
      </c>
      <c r="I334" s="297">
        <f>VLOOKUP(A334,'Dados para Ke Alternativo'!$W:$X,2,0)</f>
        <v>105135</v>
      </c>
      <c r="J334" s="294">
        <f t="shared" si="29"/>
        <v>-1.604877307604613E-3</v>
      </c>
    </row>
    <row r="335" spans="1:10" x14ac:dyDescent="0.3">
      <c r="A335" s="168">
        <v>44690</v>
      </c>
      <c r="B335" s="219">
        <f>VLOOKUP('Ke Alternativo'!A335,'Dados para Ke Alternativo'!$A:$B,2,0)</f>
        <v>24.18</v>
      </c>
      <c r="C335" s="294">
        <f t="shared" si="26"/>
        <v>-8.6167800453514798E-2</v>
      </c>
      <c r="D335" s="296">
        <f>VLOOKUP(A335,'Dados para Ke Alternativo'!$P:$Q,2,0)</f>
        <v>5.1616999999999997</v>
      </c>
      <c r="E335" s="296">
        <f t="shared" si="25"/>
        <v>4.6845031675610747</v>
      </c>
      <c r="F335" s="294">
        <f t="shared" si="27"/>
        <v>-0.10109235136150418</v>
      </c>
      <c r="G335" s="296">
        <f>VLOOKUP($A335,'Dados para Ke Alternativo'!$I:$J,2,0)</f>
        <v>2671.83</v>
      </c>
      <c r="H335" s="294">
        <f t="shared" si="28"/>
        <v>-3.2720176959753267E-2</v>
      </c>
      <c r="I335" s="297">
        <f>VLOOKUP(A335,'Dados para Ke Alternativo'!$W:$X,2,0)</f>
        <v>103250</v>
      </c>
      <c r="J335" s="294">
        <f t="shared" si="29"/>
        <v>-1.7929328958006363E-2</v>
      </c>
    </row>
    <row r="336" spans="1:10" x14ac:dyDescent="0.3">
      <c r="A336" s="167">
        <v>44691</v>
      </c>
      <c r="B336" s="219">
        <f>VLOOKUP('Ke Alternativo'!A336,'Dados para Ke Alternativo'!$A:$B,2,0)</f>
        <v>24.23</v>
      </c>
      <c r="C336" s="294">
        <f t="shared" si="26"/>
        <v>2.0678246484697738E-3</v>
      </c>
      <c r="D336" s="296">
        <f>VLOOKUP(A336,'Dados para Ke Alternativo'!$P:$Q,2,0)</f>
        <v>5.1313000000000004</v>
      </c>
      <c r="E336" s="296">
        <f t="shared" si="25"/>
        <v>4.7220002728353432</v>
      </c>
      <c r="F336" s="294">
        <f t="shared" si="27"/>
        <v>8.0044999294537345E-3</v>
      </c>
      <c r="G336" s="296">
        <f>VLOOKUP($A336,'Dados para Ke Alternativo'!$I:$J,2,0)</f>
        <v>2677.25</v>
      </c>
      <c r="H336" s="294">
        <f t="shared" si="28"/>
        <v>2.0285721771220455E-3</v>
      </c>
      <c r="I336" s="297">
        <f>VLOOKUP(A336,'Dados para Ke Alternativo'!$W:$X,2,0)</f>
        <v>103110</v>
      </c>
      <c r="J336" s="294">
        <f t="shared" si="29"/>
        <v>-1.3559322033898091E-3</v>
      </c>
    </row>
    <row r="337" spans="1:10" x14ac:dyDescent="0.3">
      <c r="A337" s="168">
        <v>44692</v>
      </c>
      <c r="B337" s="219">
        <f>VLOOKUP('Ke Alternativo'!A337,'Dados para Ke Alternativo'!$A:$B,2,0)</f>
        <v>25.45</v>
      </c>
      <c r="C337" s="294">
        <f t="shared" si="26"/>
        <v>5.0350804787453463E-2</v>
      </c>
      <c r="D337" s="296">
        <f>VLOOKUP(A337,'Dados para Ke Alternativo'!$P:$Q,2,0)</f>
        <v>5.1372999999999998</v>
      </c>
      <c r="E337" s="296">
        <f t="shared" si="25"/>
        <v>4.9539641445895706</v>
      </c>
      <c r="F337" s="294">
        <f t="shared" si="27"/>
        <v>4.9124069960068795E-2</v>
      </c>
      <c r="G337" s="296">
        <f>VLOOKUP($A337,'Dados para Ke Alternativo'!$I:$J,2,0)</f>
        <v>2652.59</v>
      </c>
      <c r="H337" s="294">
        <f t="shared" si="28"/>
        <v>-9.2109440657390795E-3</v>
      </c>
      <c r="I337" s="297">
        <f>VLOOKUP(A337,'Dados para Ke Alternativo'!$W:$X,2,0)</f>
        <v>104397</v>
      </c>
      <c r="J337" s="294">
        <f t="shared" si="29"/>
        <v>1.2481815536805385E-2</v>
      </c>
    </row>
    <row r="338" spans="1:10" x14ac:dyDescent="0.3">
      <c r="A338" s="167">
        <v>44693</v>
      </c>
      <c r="B338" s="219">
        <f>VLOOKUP('Ke Alternativo'!A338,'Dados para Ke Alternativo'!$A:$B,2,0)</f>
        <v>26.1</v>
      </c>
      <c r="C338" s="294">
        <f t="shared" si="26"/>
        <v>2.5540275049116046E-2</v>
      </c>
      <c r="D338" s="296">
        <f>VLOOKUP(A338,'Dados para Ke Alternativo'!$P:$Q,2,0)</f>
        <v>5.1338999999999997</v>
      </c>
      <c r="E338" s="296">
        <f t="shared" si="25"/>
        <v>5.0838543797113314</v>
      </c>
      <c r="F338" s="294">
        <f t="shared" si="27"/>
        <v>2.6219454023222788E-2</v>
      </c>
      <c r="G338" s="296">
        <f>VLOOKUP($A338,'Dados para Ke Alternativo'!$I:$J,2,0)</f>
        <v>2639.75</v>
      </c>
      <c r="H338" s="294">
        <f t="shared" si="28"/>
        <v>-4.8405520642089694E-3</v>
      </c>
      <c r="I338" s="297">
        <f>VLOOKUP(A338,'Dados para Ke Alternativo'!$W:$X,2,0)</f>
        <v>105688</v>
      </c>
      <c r="J338" s="294">
        <f t="shared" si="29"/>
        <v>1.2366255735318132E-2</v>
      </c>
    </row>
    <row r="339" spans="1:10" x14ac:dyDescent="0.3">
      <c r="A339" s="168">
        <v>44694</v>
      </c>
      <c r="B339" s="219">
        <f>VLOOKUP('Ke Alternativo'!A339,'Dados para Ke Alternativo'!$A:$B,2,0)</f>
        <v>27.05</v>
      </c>
      <c r="C339" s="294">
        <f t="shared" si="26"/>
        <v>3.6398467432950055E-2</v>
      </c>
      <c r="D339" s="296">
        <f>VLOOKUP(A339,'Dados para Ke Alternativo'!$P:$Q,2,0)</f>
        <v>5.0602</v>
      </c>
      <c r="E339" s="296">
        <f t="shared" si="25"/>
        <v>5.3456385123117665</v>
      </c>
      <c r="F339" s="294">
        <f t="shared" si="27"/>
        <v>5.1493239783807487E-2</v>
      </c>
      <c r="G339" s="296">
        <f>VLOOKUP($A339,'Dados para Ke Alternativo'!$I:$J,2,0)</f>
        <v>2701.33</v>
      </c>
      <c r="H339" s="294">
        <f t="shared" si="28"/>
        <v>2.332796666350978E-2</v>
      </c>
      <c r="I339" s="297">
        <f>VLOOKUP(A339,'Dados para Ke Alternativo'!$W:$X,2,0)</f>
        <v>106924</v>
      </c>
      <c r="J339" s="294">
        <f t="shared" si="29"/>
        <v>1.1694799788055432E-2</v>
      </c>
    </row>
    <row r="340" spans="1:10" x14ac:dyDescent="0.3">
      <c r="A340" s="167">
        <v>44697</v>
      </c>
      <c r="B340" s="219">
        <f>VLOOKUP('Ke Alternativo'!A340,'Dados para Ke Alternativo'!$A:$B,2,0)</f>
        <v>27.02</v>
      </c>
      <c r="C340" s="294">
        <f t="shared" si="26"/>
        <v>-1.1090573012939586E-3</v>
      </c>
      <c r="D340" s="296">
        <f>VLOOKUP(A340,'Dados para Ke Alternativo'!$P:$Q,2,0)</f>
        <v>5.0598999999999998</v>
      </c>
      <c r="E340" s="296">
        <f t="shared" si="25"/>
        <v>5.3400264827368131</v>
      </c>
      <c r="F340" s="294">
        <f t="shared" si="27"/>
        <v>-1.0498333476960386E-3</v>
      </c>
      <c r="G340" s="296">
        <f>VLOOKUP($A340,'Dados para Ke Alternativo'!$I:$J,2,0)</f>
        <v>2693.95</v>
      </c>
      <c r="H340" s="294">
        <f t="shared" si="28"/>
        <v>-2.7319875764901802E-3</v>
      </c>
      <c r="I340" s="297">
        <f>VLOOKUP(A340,'Dados para Ke Alternativo'!$W:$X,2,0)</f>
        <v>108233</v>
      </c>
      <c r="J340" s="294">
        <f t="shared" si="29"/>
        <v>1.2242340353896264E-2</v>
      </c>
    </row>
    <row r="341" spans="1:10" x14ac:dyDescent="0.3">
      <c r="A341" s="168">
        <v>44698</v>
      </c>
      <c r="B341" s="219">
        <f>VLOOKUP('Ke Alternativo'!A341,'Dados para Ke Alternativo'!$A:$B,2,0)</f>
        <v>26.48</v>
      </c>
      <c r="C341" s="294">
        <f t="shared" si="26"/>
        <v>-1.9985196150999252E-2</v>
      </c>
      <c r="D341" s="296">
        <f>VLOOKUP(A341,'Dados para Ke Alternativo'!$P:$Q,2,0)</f>
        <v>4.9386999999999999</v>
      </c>
      <c r="E341" s="296">
        <f t="shared" si="25"/>
        <v>5.3617348695000713</v>
      </c>
      <c r="F341" s="294">
        <f t="shared" si="27"/>
        <v>4.0652208061957573E-3</v>
      </c>
      <c r="G341" s="296">
        <f>VLOOKUP($A341,'Dados para Ke Alternativo'!$I:$J,2,0)</f>
        <v>2746.82</v>
      </c>
      <c r="H341" s="294">
        <f t="shared" si="28"/>
        <v>1.9625457042632632E-2</v>
      </c>
      <c r="I341" s="297">
        <f>VLOOKUP(A341,'Dados para Ke Alternativo'!$W:$X,2,0)</f>
        <v>108789</v>
      </c>
      <c r="J341" s="294">
        <f t="shared" si="29"/>
        <v>5.137065405190544E-3</v>
      </c>
    </row>
    <row r="342" spans="1:10" x14ac:dyDescent="0.3">
      <c r="A342" s="167">
        <v>44699</v>
      </c>
      <c r="B342" s="219">
        <f>VLOOKUP('Ke Alternativo'!A342,'Dados para Ke Alternativo'!$A:$B,2,0)</f>
        <v>25.14</v>
      </c>
      <c r="C342" s="294">
        <f t="shared" si="26"/>
        <v>-5.060422960725075E-2</v>
      </c>
      <c r="D342" s="296">
        <f>VLOOKUP(A342,'Dados para Ke Alternativo'!$P:$Q,2,0)</f>
        <v>4.9682000000000004</v>
      </c>
      <c r="E342" s="296">
        <f t="shared" si="25"/>
        <v>5.0601827623686644</v>
      </c>
      <c r="F342" s="294">
        <f t="shared" si="27"/>
        <v>-5.6241517805509011E-2</v>
      </c>
      <c r="G342" s="296">
        <f>VLOOKUP($A342,'Dados para Ke Alternativo'!$I:$J,2,0)</f>
        <v>2665.06</v>
      </c>
      <c r="H342" s="294">
        <f t="shared" si="28"/>
        <v>-2.9765328634566601E-2</v>
      </c>
      <c r="I342" s="297">
        <f>VLOOKUP(A342,'Dados para Ke Alternativo'!$W:$X,2,0)</f>
        <v>106247</v>
      </c>
      <c r="J342" s="294">
        <f t="shared" si="29"/>
        <v>-2.3366332993225436E-2</v>
      </c>
    </row>
    <row r="343" spans="1:10" x14ac:dyDescent="0.3">
      <c r="A343" s="168">
        <v>44700</v>
      </c>
      <c r="B343" s="219">
        <f>VLOOKUP('Ke Alternativo'!A343,'Dados para Ke Alternativo'!$A:$B,2,0)</f>
        <v>24.83</v>
      </c>
      <c r="C343" s="294">
        <f t="shared" si="26"/>
        <v>-1.2330946698488554E-2</v>
      </c>
      <c r="D343" s="296">
        <f>VLOOKUP(A343,'Dados para Ke Alternativo'!$P:$Q,2,0)</f>
        <v>4.9309000000000003</v>
      </c>
      <c r="E343" s="296">
        <f t="shared" si="25"/>
        <v>5.0355918797785391</v>
      </c>
      <c r="F343" s="294">
        <f t="shared" si="27"/>
        <v>-4.8596826922935321E-3</v>
      </c>
      <c r="G343" s="296">
        <f>VLOOKUP($A343,'Dados para Ke Alternativo'!$I:$J,2,0)</f>
        <v>2651.55</v>
      </c>
      <c r="H343" s="294">
        <f t="shared" si="28"/>
        <v>-5.0693042558140888E-3</v>
      </c>
      <c r="I343" s="297">
        <f>VLOOKUP(A343,'Dados para Ke Alternativo'!$W:$X,2,0)</f>
        <v>107005</v>
      </c>
      <c r="J343" s="294">
        <f t="shared" si="29"/>
        <v>7.1343190866566264E-3</v>
      </c>
    </row>
    <row r="344" spans="1:10" x14ac:dyDescent="0.3">
      <c r="A344" s="167">
        <v>44701</v>
      </c>
      <c r="B344" s="219">
        <f>VLOOKUP('Ke Alternativo'!A344,'Dados para Ke Alternativo'!$A:$B,2,0)</f>
        <v>25.44</v>
      </c>
      <c r="C344" s="294">
        <f t="shared" si="26"/>
        <v>2.4567055980668773E-2</v>
      </c>
      <c r="D344" s="296">
        <f>VLOOKUP(A344,'Dados para Ke Alternativo'!$P:$Q,2,0)</f>
        <v>4.8788</v>
      </c>
      <c r="E344" s="296">
        <f t="shared" si="25"/>
        <v>5.2143969828646393</v>
      </c>
      <c r="F344" s="294">
        <f t="shared" si="27"/>
        <v>3.5508259476731752E-2</v>
      </c>
      <c r="G344" s="296">
        <f>VLOOKUP($A344,'Dados para Ke Alternativo'!$I:$J,2,0)</f>
        <v>2655.91</v>
      </c>
      <c r="H344" s="294">
        <f t="shared" si="28"/>
        <v>1.644321246063507E-3</v>
      </c>
      <c r="I344" s="297">
        <f>VLOOKUP(A344,'Dados para Ke Alternativo'!$W:$X,2,0)</f>
        <v>108488</v>
      </c>
      <c r="J344" s="294">
        <f t="shared" si="29"/>
        <v>1.3859165459557898E-2</v>
      </c>
    </row>
    <row r="345" spans="1:10" x14ac:dyDescent="0.3">
      <c r="A345" s="168">
        <v>44704</v>
      </c>
      <c r="B345" s="219">
        <f>VLOOKUP('Ke Alternativo'!A345,'Dados para Ke Alternativo'!$A:$B,2,0)</f>
        <v>26.13</v>
      </c>
      <c r="C345" s="294">
        <f t="shared" si="26"/>
        <v>2.7122641509433887E-2</v>
      </c>
      <c r="D345" s="296">
        <f>VLOOKUP(A345,'Dados para Ke Alternativo'!$P:$Q,2,0)</f>
        <v>4.8129999999999997</v>
      </c>
      <c r="E345" s="296">
        <f t="shared" si="25"/>
        <v>5.429046332848535</v>
      </c>
      <c r="F345" s="294">
        <f t="shared" si="27"/>
        <v>4.1164750342037371E-2</v>
      </c>
      <c r="G345" s="296">
        <f>VLOOKUP($A345,'Dados para Ke Alternativo'!$I:$J,2,0)</f>
        <v>2702.25</v>
      </c>
      <c r="H345" s="294">
        <f t="shared" si="28"/>
        <v>1.7447880387513104E-2</v>
      </c>
      <c r="I345" s="297">
        <f>VLOOKUP(A345,'Dados para Ke Alternativo'!$W:$X,2,0)</f>
        <v>110346</v>
      </c>
      <c r="J345" s="294">
        <f t="shared" si="29"/>
        <v>1.7126318118132922E-2</v>
      </c>
    </row>
    <row r="346" spans="1:10" x14ac:dyDescent="0.3">
      <c r="A346" s="167">
        <v>44705</v>
      </c>
      <c r="B346" s="219">
        <f>VLOOKUP('Ke Alternativo'!A346,'Dados para Ke Alternativo'!$A:$B,2,0)</f>
        <v>27.15</v>
      </c>
      <c r="C346" s="294">
        <f t="shared" si="26"/>
        <v>3.9035591274397152E-2</v>
      </c>
      <c r="D346" s="296">
        <f>VLOOKUP(A346,'Dados para Ke Alternativo'!$P:$Q,2,0)</f>
        <v>4.8190999999999997</v>
      </c>
      <c r="E346" s="296">
        <f t="shared" si="25"/>
        <v>5.6338320433275921</v>
      </c>
      <c r="F346" s="294">
        <f t="shared" si="27"/>
        <v>3.7720383640861055E-2</v>
      </c>
      <c r="G346" s="296">
        <f>VLOOKUP($A346,'Dados para Ke Alternativo'!$I:$J,2,0)</f>
        <v>2680.46</v>
      </c>
      <c r="H346" s="294">
        <f t="shared" si="28"/>
        <v>-8.0636506614857328E-3</v>
      </c>
      <c r="I346" s="297">
        <f>VLOOKUP(A346,'Dados para Ke Alternativo'!$W:$X,2,0)</f>
        <v>110581</v>
      </c>
      <c r="J346" s="294">
        <f t="shared" si="29"/>
        <v>2.1296648723108103E-3</v>
      </c>
    </row>
    <row r="347" spans="1:10" x14ac:dyDescent="0.3">
      <c r="A347" s="168">
        <v>44706</v>
      </c>
      <c r="B347" s="219">
        <f>VLOOKUP('Ke Alternativo'!A347,'Dados para Ke Alternativo'!$A:$B,2,0)</f>
        <v>27.43</v>
      </c>
      <c r="C347" s="294">
        <f t="shared" si="26"/>
        <v>1.0313075506445779E-2</v>
      </c>
      <c r="D347" s="296">
        <f>VLOOKUP(A347,'Dados para Ke Alternativo'!$P:$Q,2,0)</f>
        <v>4.8274999999999997</v>
      </c>
      <c r="E347" s="296">
        <f t="shared" si="25"/>
        <v>5.682030036250648</v>
      </c>
      <c r="F347" s="294">
        <f t="shared" si="27"/>
        <v>8.5550993626335448E-3</v>
      </c>
      <c r="G347" s="296">
        <f>VLOOKUP($A347,'Dados para Ke Alternativo'!$I:$J,2,0)</f>
        <v>2700.09</v>
      </c>
      <c r="H347" s="294">
        <f t="shared" si="28"/>
        <v>7.3233698693508931E-3</v>
      </c>
      <c r="I347" s="297">
        <f>VLOOKUP(A347,'Dados para Ke Alternativo'!$W:$X,2,0)</f>
        <v>110580</v>
      </c>
      <c r="J347" s="294">
        <f t="shared" si="29"/>
        <v>-9.043144844067541E-6</v>
      </c>
    </row>
    <row r="348" spans="1:10" x14ac:dyDescent="0.3">
      <c r="A348" s="167">
        <v>44707</v>
      </c>
      <c r="B348" s="219">
        <f>VLOOKUP('Ke Alternativo'!A348,'Dados para Ke Alternativo'!$A:$B,2,0)</f>
        <v>27.94</v>
      </c>
      <c r="C348" s="294">
        <f t="shared" si="26"/>
        <v>1.8592781625957011E-2</v>
      </c>
      <c r="D348" s="296">
        <f>VLOOKUP(A348,'Dados para Ke Alternativo'!$P:$Q,2,0)</f>
        <v>4.7676999999999996</v>
      </c>
      <c r="E348" s="296">
        <f t="shared" si="25"/>
        <v>5.8602680537785519</v>
      </c>
      <c r="F348" s="294">
        <f t="shared" si="27"/>
        <v>3.1368721458839177E-2</v>
      </c>
      <c r="G348" s="296">
        <f>VLOOKUP($A348,'Dados para Ke Alternativo'!$I:$J,2,0)</f>
        <v>2743.96</v>
      </c>
      <c r="H348" s="294">
        <f t="shared" si="28"/>
        <v>1.6247606561262673E-2</v>
      </c>
      <c r="I348" s="297">
        <f>VLOOKUP(A348,'Dados para Ke Alternativo'!$W:$X,2,0)</f>
        <v>111890</v>
      </c>
      <c r="J348" s="294">
        <f t="shared" si="29"/>
        <v>1.1846626876469424E-2</v>
      </c>
    </row>
    <row r="349" spans="1:10" x14ac:dyDescent="0.3">
      <c r="A349" s="168">
        <v>44708</v>
      </c>
      <c r="B349" s="219">
        <f>VLOOKUP('Ke Alternativo'!A349,'Dados para Ke Alternativo'!$A:$B,2,0)</f>
        <v>28.67</v>
      </c>
      <c r="C349" s="294">
        <f t="shared" si="26"/>
        <v>2.6127415891195493E-2</v>
      </c>
      <c r="D349" s="296">
        <f>VLOOKUP(A349,'Dados para Ke Alternativo'!$P:$Q,2,0)</f>
        <v>4.7294999999999998</v>
      </c>
      <c r="E349" s="296">
        <f t="shared" si="25"/>
        <v>6.0619515805053394</v>
      </c>
      <c r="F349" s="294">
        <f t="shared" si="27"/>
        <v>3.4415409820161225E-2</v>
      </c>
      <c r="G349" s="296">
        <f>VLOOKUP($A349,'Dados para Ke Alternativo'!$I:$J,2,0)</f>
        <v>2802.59</v>
      </c>
      <c r="H349" s="294">
        <f t="shared" si="28"/>
        <v>2.1366929547077973E-2</v>
      </c>
      <c r="I349" s="297">
        <f>VLOOKUP(A349,'Dados para Ke Alternativo'!$W:$X,2,0)</f>
        <v>111942</v>
      </c>
      <c r="J349" s="294">
        <f t="shared" si="29"/>
        <v>4.6474215747616121E-4</v>
      </c>
    </row>
    <row r="350" spans="1:10" x14ac:dyDescent="0.3">
      <c r="A350" s="167">
        <v>44711</v>
      </c>
      <c r="B350" s="219">
        <f>VLOOKUP('Ke Alternativo'!A350,'Dados para Ke Alternativo'!$A:$B,2,0)</f>
        <v>28.21</v>
      </c>
      <c r="C350" s="294">
        <f t="shared" si="26"/>
        <v>-1.6044645971398652E-2</v>
      </c>
      <c r="D350" s="296">
        <f>VLOOKUP(A350,'Dados para Ke Alternativo'!$P:$Q,2,0)</f>
        <v>4.7526000000000002</v>
      </c>
      <c r="E350" s="296">
        <f t="shared" si="25"/>
        <v>5.9356983545848587</v>
      </c>
      <c r="F350" s="294">
        <f t="shared" si="27"/>
        <v>-2.0827158423122216E-2</v>
      </c>
      <c r="G350" s="296">
        <f>VLOOKUP($A350,'Dados para Ke Alternativo'!$I:$J,2,0)</f>
        <v>2814.74</v>
      </c>
      <c r="H350" s="294">
        <f t="shared" si="28"/>
        <v>4.3352755843699686E-3</v>
      </c>
      <c r="I350" s="297">
        <f>VLOOKUP(A350,'Dados para Ke Alternativo'!$W:$X,2,0)</f>
        <v>111032</v>
      </c>
      <c r="J350" s="294">
        <f t="shared" si="29"/>
        <v>-8.1292097693448362E-3</v>
      </c>
    </row>
    <row r="351" spans="1:10" x14ac:dyDescent="0.3">
      <c r="A351" s="168">
        <v>44712</v>
      </c>
      <c r="B351" s="219">
        <f>VLOOKUP('Ke Alternativo'!A351,'Dados para Ke Alternativo'!$A:$B,2,0)</f>
        <v>27.95</v>
      </c>
      <c r="C351" s="294">
        <f t="shared" si="26"/>
        <v>-9.2165898617512232E-3</v>
      </c>
      <c r="D351" s="296">
        <f>VLOOKUP(A351,'Dados para Ke Alternativo'!$P:$Q,2,0)</f>
        <v>4.7314999999999996</v>
      </c>
      <c r="E351" s="296">
        <f t="shared" si="25"/>
        <v>5.9072175842755996</v>
      </c>
      <c r="F351" s="294">
        <f t="shared" si="27"/>
        <v>-4.7982172623816099E-3</v>
      </c>
      <c r="G351" s="296">
        <f>VLOOKUP($A351,'Dados para Ke Alternativo'!$I:$J,2,0)</f>
        <v>2791.01</v>
      </c>
      <c r="H351" s="294">
        <f t="shared" si="28"/>
        <v>-8.4306188138156823E-3</v>
      </c>
      <c r="I351" s="297">
        <f>VLOOKUP(A351,'Dados para Ke Alternativo'!$W:$X,2,0)</f>
        <v>111351</v>
      </c>
      <c r="J351" s="294">
        <f t="shared" si="29"/>
        <v>2.8730456084731237E-3</v>
      </c>
    </row>
    <row r="352" spans="1:10" x14ac:dyDescent="0.3">
      <c r="A352" s="167">
        <v>44713</v>
      </c>
      <c r="B352" s="219">
        <f>VLOOKUP('Ke Alternativo'!A352,'Dados para Ke Alternativo'!$A:$B,2,0)</f>
        <v>28.1</v>
      </c>
      <c r="C352" s="294">
        <f t="shared" si="26"/>
        <v>5.3667262969590013E-3</v>
      </c>
      <c r="D352" s="296">
        <f>VLOOKUP(A352,'Dados para Ke Alternativo'!$P:$Q,2,0)</f>
        <v>4.8151000000000002</v>
      </c>
      <c r="E352" s="296">
        <f t="shared" si="25"/>
        <v>5.8358081867458624</v>
      </c>
      <c r="F352" s="294">
        <f t="shared" si="27"/>
        <v>-1.2088499621178972E-2</v>
      </c>
      <c r="G352" s="296">
        <f>VLOOKUP($A352,'Dados para Ke Alternativo'!$I:$J,2,0)</f>
        <v>2770.43</v>
      </c>
      <c r="H352" s="294">
        <f t="shared" si="28"/>
        <v>-7.3736747628996291E-3</v>
      </c>
      <c r="I352" s="297">
        <f>VLOOKUP(A352,'Dados para Ke Alternativo'!$W:$X,2,0)</f>
        <v>111360</v>
      </c>
      <c r="J352" s="294">
        <f t="shared" si="29"/>
        <v>8.0825497750458553E-5</v>
      </c>
    </row>
    <row r="353" spans="1:10" x14ac:dyDescent="0.3">
      <c r="A353" s="168">
        <v>44714</v>
      </c>
      <c r="B353" s="219">
        <f>VLOOKUP('Ke Alternativo'!A353,'Dados para Ke Alternativo'!$A:$B,2,0)</f>
        <v>28.65</v>
      </c>
      <c r="C353" s="294">
        <f t="shared" si="26"/>
        <v>1.9572953736654686E-2</v>
      </c>
      <c r="D353" s="296">
        <f>VLOOKUP(A353,'Dados para Ke Alternativo'!$P:$Q,2,0)</f>
        <v>4.7961999999999998</v>
      </c>
      <c r="E353" s="296">
        <f t="shared" si="25"/>
        <v>5.9734790042116677</v>
      </c>
      <c r="F353" s="294">
        <f t="shared" si="27"/>
        <v>2.3590702960128107E-2</v>
      </c>
      <c r="G353" s="296">
        <f>VLOOKUP($A353,'Dados para Ke Alternativo'!$I:$J,2,0)</f>
        <v>2814.03</v>
      </c>
      <c r="H353" s="294">
        <f t="shared" si="28"/>
        <v>1.5737629176698409E-2</v>
      </c>
      <c r="I353" s="297">
        <f>VLOOKUP(A353,'Dados para Ke Alternativo'!$W:$X,2,0)</f>
        <v>112393</v>
      </c>
      <c r="J353" s="294">
        <f t="shared" si="29"/>
        <v>9.2762212643677788E-3</v>
      </c>
    </row>
    <row r="354" spans="1:10" x14ac:dyDescent="0.3">
      <c r="A354" s="167">
        <v>44715</v>
      </c>
      <c r="B354" s="219">
        <f>VLOOKUP('Ke Alternativo'!A354,'Dados para Ke Alternativo'!$A:$B,2,0)</f>
        <v>27.77</v>
      </c>
      <c r="C354" s="294">
        <f t="shared" si="26"/>
        <v>-3.0715532286212932E-2</v>
      </c>
      <c r="D354" s="296">
        <f>VLOOKUP(A354,'Dados para Ke Alternativo'!$P:$Q,2,0)</f>
        <v>4.7733999999999996</v>
      </c>
      <c r="E354" s="296">
        <f t="shared" si="25"/>
        <v>5.8176561779863416</v>
      </c>
      <c r="F354" s="294">
        <f t="shared" si="27"/>
        <v>-2.6085774490118951E-2</v>
      </c>
      <c r="G354" s="296">
        <f>VLOOKUP($A354,'Dados para Ke Alternativo'!$I:$J,2,0)</f>
        <v>2779.06</v>
      </c>
      <c r="H354" s="294">
        <f t="shared" si="28"/>
        <v>-1.2427017480268643E-2</v>
      </c>
      <c r="I354" s="297">
        <f>VLOOKUP(A354,'Dados para Ke Alternativo'!$W:$X,2,0)</f>
        <v>111102</v>
      </c>
      <c r="J354" s="294">
        <f t="shared" si="29"/>
        <v>-1.1486480474762639E-2</v>
      </c>
    </row>
    <row r="355" spans="1:10" x14ac:dyDescent="0.3">
      <c r="A355" s="168">
        <v>44718</v>
      </c>
      <c r="B355" s="219">
        <f>VLOOKUP('Ke Alternativo'!A355,'Dados para Ke Alternativo'!$A:$B,2,0)</f>
        <v>27.02</v>
      </c>
      <c r="C355" s="294">
        <f t="shared" si="26"/>
        <v>-2.7007562117392858E-2</v>
      </c>
      <c r="D355" s="296">
        <f>VLOOKUP(A355,'Dados para Ke Alternativo'!$P:$Q,2,0)</f>
        <v>4.7945000000000002</v>
      </c>
      <c r="E355" s="296">
        <f t="shared" si="25"/>
        <v>5.6356241526749393</v>
      </c>
      <c r="F355" s="294">
        <f t="shared" si="27"/>
        <v>-3.1289581189105076E-2</v>
      </c>
      <c r="G355" s="296">
        <f>VLOOKUP($A355,'Dados para Ke Alternativo'!$I:$J,2,0)</f>
        <v>2789.83</v>
      </c>
      <c r="H355" s="294">
        <f t="shared" si="28"/>
        <v>3.8754111102314859E-3</v>
      </c>
      <c r="I355" s="297">
        <f>VLOOKUP(A355,'Dados para Ke Alternativo'!$W:$X,2,0)</f>
        <v>110186</v>
      </c>
      <c r="J355" s="294">
        <f t="shared" si="29"/>
        <v>-8.2446760634371508E-3</v>
      </c>
    </row>
    <row r="356" spans="1:10" x14ac:dyDescent="0.3">
      <c r="A356" s="167">
        <v>44719</v>
      </c>
      <c r="B356" s="219">
        <f>VLOOKUP('Ke Alternativo'!A356,'Dados para Ke Alternativo'!$A:$B,2,0)</f>
        <v>27.27</v>
      </c>
      <c r="C356" s="294">
        <f t="shared" si="26"/>
        <v>9.2524056254625897E-3</v>
      </c>
      <c r="D356" s="296">
        <f>VLOOKUP(A356,'Dados para Ke Alternativo'!$P:$Q,2,0)</f>
        <v>4.8696000000000002</v>
      </c>
      <c r="E356" s="296">
        <f t="shared" si="25"/>
        <v>5.600049285362247</v>
      </c>
      <c r="F356" s="294">
        <f t="shared" si="27"/>
        <v>-6.3124981987676687E-3</v>
      </c>
      <c r="G356" s="296">
        <f>VLOOKUP($A356,'Dados para Ke Alternativo'!$I:$J,2,0)</f>
        <v>2805.32</v>
      </c>
      <c r="H356" s="294">
        <f t="shared" si="28"/>
        <v>5.5523096389387128E-3</v>
      </c>
      <c r="I356" s="297">
        <f>VLOOKUP(A356,'Dados para Ke Alternativo'!$W:$X,2,0)</f>
        <v>110070</v>
      </c>
      <c r="J356" s="294">
        <f t="shared" si="29"/>
        <v>-1.0527653240883783E-3</v>
      </c>
    </row>
    <row r="357" spans="1:10" x14ac:dyDescent="0.3">
      <c r="A357" s="168">
        <v>44720</v>
      </c>
      <c r="B357" s="219">
        <f>VLOOKUP('Ke Alternativo'!A357,'Dados para Ke Alternativo'!$A:$B,2,0)</f>
        <v>27.76</v>
      </c>
      <c r="C357" s="294">
        <f t="shared" si="26"/>
        <v>1.7968463513017952E-2</v>
      </c>
      <c r="D357" s="296">
        <f>VLOOKUP(A357,'Dados para Ke Alternativo'!$P:$Q,2,0)</f>
        <v>4.8987999999999996</v>
      </c>
      <c r="E357" s="296">
        <f t="shared" si="25"/>
        <v>5.666693884216544</v>
      </c>
      <c r="F357" s="294">
        <f t="shared" si="27"/>
        <v>1.1900716486280993E-2</v>
      </c>
      <c r="G357" s="296">
        <f>VLOOKUP($A357,'Dados para Ke Alternativo'!$I:$J,2,0)</f>
        <v>2783.29</v>
      </c>
      <c r="H357" s="294">
        <f t="shared" si="28"/>
        <v>-7.8529365633868142E-3</v>
      </c>
      <c r="I357" s="297">
        <f>VLOOKUP(A357,'Dados para Ke Alternativo'!$W:$X,2,0)</f>
        <v>108368</v>
      </c>
      <c r="J357" s="294">
        <f t="shared" si="29"/>
        <v>-1.5462887253565927E-2</v>
      </c>
    </row>
    <row r="358" spans="1:10" x14ac:dyDescent="0.3">
      <c r="A358" s="167">
        <v>44721</v>
      </c>
      <c r="B358" s="219">
        <f>VLOOKUP('Ke Alternativo'!A358,'Dados para Ke Alternativo'!$A:$B,2,0)</f>
        <v>27.18</v>
      </c>
      <c r="C358" s="294">
        <f t="shared" si="26"/>
        <v>-2.0893371757925161E-2</v>
      </c>
      <c r="D358" s="296">
        <f>VLOOKUP(A358,'Dados para Ke Alternativo'!$P:$Q,2,0)</f>
        <v>4.9062999999999999</v>
      </c>
      <c r="E358" s="296">
        <f t="shared" si="25"/>
        <v>5.5398161547398246</v>
      </c>
      <c r="F358" s="294">
        <f t="shared" si="27"/>
        <v>-2.2390080012988256E-2</v>
      </c>
      <c r="G358" s="296">
        <f>VLOOKUP($A358,'Dados para Ke Alternativo'!$I:$J,2,0)</f>
        <v>2721.85</v>
      </c>
      <c r="H358" s="294">
        <f t="shared" si="28"/>
        <v>-2.2074595173338096E-2</v>
      </c>
      <c r="I358" s="297">
        <f>VLOOKUP(A358,'Dados para Ke Alternativo'!$W:$X,2,0)</f>
        <v>107094</v>
      </c>
      <c r="J358" s="294">
        <f t="shared" si="29"/>
        <v>-1.1756238003838737E-2</v>
      </c>
    </row>
    <row r="359" spans="1:10" x14ac:dyDescent="0.3">
      <c r="A359" s="168">
        <v>44722</v>
      </c>
      <c r="B359" s="219">
        <f>VLOOKUP('Ke Alternativo'!A359,'Dados para Ke Alternativo'!$A:$B,2,0)</f>
        <v>27.06</v>
      </c>
      <c r="C359" s="294">
        <f t="shared" si="26"/>
        <v>-4.4150110375276164E-3</v>
      </c>
      <c r="D359" s="296">
        <f>VLOOKUP(A359,'Dados para Ke Alternativo'!$P:$Q,2,0)</f>
        <v>4.9865000000000004</v>
      </c>
      <c r="E359" s="296">
        <f t="shared" si="25"/>
        <v>5.4266519602927898</v>
      </c>
      <c r="F359" s="294">
        <f t="shared" si="27"/>
        <v>-2.0427427785705943E-2</v>
      </c>
      <c r="G359" s="296">
        <f>VLOOKUP($A359,'Dados para Ke Alternativo'!$I:$J,2,0)</f>
        <v>2641.69</v>
      </c>
      <c r="H359" s="294">
        <f t="shared" si="28"/>
        <v>-2.9450557525212528E-2</v>
      </c>
      <c r="I359" s="297">
        <f>VLOOKUP(A359,'Dados para Ke Alternativo'!$W:$X,2,0)</f>
        <v>105481</v>
      </c>
      <c r="J359" s="294">
        <f t="shared" si="29"/>
        <v>-1.5061534726501957E-2</v>
      </c>
    </row>
    <row r="360" spans="1:10" x14ac:dyDescent="0.3">
      <c r="A360" s="167">
        <v>44725</v>
      </c>
      <c r="B360" s="219">
        <f>VLOOKUP('Ke Alternativo'!A360,'Dados para Ke Alternativo'!$A:$B,2,0)</f>
        <v>25.99</v>
      </c>
      <c r="C360" s="294">
        <f t="shared" si="26"/>
        <v>-3.9541759053954184E-2</v>
      </c>
      <c r="D360" s="296">
        <f>VLOOKUP(A360,'Dados para Ke Alternativo'!$P:$Q,2,0)</f>
        <v>5.1154000000000002</v>
      </c>
      <c r="E360" s="296">
        <f t="shared" si="25"/>
        <v>5.0807365992884224</v>
      </c>
      <c r="F360" s="294">
        <f t="shared" si="27"/>
        <v>-6.3743789639626014E-2</v>
      </c>
      <c r="G360" s="296">
        <f>VLOOKUP($A360,'Dados para Ke Alternativo'!$I:$J,2,0)</f>
        <v>2545.04</v>
      </c>
      <c r="H360" s="294">
        <f t="shared" si="28"/>
        <v>-3.6586427627768647E-2</v>
      </c>
      <c r="I360" s="297">
        <f>VLOOKUP(A360,'Dados para Ke Alternativo'!$W:$X,2,0)</f>
        <v>102598</v>
      </c>
      <c r="J360" s="294">
        <f t="shared" si="29"/>
        <v>-2.7331936557294711E-2</v>
      </c>
    </row>
    <row r="361" spans="1:10" x14ac:dyDescent="0.3">
      <c r="A361" s="168">
        <v>44726</v>
      </c>
      <c r="B361" s="219">
        <f>VLOOKUP('Ke Alternativo'!A361,'Dados para Ke Alternativo'!$A:$B,2,0)</f>
        <v>25.6</v>
      </c>
      <c r="C361" s="294">
        <f t="shared" si="26"/>
        <v>-1.5005771450557814E-2</v>
      </c>
      <c r="D361" s="296">
        <f>VLOOKUP(A361,'Dados para Ke Alternativo'!$P:$Q,2,0)</f>
        <v>5.1167999999999996</v>
      </c>
      <c r="E361" s="296">
        <f t="shared" si="25"/>
        <v>5.0031269543464676</v>
      </c>
      <c r="F361" s="294">
        <f t="shared" si="27"/>
        <v>-1.527527424917563E-2</v>
      </c>
      <c r="G361" s="296">
        <f>VLOOKUP($A361,'Dados para Ke Alternativo'!$I:$J,2,0)</f>
        <v>2525.88</v>
      </c>
      <c r="H361" s="294">
        <f t="shared" si="28"/>
        <v>-7.5283689057932257E-3</v>
      </c>
      <c r="I361" s="297">
        <f>VLOOKUP(A361,'Dados para Ke Alternativo'!$W:$X,2,0)</f>
        <v>102063</v>
      </c>
      <c r="J361" s="294">
        <f t="shared" si="29"/>
        <v>-5.2145265989590461E-3</v>
      </c>
    </row>
    <row r="362" spans="1:10" x14ac:dyDescent="0.3">
      <c r="A362" s="167">
        <v>44727</v>
      </c>
      <c r="B362" s="219">
        <f>VLOOKUP('Ke Alternativo'!A362,'Dados para Ke Alternativo'!$A:$B,2,0)</f>
        <v>25.22</v>
      </c>
      <c r="C362" s="294">
        <f t="shared" si="26"/>
        <v>-1.4843750000000044E-2</v>
      </c>
      <c r="D362" s="296">
        <f>VLOOKUP(A362,'Dados para Ke Alternativo'!$P:$Q,2,0)</f>
        <v>5.0536000000000003</v>
      </c>
      <c r="E362" s="296">
        <f t="shared" si="25"/>
        <v>4.9905018204844067</v>
      </c>
      <c r="F362" s="294">
        <f t="shared" si="27"/>
        <v>-2.5234486306794368E-3</v>
      </c>
      <c r="G362" s="296">
        <f>VLOOKUP($A362,'Dados para Ke Alternativo'!$I:$J,2,0)</f>
        <v>2556.67</v>
      </c>
      <c r="H362" s="294">
        <f t="shared" si="28"/>
        <v>1.2189811075743906E-2</v>
      </c>
      <c r="I362" s="297">
        <f>VLOOKUP(A362,'Dados para Ke Alternativo'!$W:$X,2,0)</f>
        <v>102807</v>
      </c>
      <c r="J362" s="294">
        <f t="shared" si="29"/>
        <v>7.2896152376473733E-3</v>
      </c>
    </row>
    <row r="363" spans="1:10" x14ac:dyDescent="0.3">
      <c r="A363" s="168">
        <v>44729</v>
      </c>
      <c r="B363" s="219">
        <f>VLOOKUP('Ke Alternativo'!A363,'Dados para Ke Alternativo'!$A:$B,2,0)</f>
        <v>23</v>
      </c>
      <c r="C363" s="294">
        <f t="shared" si="26"/>
        <v>-8.8025376685170409E-2</v>
      </c>
      <c r="D363" s="296">
        <f>VLOOKUP(A363,'Dados para Ke Alternativo'!$P:$Q,2,0)</f>
        <v>5.1517999999999997</v>
      </c>
      <c r="E363" s="296">
        <f t="shared" si="25"/>
        <v>4.464459024030436</v>
      </c>
      <c r="F363" s="294">
        <f t="shared" si="27"/>
        <v>-0.10540879762727151</v>
      </c>
      <c r="G363" s="296">
        <f>VLOOKUP($A363,'Dados para Ke Alternativo'!$I:$J,2,0)</f>
        <v>2485.77</v>
      </c>
      <c r="H363" s="294">
        <f t="shared" si="28"/>
        <v>-2.7731384965599792E-2</v>
      </c>
      <c r="I363" s="297">
        <f>VLOOKUP(A363,'Dados para Ke Alternativo'!$W:$X,2,0)</f>
        <v>99825</v>
      </c>
      <c r="J363" s="294">
        <f t="shared" si="29"/>
        <v>-2.9005806997577932E-2</v>
      </c>
    </row>
    <row r="364" spans="1:10" x14ac:dyDescent="0.3">
      <c r="A364" s="167">
        <v>44732</v>
      </c>
      <c r="B364" s="219">
        <f>VLOOKUP('Ke Alternativo'!A364,'Dados para Ke Alternativo'!$A:$B,2,0)</f>
        <v>22.8</v>
      </c>
      <c r="C364" s="294">
        <f t="shared" si="26"/>
        <v>-8.6956521739129933E-3</v>
      </c>
      <c r="D364" s="296">
        <f>VLOOKUP(A364,'Dados para Ke Alternativo'!$P:$Q,2,0)</f>
        <v>5.1879999999999997</v>
      </c>
      <c r="E364" s="296">
        <f t="shared" si="25"/>
        <v>4.3947571318427148</v>
      </c>
      <c r="F364" s="294">
        <f t="shared" si="27"/>
        <v>-1.5612617746639246E-2</v>
      </c>
      <c r="G364" s="296">
        <f>VLOOKUP($A364,'Dados para Ke Alternativo'!$I:$J,2,0)</f>
        <v>2494.9899999999998</v>
      </c>
      <c r="H364" s="294">
        <f t="shared" si="28"/>
        <v>3.7091122670238619E-3</v>
      </c>
      <c r="I364" s="297">
        <f>VLOOKUP(A364,'Dados para Ke Alternativo'!$W:$X,2,0)</f>
        <v>99853</v>
      </c>
      <c r="J364" s="294">
        <f t="shared" si="29"/>
        <v>2.8049085900327952E-4</v>
      </c>
    </row>
    <row r="365" spans="1:10" x14ac:dyDescent="0.3">
      <c r="A365" s="168">
        <v>44733</v>
      </c>
      <c r="B365" s="219">
        <f>VLOOKUP('Ke Alternativo'!A365,'Dados para Ke Alternativo'!$A:$B,2,0)</f>
        <v>22.69</v>
      </c>
      <c r="C365" s="294">
        <f t="shared" si="26"/>
        <v>-4.8245614035087314E-3</v>
      </c>
      <c r="D365" s="296">
        <f>VLOOKUP(A365,'Dados para Ke Alternativo'!$P:$Q,2,0)</f>
        <v>5.1257000000000001</v>
      </c>
      <c r="E365" s="296">
        <f t="shared" si="25"/>
        <v>4.4267124490313519</v>
      </c>
      <c r="F365" s="294">
        <f t="shared" si="27"/>
        <v>7.2712362094145E-3</v>
      </c>
      <c r="G365" s="296">
        <f>VLOOKUP($A365,'Dados para Ke Alternativo'!$I:$J,2,0)</f>
        <v>2543.36</v>
      </c>
      <c r="H365" s="294">
        <f t="shared" si="28"/>
        <v>1.9386851249904913E-2</v>
      </c>
      <c r="I365" s="297">
        <f>VLOOKUP(A365,'Dados para Ke Alternativo'!$W:$X,2,0)</f>
        <v>99685</v>
      </c>
      <c r="J365" s="294">
        <f t="shared" si="29"/>
        <v>-1.6824732356564009E-3</v>
      </c>
    </row>
    <row r="366" spans="1:10" x14ac:dyDescent="0.3">
      <c r="A366" s="167">
        <v>44734</v>
      </c>
      <c r="B366" s="219">
        <f>VLOOKUP('Ke Alternativo'!A366,'Dados para Ke Alternativo'!$A:$B,2,0)</f>
        <v>21.24</v>
      </c>
      <c r="C366" s="294">
        <f t="shared" si="26"/>
        <v>-6.3904803878360616E-2</v>
      </c>
      <c r="D366" s="296">
        <f>VLOOKUP(A366,'Dados para Ke Alternativo'!$P:$Q,2,0)</f>
        <v>5.194</v>
      </c>
      <c r="E366" s="296">
        <f t="shared" si="25"/>
        <v>4.0893338467462454</v>
      </c>
      <c r="F366" s="294">
        <f t="shared" si="27"/>
        <v>-7.6214257458473766E-2</v>
      </c>
      <c r="G366" s="296">
        <f>VLOOKUP($A366,'Dados para Ke Alternativo'!$I:$J,2,0)</f>
        <v>2537.2600000000002</v>
      </c>
      <c r="H366" s="294">
        <f t="shared" si="28"/>
        <v>-2.3984021137393174E-3</v>
      </c>
      <c r="I366" s="297">
        <f>VLOOKUP(A366,'Dados para Ke Alternativo'!$W:$X,2,0)</f>
        <v>99522</v>
      </c>
      <c r="J366" s="294">
        <f t="shared" si="29"/>
        <v>-1.635150724783041E-3</v>
      </c>
    </row>
    <row r="367" spans="1:10" x14ac:dyDescent="0.3">
      <c r="A367" s="168">
        <v>44735</v>
      </c>
      <c r="B367" s="219">
        <f>VLOOKUP('Ke Alternativo'!A367,'Dados para Ke Alternativo'!$A:$B,2,0)</f>
        <v>20.440000000000001</v>
      </c>
      <c r="C367" s="294">
        <f t="shared" si="26"/>
        <v>-3.766478342749513E-2</v>
      </c>
      <c r="D367" s="296">
        <f>VLOOKUP(A367,'Dados para Ke Alternativo'!$P:$Q,2,0)</f>
        <v>5.2405999999999997</v>
      </c>
      <c r="E367" s="296">
        <f t="shared" si="25"/>
        <v>3.9003167576231732</v>
      </c>
      <c r="F367" s="294">
        <f t="shared" si="27"/>
        <v>-4.622197556051022E-2</v>
      </c>
      <c r="G367" s="296">
        <f>VLOOKUP($A367,'Dados para Ke Alternativo'!$I:$J,2,0)</f>
        <v>2549.0500000000002</v>
      </c>
      <c r="H367" s="294">
        <f t="shared" si="28"/>
        <v>4.646744913804568E-3</v>
      </c>
      <c r="I367" s="297">
        <f>VLOOKUP(A367,'Dados para Ke Alternativo'!$W:$X,2,0)</f>
        <v>98080</v>
      </c>
      <c r="J367" s="294">
        <f t="shared" si="29"/>
        <v>-1.4489258656377513E-2</v>
      </c>
    </row>
    <row r="368" spans="1:10" x14ac:dyDescent="0.3">
      <c r="A368" s="167">
        <v>44736</v>
      </c>
      <c r="B368" s="219">
        <f>VLOOKUP('Ke Alternativo'!A368,'Dados para Ke Alternativo'!$A:$B,2,0)</f>
        <v>21.5</v>
      </c>
      <c r="C368" s="294">
        <f t="shared" si="26"/>
        <v>5.1859099804305142E-2</v>
      </c>
      <c r="D368" s="296">
        <f>VLOOKUP(A368,'Dados para Ke Alternativo'!$P:$Q,2,0)</f>
        <v>5.2416999999999998</v>
      </c>
      <c r="E368" s="296">
        <f t="shared" si="25"/>
        <v>4.1017227235438884</v>
      </c>
      <c r="F368" s="294">
        <f t="shared" si="27"/>
        <v>5.1638361301570512E-2</v>
      </c>
      <c r="G368" s="296">
        <f>VLOOKUP($A368,'Dados para Ke Alternativo'!$I:$J,2,0)</f>
        <v>2619.48</v>
      </c>
      <c r="H368" s="294">
        <f t="shared" si="28"/>
        <v>2.7629901335791685E-2</v>
      </c>
      <c r="I368" s="297">
        <f>VLOOKUP(A368,'Dados para Ke Alternativo'!$W:$X,2,0)</f>
        <v>98672</v>
      </c>
      <c r="J368" s="294">
        <f t="shared" si="29"/>
        <v>6.0358890701468493E-3</v>
      </c>
    </row>
    <row r="369" spans="1:10" x14ac:dyDescent="0.3">
      <c r="A369" s="168">
        <v>44739</v>
      </c>
      <c r="B369" s="219">
        <f>VLOOKUP('Ke Alternativo'!A369,'Dados para Ke Alternativo'!$A:$B,2,0)</f>
        <v>22.63</v>
      </c>
      <c r="C369" s="294">
        <f t="shared" si="26"/>
        <v>5.2558139534883752E-2</v>
      </c>
      <c r="D369" s="296">
        <f>VLOOKUP(A369,'Dados para Ke Alternativo'!$P:$Q,2,0)</f>
        <v>5.2366000000000001</v>
      </c>
      <c r="E369" s="296">
        <f t="shared" si="25"/>
        <v>4.3215063208952369</v>
      </c>
      <c r="F369" s="294">
        <f t="shared" si="27"/>
        <v>5.3583241034258711E-2</v>
      </c>
      <c r="G369" s="296">
        <f>VLOOKUP($A369,'Dados para Ke Alternativo'!$I:$J,2,0)</f>
        <v>2623.2</v>
      </c>
      <c r="H369" s="294">
        <f t="shared" si="28"/>
        <v>1.4201291859452514E-3</v>
      </c>
      <c r="I369" s="297">
        <f>VLOOKUP(A369,'Dados para Ke Alternativo'!$W:$X,2,0)</f>
        <v>100764</v>
      </c>
      <c r="J369" s="294">
        <f t="shared" si="29"/>
        <v>2.1201556672612254E-2</v>
      </c>
    </row>
    <row r="370" spans="1:10" x14ac:dyDescent="0.3">
      <c r="A370" s="167">
        <v>44740</v>
      </c>
      <c r="B370" s="219">
        <f>VLOOKUP('Ke Alternativo'!A370,'Dados para Ke Alternativo'!$A:$B,2,0)</f>
        <v>22.62</v>
      </c>
      <c r="C370" s="294">
        <f t="shared" si="26"/>
        <v>-4.4189129474137001E-4</v>
      </c>
      <c r="D370" s="296">
        <f>VLOOKUP(A370,'Dados para Ke Alternativo'!$P:$Q,2,0)</f>
        <v>5.2675000000000001</v>
      </c>
      <c r="E370" s="296">
        <f t="shared" si="25"/>
        <v>4.2942572377788322</v>
      </c>
      <c r="F370" s="294">
        <f t="shared" si="27"/>
        <v>-6.3054595071747599E-3</v>
      </c>
      <c r="G370" s="296">
        <f>VLOOKUP($A370,'Dados para Ke Alternativo'!$I:$J,2,0)</f>
        <v>2584.2600000000002</v>
      </c>
      <c r="H370" s="294">
        <f t="shared" si="28"/>
        <v>-1.4844464775846111E-2</v>
      </c>
      <c r="I370" s="297">
        <f>VLOOKUP(A370,'Dados para Ke Alternativo'!$W:$X,2,0)</f>
        <v>100591</v>
      </c>
      <c r="J370" s="294">
        <f t="shared" si="29"/>
        <v>-1.716883013774706E-3</v>
      </c>
    </row>
    <row r="371" spans="1:10" x14ac:dyDescent="0.3">
      <c r="A371" s="168">
        <v>44741</v>
      </c>
      <c r="B371" s="219">
        <f>VLOOKUP('Ke Alternativo'!A371,'Dados para Ke Alternativo'!$A:$B,2,0)</f>
        <v>22.43</v>
      </c>
      <c r="C371" s="294">
        <f t="shared" si="26"/>
        <v>-8.3996463306809099E-3</v>
      </c>
      <c r="D371" s="296">
        <f>VLOOKUP(A371,'Dados para Ke Alternativo'!$P:$Q,2,0)</f>
        <v>5.1818</v>
      </c>
      <c r="E371" s="296">
        <f t="shared" si="25"/>
        <v>4.3286116793392253</v>
      </c>
      <c r="F371" s="294">
        <f t="shared" si="27"/>
        <v>8.000089342147243E-3</v>
      </c>
      <c r="G371" s="296">
        <f>VLOOKUP($A371,'Dados para Ke Alternativo'!$I:$J,2,0)</f>
        <v>2574.4499999999998</v>
      </c>
      <c r="H371" s="294">
        <f t="shared" si="28"/>
        <v>-3.7960576722158024E-3</v>
      </c>
      <c r="I371" s="297">
        <f>VLOOKUP(A371,'Dados para Ke Alternativo'!$W:$X,2,0)</f>
        <v>99622</v>
      </c>
      <c r="J371" s="294">
        <f t="shared" si="29"/>
        <v>-9.6330685647821879E-3</v>
      </c>
    </row>
    <row r="372" spans="1:10" x14ac:dyDescent="0.3">
      <c r="A372" s="167">
        <v>44742</v>
      </c>
      <c r="B372" s="219">
        <f>VLOOKUP('Ke Alternativo'!A372,'Dados para Ke Alternativo'!$A:$B,2,0)</f>
        <v>21.95</v>
      </c>
      <c r="C372" s="294">
        <f t="shared" si="26"/>
        <v>-2.1399910833704849E-2</v>
      </c>
      <c r="D372" s="296">
        <f>VLOOKUP(A372,'Dados para Ke Alternativo'!$P:$Q,2,0)</f>
        <v>5.2561999999999998</v>
      </c>
      <c r="E372" s="296">
        <f t="shared" si="25"/>
        <v>4.1760206993645603</v>
      </c>
      <c r="F372" s="294">
        <f t="shared" si="27"/>
        <v>-3.525171377765135E-2</v>
      </c>
      <c r="G372" s="296">
        <f>VLOOKUP($A372,'Dados para Ke Alternativo'!$I:$J,2,0)</f>
        <v>2546.19</v>
      </c>
      <c r="H372" s="294">
        <f t="shared" si="28"/>
        <v>-1.0977101905261244E-2</v>
      </c>
      <c r="I372" s="297">
        <f>VLOOKUP(A372,'Dados para Ke Alternativo'!$W:$X,2,0)</f>
        <v>98542</v>
      </c>
      <c r="J372" s="294">
        <f t="shared" si="29"/>
        <v>-1.0840978900242937E-2</v>
      </c>
    </row>
    <row r="373" spans="1:10" x14ac:dyDescent="0.3">
      <c r="A373" s="168">
        <v>44743</v>
      </c>
      <c r="B373" s="219">
        <f>VLOOKUP('Ke Alternativo'!A373,'Dados para Ke Alternativo'!$A:$B,2,0)</f>
        <v>22.06</v>
      </c>
      <c r="C373" s="294">
        <f t="shared" si="26"/>
        <v>5.0113895216401527E-3</v>
      </c>
      <c r="D373" s="296">
        <f>VLOOKUP(A373,'Dados para Ke Alternativo'!$P:$Q,2,0)</f>
        <v>5.3310000000000004</v>
      </c>
      <c r="E373" s="296">
        <f t="shared" si="25"/>
        <v>4.1380604014256228</v>
      </c>
      <c r="F373" s="294">
        <f t="shared" si="27"/>
        <v>-9.0900646025805498E-3</v>
      </c>
      <c r="G373" s="296">
        <f>VLOOKUP($A373,'Dados para Ke Alternativo'!$I:$J,2,0)</f>
        <v>2559.9499999999998</v>
      </c>
      <c r="H373" s="294">
        <f t="shared" si="28"/>
        <v>5.4041528715451648E-3</v>
      </c>
      <c r="I373" s="297">
        <f>VLOOKUP(A373,'Dados para Ke Alternativo'!$W:$X,2,0)</f>
        <v>98954</v>
      </c>
      <c r="J373" s="294">
        <f t="shared" si="29"/>
        <v>4.1809583730794131E-3</v>
      </c>
    </row>
    <row r="374" spans="1:10" x14ac:dyDescent="0.3">
      <c r="A374" s="167">
        <v>44746</v>
      </c>
      <c r="B374" s="219">
        <f>VLOOKUP('Ke Alternativo'!A374,'Dados para Ke Alternativo'!$A:$B,2,0)</f>
        <v>22.75</v>
      </c>
      <c r="C374" s="294">
        <f t="shared" si="26"/>
        <v>3.1278331822302885E-2</v>
      </c>
      <c r="D374" s="296">
        <f>VLOOKUP(A374,'Dados para Ke Alternativo'!$P:$Q,2,0)</f>
        <v>5.3292999999999999</v>
      </c>
      <c r="E374" s="296">
        <f t="shared" si="25"/>
        <v>4.2688533203234948</v>
      </c>
      <c r="F374" s="294">
        <f t="shared" si="27"/>
        <v>3.160730057318939E-2</v>
      </c>
      <c r="G374" s="296">
        <f>VLOOKUP($A374,'Dados para Ke Alternativo'!$I:$J,2,0)</f>
        <v>2567.87</v>
      </c>
      <c r="H374" s="294">
        <f t="shared" si="28"/>
        <v>3.0938104259849997E-3</v>
      </c>
      <c r="I374" s="297">
        <f>VLOOKUP(A374,'Dados para Ke Alternativo'!$W:$X,2,0)</f>
        <v>98609</v>
      </c>
      <c r="J374" s="294">
        <f t="shared" si="29"/>
        <v>-3.4864684600925955E-3</v>
      </c>
    </row>
    <row r="375" spans="1:10" x14ac:dyDescent="0.3">
      <c r="A375" s="168">
        <v>44747</v>
      </c>
      <c r="B375" s="219">
        <f>VLOOKUP('Ke Alternativo'!A375,'Dados para Ke Alternativo'!$A:$B,2,0)</f>
        <v>21.14</v>
      </c>
      <c r="C375" s="294">
        <f t="shared" si="26"/>
        <v>-7.0769230769230695E-2</v>
      </c>
      <c r="D375" s="296">
        <f>VLOOKUP(A375,'Dados para Ke Alternativo'!$P:$Q,2,0)</f>
        <v>5.3860999999999999</v>
      </c>
      <c r="E375" s="296">
        <f t="shared" si="25"/>
        <v>3.9249178440801322</v>
      </c>
      <c r="F375" s="294">
        <f t="shared" si="27"/>
        <v>-8.0568586089835303E-2</v>
      </c>
      <c r="G375" s="296">
        <f>VLOOKUP($A375,'Dados para Ke Alternativo'!$I:$J,2,0)</f>
        <v>2553.9499999999998</v>
      </c>
      <c r="H375" s="294">
        <f t="shared" si="28"/>
        <v>-5.4208351668892929E-3</v>
      </c>
      <c r="I375" s="297">
        <f>VLOOKUP(A375,'Dados para Ke Alternativo'!$W:$X,2,0)</f>
        <v>98295</v>
      </c>
      <c r="J375" s="294">
        <f t="shared" si="29"/>
        <v>-3.184293522903614E-3</v>
      </c>
    </row>
    <row r="376" spans="1:10" x14ac:dyDescent="0.3">
      <c r="A376" s="167">
        <v>44748</v>
      </c>
      <c r="B376" s="219">
        <f>VLOOKUP('Ke Alternativo'!A376,'Dados para Ke Alternativo'!$A:$B,2,0)</f>
        <v>20.86</v>
      </c>
      <c r="C376" s="294">
        <f t="shared" si="26"/>
        <v>-1.3245033112582849E-2</v>
      </c>
      <c r="D376" s="296">
        <f>VLOOKUP(A376,'Dados para Ke Alternativo'!$P:$Q,2,0)</f>
        <v>5.4287000000000001</v>
      </c>
      <c r="E376" s="296">
        <f t="shared" si="25"/>
        <v>3.8425405714075191</v>
      </c>
      <c r="F376" s="294">
        <f t="shared" si="27"/>
        <v>-2.0988279486374717E-2</v>
      </c>
      <c r="G376" s="296">
        <f>VLOOKUP($A376,'Dados para Ke Alternativo'!$I:$J,2,0)</f>
        <v>2561.1999999999998</v>
      </c>
      <c r="H376" s="294">
        <f t="shared" si="28"/>
        <v>2.8387399909943767E-3</v>
      </c>
      <c r="I376" s="297">
        <f>VLOOKUP(A376,'Dados para Ke Alternativo'!$W:$X,2,0)</f>
        <v>98719</v>
      </c>
      <c r="J376" s="294">
        <f t="shared" si="29"/>
        <v>4.3135459585941227E-3</v>
      </c>
    </row>
    <row r="377" spans="1:10" x14ac:dyDescent="0.3">
      <c r="A377" s="168">
        <v>44749</v>
      </c>
      <c r="B377" s="219">
        <f>VLOOKUP('Ke Alternativo'!A377,'Dados para Ke Alternativo'!$A:$B,2,0)</f>
        <v>21.19</v>
      </c>
      <c r="C377" s="294">
        <f t="shared" si="26"/>
        <v>1.5819750719079595E-2</v>
      </c>
      <c r="D377" s="296">
        <f>VLOOKUP(A377,'Dados para Ke Alternativo'!$P:$Q,2,0)</f>
        <v>5.3391000000000002</v>
      </c>
      <c r="E377" s="296">
        <f t="shared" si="25"/>
        <v>3.9688336985634285</v>
      </c>
      <c r="F377" s="294">
        <f t="shared" si="27"/>
        <v>3.2867090095459517E-2</v>
      </c>
      <c r="G377" s="296">
        <f>VLOOKUP($A377,'Dados para Ke Alternativo'!$I:$J,2,0)</f>
        <v>2602.0300000000002</v>
      </c>
      <c r="H377" s="294">
        <f t="shared" si="28"/>
        <v>1.5941746056536088E-2</v>
      </c>
      <c r="I377" s="297">
        <f>VLOOKUP(A377,'Dados para Ke Alternativo'!$W:$X,2,0)</f>
        <v>100730</v>
      </c>
      <c r="J377" s="294">
        <f t="shared" si="29"/>
        <v>2.0370951893759148E-2</v>
      </c>
    </row>
    <row r="378" spans="1:10" x14ac:dyDescent="0.3">
      <c r="A378" s="167">
        <v>44750</v>
      </c>
      <c r="B378" s="219">
        <f>VLOOKUP('Ke Alternativo'!A378,'Dados para Ke Alternativo'!$A:$B,2,0)</f>
        <v>21.73</v>
      </c>
      <c r="C378" s="294">
        <f t="shared" si="26"/>
        <v>2.5483718735252348E-2</v>
      </c>
      <c r="D378" s="296">
        <f>VLOOKUP(A378,'Dados para Ke Alternativo'!$P:$Q,2,0)</f>
        <v>5.2535999999999996</v>
      </c>
      <c r="E378" s="296">
        <f t="shared" si="25"/>
        <v>4.136211359829451</v>
      </c>
      <c r="F378" s="294">
        <f t="shared" si="27"/>
        <v>4.2173009498132075E-2</v>
      </c>
      <c r="G378" s="296">
        <f>VLOOKUP($A378,'Dados para Ke Alternativo'!$I:$J,2,0)</f>
        <v>2603.62</v>
      </c>
      <c r="H378" s="294">
        <f t="shared" si="28"/>
        <v>6.110613636274298E-4</v>
      </c>
      <c r="I378" s="297">
        <f>VLOOKUP(A378,'Dados para Ke Alternativo'!$W:$X,2,0)</f>
        <v>100289</v>
      </c>
      <c r="J378" s="294">
        <f t="shared" si="29"/>
        <v>-4.3780403057679385E-3</v>
      </c>
    </row>
    <row r="379" spans="1:10" x14ac:dyDescent="0.3">
      <c r="A379" s="168">
        <v>44753</v>
      </c>
      <c r="B379" s="219">
        <f>VLOOKUP('Ke Alternativo'!A379,'Dados para Ke Alternativo'!$A:$B,2,0)</f>
        <v>21.88</v>
      </c>
      <c r="C379" s="294">
        <f t="shared" si="26"/>
        <v>6.9028992176713988E-3</v>
      </c>
      <c r="D379" s="296">
        <f>VLOOKUP(A379,'Dados para Ke Alternativo'!$P:$Q,2,0)</f>
        <v>5.3781999999999996</v>
      </c>
      <c r="E379" s="296">
        <f t="shared" si="25"/>
        <v>4.0682756312520922</v>
      </c>
      <c r="F379" s="294">
        <f t="shared" si="27"/>
        <v>-1.642462695140412E-2</v>
      </c>
      <c r="G379" s="296">
        <f>VLOOKUP($A379,'Dados para Ke Alternativo'!$I:$J,2,0)</f>
        <v>2572.33</v>
      </c>
      <c r="H379" s="294">
        <f t="shared" si="28"/>
        <v>-1.2017882793956103E-2</v>
      </c>
      <c r="I379" s="297">
        <f>VLOOKUP(A379,'Dados para Ke Alternativo'!$W:$X,2,0)</f>
        <v>98212</v>
      </c>
      <c r="J379" s="294">
        <f t="shared" si="29"/>
        <v>-2.0710147673224433E-2</v>
      </c>
    </row>
    <row r="380" spans="1:10" x14ac:dyDescent="0.3">
      <c r="A380" s="167">
        <v>44754</v>
      </c>
      <c r="B380" s="219">
        <f>VLOOKUP('Ke Alternativo'!A380,'Dados para Ke Alternativo'!$A:$B,2,0)</f>
        <v>22.2</v>
      </c>
      <c r="C380" s="294">
        <f t="shared" si="26"/>
        <v>1.4625228519195677E-2</v>
      </c>
      <c r="D380" s="296">
        <f>VLOOKUP(A380,'Dados para Ke Alternativo'!$P:$Q,2,0)</f>
        <v>5.4367999999999999</v>
      </c>
      <c r="E380" s="296">
        <f t="shared" si="25"/>
        <v>4.0832842848734545</v>
      </c>
      <c r="F380" s="294">
        <f t="shared" si="27"/>
        <v>3.6891929116276145E-3</v>
      </c>
      <c r="G380" s="296">
        <f>VLOOKUP($A380,'Dados para Ke Alternativo'!$I:$J,2,0)</f>
        <v>2554.1799999999998</v>
      </c>
      <c r="H380" s="294">
        <f t="shared" si="28"/>
        <v>-7.0558598624593794E-3</v>
      </c>
      <c r="I380" s="297">
        <f>VLOOKUP(A380,'Dados para Ke Alternativo'!$W:$X,2,0)</f>
        <v>98271</v>
      </c>
      <c r="J380" s="294">
        <f t="shared" si="29"/>
        <v>6.0074125361464503E-4</v>
      </c>
    </row>
    <row r="381" spans="1:10" x14ac:dyDescent="0.3">
      <c r="A381" s="168">
        <v>44755</v>
      </c>
      <c r="B381" s="219">
        <f>VLOOKUP('Ke Alternativo'!A381,'Dados para Ke Alternativo'!$A:$B,2,0)</f>
        <v>21.56</v>
      </c>
      <c r="C381" s="294">
        <f t="shared" si="26"/>
        <v>-2.8828828828828867E-2</v>
      </c>
      <c r="D381" s="296">
        <f>VLOOKUP(A381,'Dados para Ke Alternativo'!$P:$Q,2,0)</f>
        <v>5.3917000000000002</v>
      </c>
      <c r="E381" s="296">
        <f t="shared" si="25"/>
        <v>3.9987388022330617</v>
      </c>
      <c r="F381" s="294">
        <f t="shared" si="27"/>
        <v>-2.0705264865733652E-2</v>
      </c>
      <c r="G381" s="296">
        <f>VLOOKUP($A381,'Dados para Ke Alternativo'!$I:$J,2,0)</f>
        <v>2544.6799999999998</v>
      </c>
      <c r="H381" s="294">
        <f t="shared" si="28"/>
        <v>-3.7193933082241282E-3</v>
      </c>
      <c r="I381" s="297">
        <f>VLOOKUP(A381,'Dados para Ke Alternativo'!$W:$X,2,0)</f>
        <v>97881</v>
      </c>
      <c r="J381" s="294">
        <f t="shared" si="29"/>
        <v>-3.9686173947552916E-3</v>
      </c>
    </row>
    <row r="382" spans="1:10" x14ac:dyDescent="0.3">
      <c r="A382" s="167">
        <v>44756</v>
      </c>
      <c r="B382" s="219">
        <f>VLOOKUP('Ke Alternativo'!A382,'Dados para Ke Alternativo'!$A:$B,2,0)</f>
        <v>20.73</v>
      </c>
      <c r="C382" s="294">
        <f t="shared" si="26"/>
        <v>-3.8497217068645617E-2</v>
      </c>
      <c r="D382" s="296">
        <f>VLOOKUP(A382,'Dados para Ke Alternativo'!$P:$Q,2,0)</f>
        <v>5.4233000000000002</v>
      </c>
      <c r="E382" s="296">
        <f t="shared" si="25"/>
        <v>3.8223959581804436</v>
      </c>
      <c r="F382" s="294">
        <f t="shared" si="27"/>
        <v>-4.4099615597333108E-2</v>
      </c>
      <c r="G382" s="296">
        <f>VLOOKUP($A382,'Dados para Ke Alternativo'!$I:$J,2,0)</f>
        <v>2520.92</v>
      </c>
      <c r="H382" s="294">
        <f t="shared" si="28"/>
        <v>-9.3371268686042175E-3</v>
      </c>
      <c r="I382" s="297">
        <f>VLOOKUP(A382,'Dados para Ke Alternativo'!$W:$X,2,0)</f>
        <v>96121</v>
      </c>
      <c r="J382" s="294">
        <f t="shared" si="29"/>
        <v>-1.7981017766471541E-2</v>
      </c>
    </row>
    <row r="383" spans="1:10" x14ac:dyDescent="0.3">
      <c r="A383" s="168">
        <v>44757</v>
      </c>
      <c r="B383" s="219">
        <f>VLOOKUP('Ke Alternativo'!A383,'Dados para Ke Alternativo'!$A:$B,2,0)</f>
        <v>20.67</v>
      </c>
      <c r="C383" s="294">
        <f t="shared" si="26"/>
        <v>-2.8943560057886897E-3</v>
      </c>
      <c r="D383" s="296">
        <f>VLOOKUP(A383,'Dados para Ke Alternativo'!$P:$Q,2,0)</f>
        <v>5.4081999999999999</v>
      </c>
      <c r="E383" s="296">
        <f t="shared" si="25"/>
        <v>3.8219740394216193</v>
      </c>
      <c r="F383" s="294">
        <f t="shared" si="27"/>
        <v>-1.1038070452151771E-4</v>
      </c>
      <c r="G383" s="296">
        <f>VLOOKUP($A383,'Dados para Ke Alternativo'!$I:$J,2,0)</f>
        <v>2568.64</v>
      </c>
      <c r="H383" s="294">
        <f t="shared" si="28"/>
        <v>1.8929597131206011E-2</v>
      </c>
      <c r="I383" s="297">
        <f>VLOOKUP(A383,'Dados para Ke Alternativo'!$W:$X,2,0)</f>
        <v>96551</v>
      </c>
      <c r="J383" s="294">
        <f t="shared" si="29"/>
        <v>4.4735281572185759E-3</v>
      </c>
    </row>
    <row r="384" spans="1:10" x14ac:dyDescent="0.3">
      <c r="A384" s="167">
        <v>44760</v>
      </c>
      <c r="B384" s="219">
        <f>VLOOKUP('Ke Alternativo'!A384,'Dados para Ke Alternativo'!$A:$B,2,0)</f>
        <v>22.05</v>
      </c>
      <c r="C384" s="294">
        <f t="shared" si="26"/>
        <v>6.676342525399126E-2</v>
      </c>
      <c r="D384" s="296">
        <f>VLOOKUP(A384,'Dados para Ke Alternativo'!$P:$Q,2,0)</f>
        <v>5.4375</v>
      </c>
      <c r="E384" s="296">
        <f t="shared" si="25"/>
        <v>4.0551724137931036</v>
      </c>
      <c r="F384" s="294">
        <f t="shared" si="27"/>
        <v>6.1015164406185818E-2</v>
      </c>
      <c r="G384" s="296">
        <f>VLOOKUP($A384,'Dados para Ke Alternativo'!$I:$J,2,0)</f>
        <v>2567.6799999999998</v>
      </c>
      <c r="H384" s="294">
        <f t="shared" si="28"/>
        <v>-3.7373863211664915E-4</v>
      </c>
      <c r="I384" s="297">
        <f>VLOOKUP(A384,'Dados para Ke Alternativo'!$W:$X,2,0)</f>
        <v>96916</v>
      </c>
      <c r="J384" s="294">
        <f t="shared" si="29"/>
        <v>3.7803854957483285E-3</v>
      </c>
    </row>
    <row r="385" spans="1:10" x14ac:dyDescent="0.3">
      <c r="A385" s="168">
        <v>44761</v>
      </c>
      <c r="B385" s="219">
        <f>VLOOKUP('Ke Alternativo'!A385,'Dados para Ke Alternativo'!$A:$B,2,0)</f>
        <v>22.32</v>
      </c>
      <c r="C385" s="294">
        <f t="shared" si="26"/>
        <v>1.2244897959183598E-2</v>
      </c>
      <c r="D385" s="296">
        <f>VLOOKUP(A385,'Dados para Ke Alternativo'!$P:$Q,2,0)</f>
        <v>5.4135</v>
      </c>
      <c r="E385" s="296">
        <f t="shared" si="25"/>
        <v>4.1230257689110559</v>
      </c>
      <c r="F385" s="294">
        <f t="shared" si="27"/>
        <v>1.6732545054596981E-2</v>
      </c>
      <c r="G385" s="296">
        <f>VLOOKUP($A385,'Dados para Ke Alternativo'!$I:$J,2,0)</f>
        <v>2628.34</v>
      </c>
      <c r="H385" s="294">
        <f t="shared" si="28"/>
        <v>2.3624439182452717E-2</v>
      </c>
      <c r="I385" s="297">
        <f>VLOOKUP(A385,'Dados para Ke Alternativo'!$W:$X,2,0)</f>
        <v>98245</v>
      </c>
      <c r="J385" s="294">
        <f t="shared" si="29"/>
        <v>1.3712906021709603E-2</v>
      </c>
    </row>
    <row r="386" spans="1:10" x14ac:dyDescent="0.3">
      <c r="A386" s="167">
        <v>44762</v>
      </c>
      <c r="B386" s="219">
        <f>VLOOKUP('Ke Alternativo'!A386,'Dados para Ke Alternativo'!$A:$B,2,0)</f>
        <v>22.22</v>
      </c>
      <c r="C386" s="294">
        <f t="shared" si="26"/>
        <v>-4.4802867383513245E-3</v>
      </c>
      <c r="D386" s="296">
        <f>VLOOKUP(A386,'Dados para Ke Alternativo'!$P:$Q,2,0)</f>
        <v>5.4714</v>
      </c>
      <c r="E386" s="296">
        <f t="shared" ref="E386:E449" si="30">B386/D386</f>
        <v>4.0611178126256533</v>
      </c>
      <c r="F386" s="294">
        <f t="shared" si="27"/>
        <v>-1.5015175687769999E-2</v>
      </c>
      <c r="G386" s="296">
        <f>VLOOKUP($A386,'Dados para Ke Alternativo'!$I:$J,2,0)</f>
        <v>2643.93</v>
      </c>
      <c r="H386" s="294">
        <f t="shared" si="28"/>
        <v>5.9315004908040425E-3</v>
      </c>
      <c r="I386" s="297">
        <f>VLOOKUP(A386,'Dados para Ke Alternativo'!$W:$X,2,0)</f>
        <v>98287</v>
      </c>
      <c r="J386" s="294">
        <f t="shared" si="29"/>
        <v>4.2750267189162194E-4</v>
      </c>
    </row>
    <row r="387" spans="1:10" x14ac:dyDescent="0.3">
      <c r="A387" s="168">
        <v>44763</v>
      </c>
      <c r="B387" s="219">
        <f>VLOOKUP('Ke Alternativo'!A387,'Dados para Ke Alternativo'!$A:$B,2,0)</f>
        <v>22.8</v>
      </c>
      <c r="C387" s="294">
        <f t="shared" ref="C387:C450" si="31">B387/B386-1</f>
        <v>2.6102610261026227E-2</v>
      </c>
      <c r="D387" s="296">
        <f>VLOOKUP(A387,'Dados para Ke Alternativo'!$P:$Q,2,0)</f>
        <v>5.4968000000000004</v>
      </c>
      <c r="E387" s="296">
        <f t="shared" si="30"/>
        <v>4.147867850385679</v>
      </c>
      <c r="F387" s="294">
        <f t="shared" ref="F387:F450" si="32">E387/E386-1</f>
        <v>2.1361123159325146E-2</v>
      </c>
      <c r="G387" s="296">
        <f>VLOOKUP($A387,'Dados para Ke Alternativo'!$I:$J,2,0)</f>
        <v>2663.84</v>
      </c>
      <c r="H387" s="294">
        <f t="shared" ref="H387:H450" si="33">G387/G386-1</f>
        <v>7.5304565552039016E-3</v>
      </c>
      <c r="I387" s="297">
        <f>VLOOKUP(A387,'Dados para Ke Alternativo'!$W:$X,2,0)</f>
        <v>99033</v>
      </c>
      <c r="J387" s="294">
        <f t="shared" ref="J387:J450" si="34">I387/I386-1</f>
        <v>7.5900169910567694E-3</v>
      </c>
    </row>
    <row r="388" spans="1:10" x14ac:dyDescent="0.3">
      <c r="A388" s="167">
        <v>44764</v>
      </c>
      <c r="B388" s="219">
        <f>VLOOKUP('Ke Alternativo'!A388,'Dados para Ke Alternativo'!$A:$B,2,0)</f>
        <v>22.63</v>
      </c>
      <c r="C388" s="294">
        <f t="shared" si="31"/>
        <v>-7.4561403508772717E-3</v>
      </c>
      <c r="D388" s="296">
        <f>VLOOKUP(A388,'Dados para Ke Alternativo'!$P:$Q,2,0)</f>
        <v>5.4968000000000004</v>
      </c>
      <c r="E388" s="296">
        <f t="shared" si="30"/>
        <v>4.1169407655363113</v>
      </c>
      <c r="F388" s="294">
        <f t="shared" si="32"/>
        <v>-7.4561403508773827E-3</v>
      </c>
      <c r="G388" s="296">
        <f>VLOOKUP($A388,'Dados para Ke Alternativo'!$I:$J,2,0)</f>
        <v>2650.82</v>
      </c>
      <c r="H388" s="294">
        <f t="shared" si="33"/>
        <v>-4.8876809417982559E-3</v>
      </c>
      <c r="I388" s="297">
        <f>VLOOKUP(A388,'Dados para Ke Alternativo'!$W:$X,2,0)</f>
        <v>98925</v>
      </c>
      <c r="J388" s="294">
        <f t="shared" si="34"/>
        <v>-1.0905455757171945E-3</v>
      </c>
    </row>
    <row r="389" spans="1:10" x14ac:dyDescent="0.3">
      <c r="A389" s="168">
        <v>44767</v>
      </c>
      <c r="B389" s="219">
        <f>VLOOKUP('Ke Alternativo'!A389,'Dados para Ke Alternativo'!$A:$B,2,0)</f>
        <v>23.57</v>
      </c>
      <c r="C389" s="294">
        <f t="shared" si="31"/>
        <v>4.1537781705700549E-2</v>
      </c>
      <c r="D389" s="296">
        <f>VLOOKUP(A389,'Dados para Ke Alternativo'!$P:$Q,2,0)</f>
        <v>5.3575999999999997</v>
      </c>
      <c r="E389" s="296">
        <f t="shared" si="30"/>
        <v>4.3993579214573693</v>
      </c>
      <c r="F389" s="294">
        <f t="shared" si="32"/>
        <v>6.8598790219481787E-2</v>
      </c>
      <c r="G389" s="296">
        <f>VLOOKUP($A389,'Dados para Ke Alternativo'!$I:$J,2,0)</f>
        <v>2651.22</v>
      </c>
      <c r="H389" s="294">
        <f t="shared" si="33"/>
        <v>1.5089670366141839E-4</v>
      </c>
      <c r="I389" s="297">
        <f>VLOOKUP(A389,'Dados para Ke Alternativo'!$W:$X,2,0)</f>
        <v>100270</v>
      </c>
      <c r="J389" s="294">
        <f t="shared" si="34"/>
        <v>1.3596158706090433E-2</v>
      </c>
    </row>
    <row r="390" spans="1:10" x14ac:dyDescent="0.3">
      <c r="A390" s="167">
        <v>44768</v>
      </c>
      <c r="B390" s="219">
        <f>VLOOKUP('Ke Alternativo'!A390,'Dados para Ke Alternativo'!$A:$B,2,0)</f>
        <v>23.7</v>
      </c>
      <c r="C390" s="294">
        <f t="shared" si="31"/>
        <v>5.5154857870174379E-3</v>
      </c>
      <c r="D390" s="296">
        <f>VLOOKUP(A390,'Dados para Ke Alternativo'!$P:$Q,2,0)</f>
        <v>5.3510999999999997</v>
      </c>
      <c r="E390" s="296">
        <f t="shared" si="30"/>
        <v>4.4289959073835288</v>
      </c>
      <c r="F390" s="294">
        <f t="shared" si="32"/>
        <v>6.736888985914069E-3</v>
      </c>
      <c r="G390" s="296">
        <f>VLOOKUP($A390,'Dados para Ke Alternativo'!$I:$J,2,0)</f>
        <v>2624.49</v>
      </c>
      <c r="H390" s="294">
        <f t="shared" si="33"/>
        <v>-1.0082150858849892E-2</v>
      </c>
      <c r="I390" s="297">
        <f>VLOOKUP(A390,'Dados para Ke Alternativo'!$W:$X,2,0)</f>
        <v>99772</v>
      </c>
      <c r="J390" s="294">
        <f t="shared" si="34"/>
        <v>-4.9665902064426337E-3</v>
      </c>
    </row>
    <row r="391" spans="1:10" x14ac:dyDescent="0.3">
      <c r="A391" s="168">
        <v>44769</v>
      </c>
      <c r="B391" s="219">
        <f>VLOOKUP('Ke Alternativo'!A391,'Dados para Ke Alternativo'!$A:$B,2,0)</f>
        <v>23.65</v>
      </c>
      <c r="C391" s="294">
        <f t="shared" si="31"/>
        <v>-2.1097046413502962E-3</v>
      </c>
      <c r="D391" s="296">
        <f>VLOOKUP(A391,'Dados para Ke Alternativo'!$P:$Q,2,0)</f>
        <v>5.2431999999999999</v>
      </c>
      <c r="E391" s="296">
        <f t="shared" si="30"/>
        <v>4.5106042111687517</v>
      </c>
      <c r="F391" s="294">
        <f t="shared" si="32"/>
        <v>1.8425915374898905E-2</v>
      </c>
      <c r="G391" s="296">
        <f>VLOOKUP($A391,'Dados para Ke Alternativo'!$I:$J,2,0)</f>
        <v>2675.08</v>
      </c>
      <c r="H391" s="294">
        <f t="shared" si="33"/>
        <v>1.9276126028294982E-2</v>
      </c>
      <c r="I391" s="297">
        <f>VLOOKUP(A391,'Dados para Ke Alternativo'!$W:$X,2,0)</f>
        <v>101438</v>
      </c>
      <c r="J391" s="294">
        <f t="shared" si="34"/>
        <v>1.6698071603255427E-2</v>
      </c>
    </row>
    <row r="392" spans="1:10" x14ac:dyDescent="0.3">
      <c r="A392" s="167">
        <v>44770</v>
      </c>
      <c r="B392" s="219">
        <f>VLOOKUP('Ke Alternativo'!A392,'Dados para Ke Alternativo'!$A:$B,2,0)</f>
        <v>23.75</v>
      </c>
      <c r="C392" s="294">
        <f t="shared" si="31"/>
        <v>4.2283298097252064E-3</v>
      </c>
      <c r="D392" s="296">
        <f>VLOOKUP(A392,'Dados para Ke Alternativo'!$P:$Q,2,0)</f>
        <v>5.1822999999999997</v>
      </c>
      <c r="E392" s="296">
        <f t="shared" si="30"/>
        <v>4.5829072033653011</v>
      </c>
      <c r="F392" s="294">
        <f t="shared" si="32"/>
        <v>1.6029558083930251E-2</v>
      </c>
      <c r="G392" s="296">
        <f>VLOOKUP($A392,'Dados para Ke Alternativo'!$I:$J,2,0)</f>
        <v>2709.82</v>
      </c>
      <c r="H392" s="294">
        <f t="shared" si="33"/>
        <v>1.2986527505719492E-2</v>
      </c>
      <c r="I392" s="297">
        <f>VLOOKUP(A392,'Dados para Ke Alternativo'!$W:$X,2,0)</f>
        <v>102597</v>
      </c>
      <c r="J392" s="294">
        <f t="shared" si="34"/>
        <v>1.1425698456199784E-2</v>
      </c>
    </row>
    <row r="393" spans="1:10" x14ac:dyDescent="0.3">
      <c r="A393" s="168">
        <v>44771</v>
      </c>
      <c r="B393" s="219">
        <f>VLOOKUP('Ke Alternativo'!A393,'Dados para Ke Alternativo'!$A:$B,2,0)</f>
        <v>24.18</v>
      </c>
      <c r="C393" s="294">
        <f t="shared" si="31"/>
        <v>1.8105263157894624E-2</v>
      </c>
      <c r="D393" s="296">
        <f>VLOOKUP(A393,'Dados para Ke Alternativo'!$P:$Q,2,0)</f>
        <v>5.1734</v>
      </c>
      <c r="E393" s="296">
        <f t="shared" si="30"/>
        <v>4.6739088413809098</v>
      </c>
      <c r="F393" s="294">
        <f t="shared" si="32"/>
        <v>1.985674899740153E-2</v>
      </c>
      <c r="G393" s="296">
        <f>VLOOKUP($A393,'Dados para Ke Alternativo'!$I:$J,2,0)</f>
        <v>2746.36</v>
      </c>
      <c r="H393" s="294">
        <f t="shared" si="33"/>
        <v>1.3484290469477633E-2</v>
      </c>
      <c r="I393" s="297">
        <f>VLOOKUP(A393,'Dados para Ke Alternativo'!$W:$X,2,0)</f>
        <v>103165</v>
      </c>
      <c r="J393" s="294">
        <f t="shared" si="34"/>
        <v>5.5362242560699215E-3</v>
      </c>
    </row>
    <row r="394" spans="1:10" x14ac:dyDescent="0.3">
      <c r="A394" s="167">
        <v>44774</v>
      </c>
      <c r="B394" s="219">
        <f>VLOOKUP('Ke Alternativo'!A394,'Dados para Ke Alternativo'!$A:$B,2,0)</f>
        <v>23.33</v>
      </c>
      <c r="C394" s="294">
        <f t="shared" si="31"/>
        <v>-3.515301902398682E-2</v>
      </c>
      <c r="D394" s="296">
        <f>VLOOKUP(A394,'Dados para Ke Alternativo'!$P:$Q,2,0)</f>
        <v>5.1837999999999997</v>
      </c>
      <c r="E394" s="296">
        <f t="shared" si="30"/>
        <v>4.5005594351633933</v>
      </c>
      <c r="F394" s="294">
        <f t="shared" si="32"/>
        <v>-3.7088743512229128E-2</v>
      </c>
      <c r="G394" s="296">
        <f>VLOOKUP($A394,'Dados para Ke Alternativo'!$I:$J,2,0)</f>
        <v>2749.26</v>
      </c>
      <c r="H394" s="294">
        <f t="shared" si="33"/>
        <v>1.0559431392824781E-3</v>
      </c>
      <c r="I394" s="297">
        <f>VLOOKUP(A394,'Dados para Ke Alternativo'!$W:$X,2,0)</f>
        <v>102225</v>
      </c>
      <c r="J394" s="294">
        <f t="shared" si="34"/>
        <v>-9.1116173120728838E-3</v>
      </c>
    </row>
    <row r="395" spans="1:10" x14ac:dyDescent="0.3">
      <c r="A395" s="168">
        <v>44775</v>
      </c>
      <c r="B395" s="219">
        <f>VLOOKUP('Ke Alternativo'!A395,'Dados para Ke Alternativo'!$A:$B,2,0)</f>
        <v>23.35</v>
      </c>
      <c r="C395" s="294">
        <f t="shared" si="31"/>
        <v>8.5726532361785068E-4</v>
      </c>
      <c r="D395" s="296">
        <f>VLOOKUP(A395,'Dados para Ke Alternativo'!$P:$Q,2,0)</f>
        <v>5.2784000000000004</v>
      </c>
      <c r="E395" s="296">
        <f t="shared" si="30"/>
        <v>4.4236889966656561</v>
      </c>
      <c r="F395" s="294">
        <f t="shared" si="32"/>
        <v>-1.7080196274520842E-2</v>
      </c>
      <c r="G395" s="296">
        <f>VLOOKUP($A395,'Dados para Ke Alternativo'!$I:$J,2,0)</f>
        <v>2728.3</v>
      </c>
      <c r="H395" s="294">
        <f t="shared" si="33"/>
        <v>-7.6238696958453867E-3</v>
      </c>
      <c r="I395" s="297">
        <f>VLOOKUP(A395,'Dados para Ke Alternativo'!$W:$X,2,0)</f>
        <v>103362</v>
      </c>
      <c r="J395" s="294">
        <f t="shared" si="34"/>
        <v>1.1122523844460774E-2</v>
      </c>
    </row>
    <row r="396" spans="1:10" x14ac:dyDescent="0.3">
      <c r="A396" s="167">
        <v>44776</v>
      </c>
      <c r="B396" s="219">
        <f>VLOOKUP('Ke Alternativo'!A396,'Dados para Ke Alternativo'!$A:$B,2,0)</f>
        <v>23.72</v>
      </c>
      <c r="C396" s="294">
        <f t="shared" si="31"/>
        <v>1.5845824411134801E-2</v>
      </c>
      <c r="D396" s="296">
        <f>VLOOKUP(A396,'Dados para Ke Alternativo'!$P:$Q,2,0)</f>
        <v>5.2815000000000003</v>
      </c>
      <c r="E396" s="296">
        <f t="shared" si="30"/>
        <v>4.4911483480071945</v>
      </c>
      <c r="F396" s="294">
        <f t="shared" si="32"/>
        <v>1.5249569170071808E-2</v>
      </c>
      <c r="G396" s="296">
        <f>VLOOKUP($A396,'Dados para Ke Alternativo'!$I:$J,2,0)</f>
        <v>2755.25</v>
      </c>
      <c r="H396" s="294">
        <f t="shared" si="33"/>
        <v>9.8779459736830777E-3</v>
      </c>
      <c r="I396" s="297">
        <f>VLOOKUP(A396,'Dados para Ke Alternativo'!$W:$X,2,0)</f>
        <v>103775</v>
      </c>
      <c r="J396" s="294">
        <f t="shared" si="34"/>
        <v>3.9956657185427069E-3</v>
      </c>
    </row>
    <row r="397" spans="1:10" x14ac:dyDescent="0.3">
      <c r="A397" s="168">
        <v>44777</v>
      </c>
      <c r="B397" s="219">
        <f>VLOOKUP('Ke Alternativo'!A397,'Dados para Ke Alternativo'!$A:$B,2,0)</f>
        <v>23.31</v>
      </c>
      <c r="C397" s="294">
        <f t="shared" si="31"/>
        <v>-1.728499156829677E-2</v>
      </c>
      <c r="D397" s="296">
        <f>VLOOKUP(A397,'Dados para Ke Alternativo'!$P:$Q,2,0)</f>
        <v>5.2164000000000001</v>
      </c>
      <c r="E397" s="296">
        <f t="shared" si="30"/>
        <v>4.4685990338164245</v>
      </c>
      <c r="F397" s="294">
        <f t="shared" si="32"/>
        <v>-5.0208348608158371E-3</v>
      </c>
      <c r="G397" s="296">
        <f>VLOOKUP($A397,'Dados para Ke Alternativo'!$I:$J,2,0)</f>
        <v>2761.65</v>
      </c>
      <c r="H397" s="294">
        <f t="shared" si="33"/>
        <v>2.3228382179476537E-3</v>
      </c>
      <c r="I397" s="297">
        <f>VLOOKUP(A397,'Dados para Ke Alternativo'!$W:$X,2,0)</f>
        <v>105892</v>
      </c>
      <c r="J397" s="294">
        <f t="shared" si="34"/>
        <v>2.039990363767763E-2</v>
      </c>
    </row>
    <row r="398" spans="1:10" x14ac:dyDescent="0.3">
      <c r="A398" s="167">
        <v>44778</v>
      </c>
      <c r="B398" s="219">
        <f>VLOOKUP('Ke Alternativo'!A398,'Dados para Ke Alternativo'!$A:$B,2,0)</f>
        <v>24.03</v>
      </c>
      <c r="C398" s="294">
        <f t="shared" si="31"/>
        <v>3.0888030888031048E-2</v>
      </c>
      <c r="D398" s="296">
        <f>VLOOKUP(A398,'Dados para Ke Alternativo'!$P:$Q,2,0)</f>
        <v>5.1646000000000001</v>
      </c>
      <c r="E398" s="296">
        <f t="shared" si="30"/>
        <v>4.6528288734848777</v>
      </c>
      <c r="F398" s="294">
        <f t="shared" si="32"/>
        <v>4.1227650606886268E-2</v>
      </c>
      <c r="G398" s="296">
        <f>VLOOKUP($A398,'Dados para Ke Alternativo'!$I:$J,2,0)</f>
        <v>2752.06</v>
      </c>
      <c r="H398" s="294">
        <f t="shared" si="33"/>
        <v>-3.4725616931907677E-3</v>
      </c>
      <c r="I398" s="297">
        <f>VLOOKUP(A398,'Dados para Ke Alternativo'!$W:$X,2,0)</f>
        <v>106472</v>
      </c>
      <c r="J398" s="294">
        <f t="shared" si="34"/>
        <v>5.477278736826241E-3</v>
      </c>
    </row>
    <row r="399" spans="1:10" x14ac:dyDescent="0.3">
      <c r="A399" s="168">
        <v>44781</v>
      </c>
      <c r="B399" s="219">
        <f>VLOOKUP('Ke Alternativo'!A399,'Dados para Ke Alternativo'!$A:$B,2,0)</f>
        <v>24.61</v>
      </c>
      <c r="C399" s="294">
        <f t="shared" si="31"/>
        <v>2.4136496046608391E-2</v>
      </c>
      <c r="D399" s="296">
        <f>VLOOKUP(A399,'Dados para Ke Alternativo'!$P:$Q,2,0)</f>
        <v>5.1116999999999999</v>
      </c>
      <c r="E399" s="296">
        <f t="shared" si="30"/>
        <v>4.8144452921728584</v>
      </c>
      <c r="F399" s="294">
        <f t="shared" si="32"/>
        <v>3.4735087638616102E-2</v>
      </c>
      <c r="G399" s="296">
        <f>VLOOKUP($A399,'Dados para Ke Alternativo'!$I:$J,2,0)</f>
        <v>2758.72</v>
      </c>
      <c r="H399" s="294">
        <f t="shared" si="33"/>
        <v>2.4200053777896358E-3</v>
      </c>
      <c r="I399" s="297">
        <f>VLOOKUP(A399,'Dados para Ke Alternativo'!$W:$X,2,0)</f>
        <v>108402</v>
      </c>
      <c r="J399" s="294">
        <f t="shared" si="34"/>
        <v>1.8126831467428106E-2</v>
      </c>
    </row>
    <row r="400" spans="1:10" x14ac:dyDescent="0.3">
      <c r="A400" s="167">
        <v>44782</v>
      </c>
      <c r="B400" s="219">
        <f>VLOOKUP('Ke Alternativo'!A400,'Dados para Ke Alternativo'!$A:$B,2,0)</f>
        <v>25.01</v>
      </c>
      <c r="C400" s="294">
        <f t="shared" si="31"/>
        <v>1.6253555465258085E-2</v>
      </c>
      <c r="D400" s="296">
        <f>VLOOKUP(A400,'Dados para Ke Alternativo'!$P:$Q,2,0)</f>
        <v>5.1237000000000004</v>
      </c>
      <c r="E400" s="296">
        <f t="shared" si="30"/>
        <v>4.8812381677303511</v>
      </c>
      <c r="F400" s="294">
        <f t="shared" si="32"/>
        <v>1.3873431206307796E-2</v>
      </c>
      <c r="G400" s="296">
        <f>VLOOKUP($A400,'Dados para Ke Alternativo'!$I:$J,2,0)</f>
        <v>2743.62</v>
      </c>
      <c r="H400" s="294">
        <f t="shared" si="33"/>
        <v>-5.4735529520937298E-3</v>
      </c>
      <c r="I400" s="297">
        <f>VLOOKUP(A400,'Dados para Ke Alternativo'!$W:$X,2,0)</f>
        <v>108651</v>
      </c>
      <c r="J400" s="294">
        <f t="shared" si="34"/>
        <v>2.2970055903026587E-3</v>
      </c>
    </row>
    <row r="401" spans="1:10" x14ac:dyDescent="0.3">
      <c r="A401" s="168">
        <v>44783</v>
      </c>
      <c r="B401" s="219">
        <f>VLOOKUP('Ke Alternativo'!A401,'Dados para Ke Alternativo'!$A:$B,2,0)</f>
        <v>24.76</v>
      </c>
      <c r="C401" s="294">
        <f t="shared" si="31"/>
        <v>-9.9960015993602047E-3</v>
      </c>
      <c r="D401" s="296">
        <f>VLOOKUP(A401,'Dados para Ke Alternativo'!$P:$Q,2,0)</f>
        <v>5.0926999999999998</v>
      </c>
      <c r="E401" s="296">
        <f t="shared" si="30"/>
        <v>4.8618610952932633</v>
      </c>
      <c r="F401" s="294">
        <f t="shared" si="32"/>
        <v>-3.9697043600922521E-3</v>
      </c>
      <c r="G401" s="296">
        <f>VLOOKUP($A401,'Dados para Ke Alternativo'!$I:$J,2,0)</f>
        <v>2803.37</v>
      </c>
      <c r="H401" s="294">
        <f t="shared" si="33"/>
        <v>2.1777797216815831E-2</v>
      </c>
      <c r="I401" s="297">
        <f>VLOOKUP(A401,'Dados para Ke Alternativo'!$W:$X,2,0)</f>
        <v>110236</v>
      </c>
      <c r="J401" s="294">
        <f t="shared" si="34"/>
        <v>1.4587992747420619E-2</v>
      </c>
    </row>
    <row r="402" spans="1:10" x14ac:dyDescent="0.3">
      <c r="A402" s="167">
        <v>44784</v>
      </c>
      <c r="B402" s="219">
        <f>VLOOKUP('Ke Alternativo'!A402,'Dados para Ke Alternativo'!$A:$B,2,0)</f>
        <v>25.32</v>
      </c>
      <c r="C402" s="294">
        <f t="shared" si="31"/>
        <v>2.2617124394184174E-2</v>
      </c>
      <c r="D402" s="296">
        <f>VLOOKUP(A402,'Dados para Ke Alternativo'!$P:$Q,2,0)</f>
        <v>5.1581000000000001</v>
      </c>
      <c r="E402" s="296">
        <f t="shared" si="30"/>
        <v>4.9087842422597463</v>
      </c>
      <c r="F402" s="294">
        <f t="shared" si="32"/>
        <v>9.6512726395883153E-3</v>
      </c>
      <c r="G402" s="296">
        <f>VLOOKUP($A402,'Dados para Ke Alternativo'!$I:$J,2,0)</f>
        <v>2802.23</v>
      </c>
      <c r="H402" s="294">
        <f t="shared" si="33"/>
        <v>-4.066534207043393E-4</v>
      </c>
      <c r="I402" s="297">
        <f>VLOOKUP(A402,'Dados para Ke Alternativo'!$W:$X,2,0)</f>
        <v>109718</v>
      </c>
      <c r="J402" s="294">
        <f t="shared" si="34"/>
        <v>-4.6990093980188163E-3</v>
      </c>
    </row>
    <row r="403" spans="1:10" x14ac:dyDescent="0.3">
      <c r="A403" s="168">
        <v>44785</v>
      </c>
      <c r="B403" s="219">
        <f>VLOOKUP('Ke Alternativo'!A403,'Dados para Ke Alternativo'!$A:$B,2,0)</f>
        <v>25.83</v>
      </c>
      <c r="C403" s="294">
        <f t="shared" si="31"/>
        <v>2.0142180094786744E-2</v>
      </c>
      <c r="D403" s="296">
        <f>VLOOKUP(A403,'Dados para Ke Alternativo'!$P:$Q,2,0)</f>
        <v>5.0735000000000001</v>
      </c>
      <c r="E403" s="296">
        <f t="shared" si="30"/>
        <v>5.0911599487533259</v>
      </c>
      <c r="F403" s="294">
        <f t="shared" si="32"/>
        <v>3.7152927790858437E-2</v>
      </c>
      <c r="G403" s="296">
        <f>VLOOKUP($A403,'Dados para Ke Alternativo'!$I:$J,2,0)</f>
        <v>2834.51</v>
      </c>
      <c r="H403" s="294">
        <f t="shared" si="33"/>
        <v>1.1519397051633851E-2</v>
      </c>
      <c r="I403" s="297">
        <f>VLOOKUP(A403,'Dados para Ke Alternativo'!$W:$X,2,0)</f>
        <v>112764</v>
      </c>
      <c r="J403" s="294">
        <f t="shared" si="34"/>
        <v>2.7762080971217129E-2</v>
      </c>
    </row>
    <row r="404" spans="1:10" x14ac:dyDescent="0.3">
      <c r="A404" s="167">
        <v>44788</v>
      </c>
      <c r="B404" s="219">
        <f>VLOOKUP('Ke Alternativo'!A404,'Dados para Ke Alternativo'!$A:$B,2,0)</f>
        <v>25.29</v>
      </c>
      <c r="C404" s="294">
        <f t="shared" si="31"/>
        <v>-2.0905923344947674E-2</v>
      </c>
      <c r="D404" s="296">
        <f>VLOOKUP(A404,'Dados para Ke Alternativo'!$P:$Q,2,0)</f>
        <v>5.0960999999999999</v>
      </c>
      <c r="E404" s="296">
        <f t="shared" si="30"/>
        <v>4.9626184729499032</v>
      </c>
      <c r="F404" s="294">
        <f t="shared" si="32"/>
        <v>-2.5247974351090385E-2</v>
      </c>
      <c r="G404" s="296">
        <f>VLOOKUP($A404,'Dados para Ke Alternativo'!$I:$J,2,0)</f>
        <v>2842.48</v>
      </c>
      <c r="H404" s="294">
        <f t="shared" si="33"/>
        <v>2.8117734634909297E-3</v>
      </c>
      <c r="I404" s="297">
        <f>VLOOKUP(A404,'Dados para Ke Alternativo'!$W:$X,2,0)</f>
        <v>113032</v>
      </c>
      <c r="J404" s="294">
        <f t="shared" si="34"/>
        <v>2.3766450285551688E-3</v>
      </c>
    </row>
    <row r="405" spans="1:10" x14ac:dyDescent="0.3">
      <c r="A405" s="168">
        <v>44789</v>
      </c>
      <c r="B405" s="219">
        <f>VLOOKUP('Ke Alternativo'!A405,'Dados para Ke Alternativo'!$A:$B,2,0)</f>
        <v>24.28</v>
      </c>
      <c r="C405" s="294">
        <f t="shared" si="31"/>
        <v>-3.9936733886911768E-2</v>
      </c>
      <c r="D405" s="296">
        <f>VLOOKUP(A405,'Dados para Ke Alternativo'!$P:$Q,2,0)</f>
        <v>5.1459000000000001</v>
      </c>
      <c r="E405" s="296">
        <f t="shared" si="30"/>
        <v>4.7183194387765015</v>
      </c>
      <c r="F405" s="294">
        <f t="shared" si="32"/>
        <v>-4.9227849270505053E-2</v>
      </c>
      <c r="G405" s="296">
        <f>VLOOKUP($A405,'Dados para Ke Alternativo'!$I:$J,2,0)</f>
        <v>2844.42</v>
      </c>
      <c r="H405" s="294">
        <f t="shared" si="33"/>
        <v>6.8250260336055746E-4</v>
      </c>
      <c r="I405" s="297">
        <f>VLOOKUP(A405,'Dados para Ke Alternativo'!$W:$X,2,0)</f>
        <v>113512</v>
      </c>
      <c r="J405" s="294">
        <f t="shared" si="34"/>
        <v>4.2465850378654579E-3</v>
      </c>
    </row>
    <row r="406" spans="1:10" x14ac:dyDescent="0.3">
      <c r="A406" s="167">
        <v>44790</v>
      </c>
      <c r="B406" s="219">
        <f>VLOOKUP('Ke Alternativo'!A406,'Dados para Ke Alternativo'!$A:$B,2,0)</f>
        <v>24.3</v>
      </c>
      <c r="C406" s="294">
        <f t="shared" si="31"/>
        <v>8.2372322899493255E-4</v>
      </c>
      <c r="D406" s="296">
        <f>VLOOKUP(A406,'Dados para Ke Alternativo'!$P:$Q,2,0)</f>
        <v>5.1642000000000001</v>
      </c>
      <c r="E406" s="296">
        <f t="shared" si="30"/>
        <v>4.7054722899965142</v>
      </c>
      <c r="F406" s="294">
        <f t="shared" si="32"/>
        <v>-2.7228230192313241E-3</v>
      </c>
      <c r="G406" s="296">
        <f>VLOOKUP($A406,'Dados para Ke Alternativo'!$I:$J,2,0)</f>
        <v>2822.87</v>
      </c>
      <c r="H406" s="294">
        <f t="shared" si="33"/>
        <v>-7.5762369832866883E-3</v>
      </c>
      <c r="I406" s="297">
        <f>VLOOKUP(A406,'Dados para Ke Alternativo'!$W:$X,2,0)</f>
        <v>113708</v>
      </c>
      <c r="J406" s="294">
        <f t="shared" si="34"/>
        <v>1.7266896891958705E-3</v>
      </c>
    </row>
    <row r="407" spans="1:10" x14ac:dyDescent="0.3">
      <c r="A407" s="168">
        <v>44791</v>
      </c>
      <c r="B407" s="219">
        <f>VLOOKUP('Ke Alternativo'!A407,'Dados para Ke Alternativo'!$A:$B,2,0)</f>
        <v>24.6</v>
      </c>
      <c r="C407" s="294">
        <f t="shared" si="31"/>
        <v>1.2345679012345734E-2</v>
      </c>
      <c r="D407" s="296">
        <f>VLOOKUP(A407,'Dados para Ke Alternativo'!$P:$Q,2,0)</f>
        <v>5.1673999999999998</v>
      </c>
      <c r="E407" s="296">
        <f t="shared" si="30"/>
        <v>4.760614622440686</v>
      </c>
      <c r="F407" s="294">
        <f t="shared" si="32"/>
        <v>1.1718766798691105E-2</v>
      </c>
      <c r="G407" s="296">
        <f>VLOOKUP($A407,'Dados para Ke Alternativo'!$I:$J,2,0)</f>
        <v>2826.41</v>
      </c>
      <c r="H407" s="294">
        <f t="shared" si="33"/>
        <v>1.2540428712621843E-3</v>
      </c>
      <c r="I407" s="297">
        <f>VLOOKUP(A407,'Dados para Ke Alternativo'!$W:$X,2,0)</f>
        <v>113813</v>
      </c>
      <c r="J407" s="294">
        <f t="shared" si="34"/>
        <v>9.2341787737004744E-4</v>
      </c>
    </row>
    <row r="408" spans="1:10" x14ac:dyDescent="0.3">
      <c r="A408" s="167">
        <v>44792</v>
      </c>
      <c r="B408" s="219">
        <f>VLOOKUP('Ke Alternativo'!A408,'Dados para Ke Alternativo'!$A:$B,2,0)</f>
        <v>23.93</v>
      </c>
      <c r="C408" s="294">
        <f t="shared" si="31"/>
        <v>-2.7235772357723675E-2</v>
      </c>
      <c r="D408" s="296">
        <f>VLOOKUP(A408,'Dados para Ke Alternativo'!$P:$Q,2,0)</f>
        <v>5.1696999999999997</v>
      </c>
      <c r="E408" s="296">
        <f t="shared" si="30"/>
        <v>4.6288952937307775</v>
      </c>
      <c r="F408" s="294">
        <f t="shared" si="32"/>
        <v>-2.7668555251039839E-2</v>
      </c>
      <c r="G408" s="296">
        <f>VLOOKUP($A408,'Dados para Ke Alternativo'!$I:$J,2,0)</f>
        <v>2787.71</v>
      </c>
      <c r="H408" s="294">
        <f t="shared" si="33"/>
        <v>-1.3692281020800223E-2</v>
      </c>
      <c r="I408" s="297">
        <f>VLOOKUP(A408,'Dados para Ke Alternativo'!$W:$X,2,0)</f>
        <v>111496</v>
      </c>
      <c r="J408" s="294">
        <f t="shared" si="34"/>
        <v>-2.0357955593824917E-2</v>
      </c>
    </row>
    <row r="409" spans="1:10" x14ac:dyDescent="0.3">
      <c r="A409" s="168">
        <v>44795</v>
      </c>
      <c r="B409" s="219">
        <f>VLOOKUP('Ke Alternativo'!A409,'Dados para Ke Alternativo'!$A:$B,2,0)</f>
        <v>23.38</v>
      </c>
      <c r="C409" s="294">
        <f t="shared" si="31"/>
        <v>-2.2983702465524503E-2</v>
      </c>
      <c r="D409" s="296">
        <f>VLOOKUP(A409,'Dados para Ke Alternativo'!$P:$Q,2,0)</f>
        <v>5.1574</v>
      </c>
      <c r="E409" s="296">
        <f t="shared" si="30"/>
        <v>4.5332919688214988</v>
      </c>
      <c r="F409" s="294">
        <f t="shared" si="32"/>
        <v>-2.0653594182344248E-2</v>
      </c>
      <c r="G409" s="296">
        <f>VLOOKUP($A409,'Dados para Ke Alternativo'!$I:$J,2,0)</f>
        <v>2736.1</v>
      </c>
      <c r="H409" s="294">
        <f t="shared" si="33"/>
        <v>-1.851340347453645E-2</v>
      </c>
      <c r="I409" s="297">
        <f>VLOOKUP(A409,'Dados para Ke Alternativo'!$W:$X,2,0)</f>
        <v>110501</v>
      </c>
      <c r="J409" s="294">
        <f t="shared" si="34"/>
        <v>-8.9240869627610353E-3</v>
      </c>
    </row>
    <row r="410" spans="1:10" x14ac:dyDescent="0.3">
      <c r="A410" s="167">
        <v>44796</v>
      </c>
      <c r="B410" s="219">
        <f>VLOOKUP('Ke Alternativo'!A410,'Dados para Ke Alternativo'!$A:$B,2,0)</f>
        <v>25.07</v>
      </c>
      <c r="C410" s="294">
        <f t="shared" si="31"/>
        <v>7.2284003421728027E-2</v>
      </c>
      <c r="D410" s="296">
        <f>VLOOKUP(A410,'Dados para Ke Alternativo'!$P:$Q,2,0)</f>
        <v>5.1036999999999999</v>
      </c>
      <c r="E410" s="296">
        <f t="shared" si="30"/>
        <v>4.91212257773772</v>
      </c>
      <c r="F410" s="294">
        <f t="shared" si="32"/>
        <v>8.3566337999337881E-2</v>
      </c>
      <c r="G410" s="296">
        <f>VLOOKUP($A410,'Dados para Ke Alternativo'!$I:$J,2,0)</f>
        <v>2730.35</v>
      </c>
      <c r="H410" s="294">
        <f t="shared" si="33"/>
        <v>-2.1015313767771548E-3</v>
      </c>
      <c r="I410" s="297">
        <f>VLOOKUP(A410,'Dados para Ke Alternativo'!$W:$X,2,0)</f>
        <v>112857</v>
      </c>
      <c r="J410" s="294">
        <f t="shared" si="34"/>
        <v>2.1321074017429664E-2</v>
      </c>
    </row>
    <row r="411" spans="1:10" x14ac:dyDescent="0.3">
      <c r="A411" s="168">
        <v>44797</v>
      </c>
      <c r="B411" s="219">
        <f>VLOOKUP('Ke Alternativo'!A411,'Dados para Ke Alternativo'!$A:$B,2,0)</f>
        <v>25.94</v>
      </c>
      <c r="C411" s="294">
        <f t="shared" si="31"/>
        <v>3.4702832070203415E-2</v>
      </c>
      <c r="D411" s="296">
        <f>VLOOKUP(A411,'Dados para Ke Alternativo'!$P:$Q,2,0)</f>
        <v>5.1113999999999997</v>
      </c>
      <c r="E411" s="296">
        <f t="shared" si="30"/>
        <v>5.0749305474038433</v>
      </c>
      <c r="F411" s="294">
        <f t="shared" si="32"/>
        <v>3.3144117861387823E-2</v>
      </c>
      <c r="G411" s="296">
        <f>VLOOKUP($A411,'Dados para Ke Alternativo'!$I:$J,2,0)</f>
        <v>2736.01</v>
      </c>
      <c r="H411" s="294">
        <f t="shared" si="33"/>
        <v>2.0729943047594901E-3</v>
      </c>
      <c r="I411" s="297">
        <f>VLOOKUP(A411,'Dados para Ke Alternativo'!$W:$X,2,0)</f>
        <v>112898</v>
      </c>
      <c r="J411" s="294">
        <f t="shared" si="34"/>
        <v>3.632915991031993E-4</v>
      </c>
    </row>
    <row r="412" spans="1:10" x14ac:dyDescent="0.3">
      <c r="A412" s="167">
        <v>44798</v>
      </c>
      <c r="B412" s="219">
        <f>VLOOKUP('Ke Alternativo'!A412,'Dados para Ke Alternativo'!$A:$B,2,0)</f>
        <v>26.35</v>
      </c>
      <c r="C412" s="294">
        <f t="shared" si="31"/>
        <v>1.580570547417115E-2</v>
      </c>
      <c r="D412" s="296">
        <f>VLOOKUP(A412,'Dados para Ke Alternativo'!$P:$Q,2,0)</f>
        <v>5.1098999999999997</v>
      </c>
      <c r="E412" s="296">
        <f t="shared" si="30"/>
        <v>5.1566566860408232</v>
      </c>
      <c r="F412" s="294">
        <f t="shared" si="32"/>
        <v>1.6103893023479587E-2</v>
      </c>
      <c r="G412" s="296">
        <f>VLOOKUP($A412,'Dados para Ke Alternativo'!$I:$J,2,0)</f>
        <v>2768.48</v>
      </c>
      <c r="H412" s="294">
        <f t="shared" si="33"/>
        <v>1.1867646682577782E-2</v>
      </c>
      <c r="I412" s="297">
        <f>VLOOKUP(A412,'Dados para Ke Alternativo'!$W:$X,2,0)</f>
        <v>113532</v>
      </c>
      <c r="J412" s="294">
        <f t="shared" si="34"/>
        <v>5.6156884975819832E-3</v>
      </c>
    </row>
    <row r="413" spans="1:10" x14ac:dyDescent="0.3">
      <c r="A413" s="168">
        <v>44799</v>
      </c>
      <c r="B413" s="219">
        <f>VLOOKUP('Ke Alternativo'!A413,'Dados para Ke Alternativo'!$A:$B,2,0)</f>
        <v>26.52</v>
      </c>
      <c r="C413" s="294">
        <f t="shared" si="31"/>
        <v>6.4516129032257119E-3</v>
      </c>
      <c r="D413" s="296">
        <f>VLOOKUP(A413,'Dados para Ke Alternativo'!$P:$Q,2,0)</f>
        <v>5.0601000000000003</v>
      </c>
      <c r="E413" s="296">
        <f t="shared" si="30"/>
        <v>5.2410031422303902</v>
      </c>
      <c r="F413" s="294">
        <f t="shared" si="32"/>
        <v>1.635681049271609E-2</v>
      </c>
      <c r="G413" s="296">
        <f>VLOOKUP($A413,'Dados para Ke Alternativo'!$I:$J,2,0)</f>
        <v>2694.62</v>
      </c>
      <c r="H413" s="294">
        <f t="shared" si="33"/>
        <v>-2.6678899612783913E-2</v>
      </c>
      <c r="I413" s="297">
        <f>VLOOKUP(A413,'Dados para Ke Alternativo'!$W:$X,2,0)</f>
        <v>112299</v>
      </c>
      <c r="J413" s="294">
        <f t="shared" si="34"/>
        <v>-1.0860374167635523E-2</v>
      </c>
    </row>
    <row r="414" spans="1:10" x14ac:dyDescent="0.3">
      <c r="A414" s="167">
        <v>44802</v>
      </c>
      <c r="B414" s="219">
        <f>VLOOKUP('Ke Alternativo'!A414,'Dados para Ke Alternativo'!$A:$B,2,0)</f>
        <v>27.19</v>
      </c>
      <c r="C414" s="294">
        <f t="shared" si="31"/>
        <v>2.5263951734540102E-2</v>
      </c>
      <c r="D414" s="296">
        <f>VLOOKUP(A414,'Dados para Ke Alternativo'!$P:$Q,2,0)</f>
        <v>5.0282</v>
      </c>
      <c r="E414" s="296">
        <f t="shared" si="30"/>
        <v>5.4075016904657733</v>
      </c>
      <c r="F414" s="294">
        <f t="shared" si="32"/>
        <v>3.1768450374278334E-2</v>
      </c>
      <c r="G414" s="296">
        <f>VLOOKUP($A414,'Dados para Ke Alternativo'!$I:$J,2,0)</f>
        <v>2668.79</v>
      </c>
      <c r="H414" s="294">
        <f t="shared" si="33"/>
        <v>-9.5857671953744061E-3</v>
      </c>
      <c r="I414" s="297">
        <f>VLOOKUP(A414,'Dados para Ke Alternativo'!$W:$X,2,0)</f>
        <v>112323</v>
      </c>
      <c r="J414" s="294">
        <f t="shared" si="34"/>
        <v>2.1371517110568838E-4</v>
      </c>
    </row>
    <row r="415" spans="1:10" x14ac:dyDescent="0.3">
      <c r="A415" s="168">
        <v>44803</v>
      </c>
      <c r="B415" s="219">
        <f>VLOOKUP('Ke Alternativo'!A415,'Dados para Ke Alternativo'!$A:$B,2,0)</f>
        <v>26.83</v>
      </c>
      <c r="C415" s="294">
        <f t="shared" si="31"/>
        <v>-1.3240161824200181E-2</v>
      </c>
      <c r="D415" s="296">
        <f>VLOOKUP(A415,'Dados para Ke Alternativo'!$P:$Q,2,0)</f>
        <v>5.1223000000000001</v>
      </c>
      <c r="E415" s="296">
        <f t="shared" si="30"/>
        <v>5.2378814204556541</v>
      </c>
      <c r="F415" s="294">
        <f t="shared" si="32"/>
        <v>-3.1367585202827564E-2</v>
      </c>
      <c r="G415" s="296">
        <f>VLOOKUP($A415,'Dados para Ke Alternativo'!$I:$J,2,0)</f>
        <v>2645.37</v>
      </c>
      <c r="H415" s="294">
        <f t="shared" si="33"/>
        <v>-8.7755124981733212E-3</v>
      </c>
      <c r="I415" s="297">
        <f>VLOOKUP(A415,'Dados para Ke Alternativo'!$W:$X,2,0)</f>
        <v>110431</v>
      </c>
      <c r="J415" s="294">
        <f t="shared" si="34"/>
        <v>-1.6844279444103161E-2</v>
      </c>
    </row>
    <row r="416" spans="1:10" x14ac:dyDescent="0.3">
      <c r="A416" s="167">
        <v>44804</v>
      </c>
      <c r="B416" s="219">
        <f>VLOOKUP('Ke Alternativo'!A416,'Dados para Ke Alternativo'!$A:$B,2,0)</f>
        <v>27.27</v>
      </c>
      <c r="C416" s="294">
        <f t="shared" si="31"/>
        <v>1.6399552739470691E-2</v>
      </c>
      <c r="D416" s="296">
        <f>VLOOKUP(A416,'Dados para Ke Alternativo'!$P:$Q,2,0)</f>
        <v>5.1830999999999996</v>
      </c>
      <c r="E416" s="296">
        <f t="shared" si="30"/>
        <v>5.2613300920298665</v>
      </c>
      <c r="F416" s="294">
        <f t="shared" si="32"/>
        <v>4.4767473128806134E-3</v>
      </c>
      <c r="G416" s="296">
        <f>VLOOKUP($A416,'Dados para Ke Alternativo'!$I:$J,2,0)</f>
        <v>2627.32</v>
      </c>
      <c r="H416" s="294">
        <f t="shared" si="33"/>
        <v>-6.8232421173596292E-3</v>
      </c>
      <c r="I416" s="297">
        <f>VLOOKUP(A416,'Dados para Ke Alternativo'!$W:$X,2,0)</f>
        <v>109523</v>
      </c>
      <c r="J416" s="294">
        <f t="shared" si="34"/>
        <v>-8.2223288750441492E-3</v>
      </c>
    </row>
    <row r="417" spans="1:10" x14ac:dyDescent="0.3">
      <c r="A417" s="168">
        <v>44805</v>
      </c>
      <c r="B417" s="219">
        <f>VLOOKUP('Ke Alternativo'!A417,'Dados para Ke Alternativo'!$A:$B,2,0)</f>
        <v>27.16</v>
      </c>
      <c r="C417" s="294">
        <f t="shared" si="31"/>
        <v>-4.0337367070040209E-3</v>
      </c>
      <c r="D417" s="296">
        <f>VLOOKUP(A417,'Dados para Ke Alternativo'!$P:$Q,2,0)</f>
        <v>5.2416</v>
      </c>
      <c r="E417" s="296">
        <f t="shared" si="30"/>
        <v>5.1816239316239319</v>
      </c>
      <c r="F417" s="294">
        <f t="shared" si="32"/>
        <v>-1.5149431609827624E-2</v>
      </c>
      <c r="G417" s="296">
        <f>VLOOKUP($A417,'Dados para Ke Alternativo'!$I:$J,2,0)</f>
        <v>2610.25</v>
      </c>
      <c r="H417" s="294">
        <f t="shared" si="33"/>
        <v>-6.497114930804071E-3</v>
      </c>
      <c r="I417" s="297">
        <f>VLOOKUP(A417,'Dados para Ke Alternativo'!$W:$X,2,0)</f>
        <v>110405</v>
      </c>
      <c r="J417" s="294">
        <f t="shared" si="34"/>
        <v>8.0531030011961047E-3</v>
      </c>
    </row>
    <row r="418" spans="1:10" x14ac:dyDescent="0.3">
      <c r="A418" s="167">
        <v>44806</v>
      </c>
      <c r="B418" s="219">
        <f>VLOOKUP('Ke Alternativo'!A418,'Dados para Ke Alternativo'!$A:$B,2,0)</f>
        <v>27.71</v>
      </c>
      <c r="C418" s="294">
        <f t="shared" si="31"/>
        <v>2.0250368188512446E-2</v>
      </c>
      <c r="D418" s="296">
        <f>VLOOKUP(A418,'Dados para Ke Alternativo'!$P:$Q,2,0)</f>
        <v>5.1680999999999999</v>
      </c>
      <c r="E418" s="296">
        <f t="shared" si="30"/>
        <v>5.3617383564559509</v>
      </c>
      <c r="F418" s="294">
        <f t="shared" si="32"/>
        <v>3.4760227142839106E-2</v>
      </c>
      <c r="G418" s="296">
        <f>VLOOKUP($A418,'Dados para Ke Alternativo'!$I:$J,2,0)</f>
        <v>2605.21</v>
      </c>
      <c r="H418" s="294">
        <f t="shared" si="33"/>
        <v>-1.9308495354850574E-3</v>
      </c>
      <c r="I418" s="297">
        <f>VLOOKUP(A418,'Dados para Ke Alternativo'!$W:$X,2,0)</f>
        <v>110864</v>
      </c>
      <c r="J418" s="294">
        <f t="shared" si="34"/>
        <v>4.1574204066845422E-3</v>
      </c>
    </row>
    <row r="419" spans="1:10" x14ac:dyDescent="0.3">
      <c r="A419" s="168">
        <v>44809</v>
      </c>
      <c r="B419" s="219">
        <f>VLOOKUP('Ke Alternativo'!A419,'Dados para Ke Alternativo'!$A:$B,2,0)</f>
        <v>29.49</v>
      </c>
      <c r="C419" s="294">
        <f t="shared" si="31"/>
        <v>6.4236737639841168E-2</v>
      </c>
      <c r="D419" s="296">
        <f>VLOOKUP(A419,'Dados para Ke Alternativo'!$P:$Q,2,0)</f>
        <v>5.1516000000000002</v>
      </c>
      <c r="E419" s="296">
        <f t="shared" si="30"/>
        <v>5.7244351269508496</v>
      </c>
      <c r="F419" s="294">
        <f t="shared" si="32"/>
        <v>6.7645369166174252E-2</v>
      </c>
      <c r="G419" s="296">
        <f>VLOOKUP($A419,'Dados para Ke Alternativo'!$I:$J,2,0)</f>
        <v>2596.6999999999998</v>
      </c>
      <c r="H419" s="294">
        <f t="shared" si="33"/>
        <v>-3.2665312969012428E-3</v>
      </c>
      <c r="I419" s="297">
        <f>VLOOKUP(A419,'Dados para Ke Alternativo'!$W:$X,2,0)</f>
        <v>112203</v>
      </c>
      <c r="J419" s="294">
        <f t="shared" si="34"/>
        <v>1.2077861163227066E-2</v>
      </c>
    </row>
    <row r="420" spans="1:10" x14ac:dyDescent="0.3">
      <c r="A420" s="167">
        <v>44810</v>
      </c>
      <c r="B420" s="219">
        <f>VLOOKUP('Ke Alternativo'!A420,'Dados para Ke Alternativo'!$A:$B,2,0)</f>
        <v>28.67</v>
      </c>
      <c r="C420" s="294">
        <f t="shared" si="31"/>
        <v>-2.7806035944387797E-2</v>
      </c>
      <c r="D420" s="296">
        <f>VLOOKUP(A420,'Dados para Ke Alternativo'!$P:$Q,2,0)</f>
        <v>5.2527999999999997</v>
      </c>
      <c r="E420" s="296">
        <f t="shared" si="30"/>
        <v>5.458041425525435</v>
      </c>
      <c r="F420" s="294">
        <f t="shared" si="32"/>
        <v>-4.6536242531812988E-2</v>
      </c>
      <c r="G420" s="296">
        <f>VLOOKUP($A420,'Dados para Ke Alternativo'!$I:$J,2,0)</f>
        <v>2584.9699999999998</v>
      </c>
      <c r="H420" s="294">
        <f t="shared" si="33"/>
        <v>-4.5172719220549773E-3</v>
      </c>
      <c r="I420" s="297">
        <f>VLOOKUP(A420,'Dados para Ke Alternativo'!$W:$X,2,0)</f>
        <v>109764</v>
      </c>
      <c r="J420" s="294">
        <f t="shared" si="34"/>
        <v>-2.1737386700890315E-2</v>
      </c>
    </row>
    <row r="421" spans="1:10" x14ac:dyDescent="0.3">
      <c r="A421" s="168">
        <v>44812</v>
      </c>
      <c r="B421" s="219">
        <f>VLOOKUP('Ke Alternativo'!A421,'Dados para Ke Alternativo'!$A:$B,2,0)</f>
        <v>27.51</v>
      </c>
      <c r="C421" s="294">
        <f t="shared" si="31"/>
        <v>-4.0460411580048872E-2</v>
      </c>
      <c r="D421" s="296">
        <f>VLOOKUP(A421,'Dados para Ke Alternativo'!$P:$Q,2,0)</f>
        <v>5.2141000000000002</v>
      </c>
      <c r="E421" s="296">
        <f t="shared" si="30"/>
        <v>5.2760783260773669</v>
      </c>
      <c r="F421" s="294">
        <f t="shared" si="32"/>
        <v>-3.3338533965148631E-2</v>
      </c>
      <c r="G421" s="296">
        <f>VLOOKUP($A421,'Dados para Ke Alternativo'!$I:$J,2,0)</f>
        <v>2636.17</v>
      </c>
      <c r="H421" s="294">
        <f t="shared" si="33"/>
        <v>1.9806806268544808E-2</v>
      </c>
      <c r="I421" s="297">
        <f>VLOOKUP(A421,'Dados para Ke Alternativo'!$W:$X,2,0)</f>
        <v>109916</v>
      </c>
      <c r="J421" s="294">
        <f t="shared" si="34"/>
        <v>1.3847891840677029E-3</v>
      </c>
    </row>
    <row r="422" spans="1:10" x14ac:dyDescent="0.3">
      <c r="A422" s="167">
        <v>44813</v>
      </c>
      <c r="B422" s="219">
        <f>VLOOKUP('Ke Alternativo'!A422,'Dados para Ke Alternativo'!$A:$B,2,0)</f>
        <v>28.01</v>
      </c>
      <c r="C422" s="294">
        <f t="shared" si="31"/>
        <v>1.8175209014903659E-2</v>
      </c>
      <c r="D422" s="296">
        <f>VLOOKUP(A422,'Dados para Ke Alternativo'!$P:$Q,2,0)</f>
        <v>5.1462000000000003</v>
      </c>
      <c r="E422" s="296">
        <f t="shared" si="30"/>
        <v>5.4428510357156741</v>
      </c>
      <c r="F422" s="294">
        <f t="shared" si="32"/>
        <v>3.1609217932573541E-2</v>
      </c>
      <c r="G422" s="296">
        <f>VLOOKUP($A422,'Dados para Ke Alternativo'!$I:$J,2,0)</f>
        <v>2682.9</v>
      </c>
      <c r="H422" s="294">
        <f t="shared" si="33"/>
        <v>1.7726474392774305E-2</v>
      </c>
      <c r="I422" s="297">
        <f>VLOOKUP(A422,'Dados para Ke Alternativo'!$W:$X,2,0)</f>
        <v>112300</v>
      </c>
      <c r="J422" s="294">
        <f t="shared" si="34"/>
        <v>2.1689290003275241E-2</v>
      </c>
    </row>
    <row r="423" spans="1:10" x14ac:dyDescent="0.3">
      <c r="A423" s="168">
        <v>44816</v>
      </c>
      <c r="B423" s="219">
        <f>VLOOKUP('Ke Alternativo'!A423,'Dados para Ke Alternativo'!$A:$B,2,0)</f>
        <v>27.54</v>
      </c>
      <c r="C423" s="294">
        <f t="shared" si="31"/>
        <v>-1.6779721528025759E-2</v>
      </c>
      <c r="D423" s="296">
        <f>VLOOKUP(A423,'Dados para Ke Alternativo'!$P:$Q,2,0)</f>
        <v>5.093</v>
      </c>
      <c r="E423" s="296">
        <f t="shared" si="30"/>
        <v>5.4074219516984092</v>
      </c>
      <c r="F423" s="294">
        <f t="shared" si="32"/>
        <v>-6.5092878318332437E-3</v>
      </c>
      <c r="G423" s="296">
        <f>VLOOKUP($A423,'Dados para Ke Alternativo'!$I:$J,2,0)</f>
        <v>2719.01</v>
      </c>
      <c r="H423" s="294">
        <f t="shared" si="33"/>
        <v>1.3459316411345901E-2</v>
      </c>
      <c r="I423" s="297">
        <f>VLOOKUP(A423,'Dados para Ke Alternativo'!$W:$X,2,0)</f>
        <v>113407</v>
      </c>
      <c r="J423" s="294">
        <f t="shared" si="34"/>
        <v>9.8575244879786084E-3</v>
      </c>
    </row>
    <row r="424" spans="1:10" x14ac:dyDescent="0.3">
      <c r="A424" s="167">
        <v>44817</v>
      </c>
      <c r="B424" s="219">
        <f>VLOOKUP('Ke Alternativo'!A424,'Dados para Ke Alternativo'!$A:$B,2,0)</f>
        <v>26.99</v>
      </c>
      <c r="C424" s="294">
        <f t="shared" si="31"/>
        <v>-1.9970951343500354E-2</v>
      </c>
      <c r="D424" s="296">
        <f>VLOOKUP(A424,'Dados para Ke Alternativo'!$P:$Q,2,0)</f>
        <v>5.1910999999999996</v>
      </c>
      <c r="E424" s="296">
        <f t="shared" si="30"/>
        <v>5.1992833888771166</v>
      </c>
      <c r="F424" s="294">
        <f t="shared" si="32"/>
        <v>-3.8491274526101793E-2</v>
      </c>
      <c r="G424" s="296">
        <f>VLOOKUP($A424,'Dados para Ke Alternativo'!$I:$J,2,0)</f>
        <v>2619.5</v>
      </c>
      <c r="H424" s="294">
        <f t="shared" si="33"/>
        <v>-3.659787937521386E-2</v>
      </c>
      <c r="I424" s="297">
        <f>VLOOKUP(A424,'Dados para Ke Alternativo'!$W:$X,2,0)</f>
        <v>110794</v>
      </c>
      <c r="J424" s="294">
        <f t="shared" si="34"/>
        <v>-2.3040905764194486E-2</v>
      </c>
    </row>
    <row r="425" spans="1:10" x14ac:dyDescent="0.3">
      <c r="A425" s="168">
        <v>44818</v>
      </c>
      <c r="B425" s="219">
        <f>VLOOKUP('Ke Alternativo'!A425,'Dados para Ke Alternativo'!$A:$B,2,0)</f>
        <v>28.36</v>
      </c>
      <c r="C425" s="294">
        <f t="shared" si="31"/>
        <v>5.0759540570581629E-2</v>
      </c>
      <c r="D425" s="296">
        <f>VLOOKUP(A425,'Dados para Ke Alternativo'!$P:$Q,2,0)</f>
        <v>5.1631</v>
      </c>
      <c r="E425" s="296">
        <f t="shared" si="30"/>
        <v>5.4928240785574554</v>
      </c>
      <c r="F425" s="294">
        <f t="shared" si="32"/>
        <v>5.6457913086313649E-2</v>
      </c>
      <c r="G425" s="296">
        <f>VLOOKUP($A425,'Dados para Ke Alternativo'!$I:$J,2,0)</f>
        <v>2617.84</v>
      </c>
      <c r="H425" s="294">
        <f t="shared" si="33"/>
        <v>-6.3370872303869508E-4</v>
      </c>
      <c r="I425" s="297">
        <f>VLOOKUP(A425,'Dados para Ke Alternativo'!$W:$X,2,0)</f>
        <v>110547</v>
      </c>
      <c r="J425" s="294">
        <f t="shared" si="34"/>
        <v>-2.2293626008628165E-3</v>
      </c>
    </row>
    <row r="426" spans="1:10" x14ac:dyDescent="0.3">
      <c r="A426" s="167">
        <v>44819</v>
      </c>
      <c r="B426" s="219">
        <f>VLOOKUP('Ke Alternativo'!A426,'Dados para Ke Alternativo'!$A:$B,2,0)</f>
        <v>27.66</v>
      </c>
      <c r="C426" s="294">
        <f t="shared" si="31"/>
        <v>-2.4682651622002783E-2</v>
      </c>
      <c r="D426" s="296">
        <f>VLOOKUP(A426,'Dados para Ke Alternativo'!$P:$Q,2,0)</f>
        <v>5.2469999999999999</v>
      </c>
      <c r="E426" s="296">
        <f t="shared" si="30"/>
        <v>5.2715837621497998</v>
      </c>
      <c r="F426" s="294">
        <f t="shared" si="32"/>
        <v>-4.0278063386613772E-2</v>
      </c>
      <c r="G426" s="296">
        <f>VLOOKUP($A426,'Dados para Ke Alternativo'!$I:$J,2,0)</f>
        <v>2592</v>
      </c>
      <c r="H426" s="294">
        <f t="shared" si="33"/>
        <v>-9.8707331234911821E-3</v>
      </c>
      <c r="I426" s="297">
        <f>VLOOKUP(A426,'Dados para Ke Alternativo'!$W:$X,2,0)</f>
        <v>109954</v>
      </c>
      <c r="J426" s="294">
        <f t="shared" si="34"/>
        <v>-5.3642342171202895E-3</v>
      </c>
    </row>
    <row r="427" spans="1:10" x14ac:dyDescent="0.3">
      <c r="A427" s="168">
        <v>44820</v>
      </c>
      <c r="B427" s="219">
        <f>VLOOKUP('Ke Alternativo'!A427,'Dados para Ke Alternativo'!$A:$B,2,0)</f>
        <v>27.98</v>
      </c>
      <c r="C427" s="294">
        <f t="shared" si="31"/>
        <v>1.1569052783803269E-2</v>
      </c>
      <c r="D427" s="296">
        <f>VLOOKUP(A427,'Dados para Ke Alternativo'!$P:$Q,2,0)</f>
        <v>5.2530999999999999</v>
      </c>
      <c r="E427" s="296">
        <f t="shared" si="30"/>
        <v>5.3263787097142643</v>
      </c>
      <c r="F427" s="294">
        <f t="shared" si="32"/>
        <v>1.0394399489180861E-2</v>
      </c>
      <c r="G427" s="296">
        <f>VLOOKUP($A427,'Dados para Ke Alternativo'!$I:$J,2,0)</f>
        <v>2569.29</v>
      </c>
      <c r="H427" s="294">
        <f t="shared" si="33"/>
        <v>-8.7615740740740744E-3</v>
      </c>
      <c r="I427" s="297">
        <f>VLOOKUP(A427,'Dados para Ke Alternativo'!$W:$X,2,0)</f>
        <v>109280</v>
      </c>
      <c r="J427" s="294">
        <f t="shared" si="34"/>
        <v>-6.1298361132837709E-3</v>
      </c>
    </row>
    <row r="428" spans="1:10" x14ac:dyDescent="0.3">
      <c r="A428" s="167">
        <v>44823</v>
      </c>
      <c r="B428" s="219">
        <f>VLOOKUP('Ke Alternativo'!A428,'Dados para Ke Alternativo'!$A:$B,2,0)</f>
        <v>28.03</v>
      </c>
      <c r="C428" s="294">
        <f t="shared" si="31"/>
        <v>1.7869907076484282E-3</v>
      </c>
      <c r="D428" s="296">
        <f>VLOOKUP(A428,'Dados para Ke Alternativo'!$P:$Q,2,0)</f>
        <v>5.1669999999999998</v>
      </c>
      <c r="E428" s="296">
        <f t="shared" si="30"/>
        <v>5.4248113024966136</v>
      </c>
      <c r="F428" s="294">
        <f t="shared" si="32"/>
        <v>1.8480209190313124E-2</v>
      </c>
      <c r="G428" s="296">
        <f>VLOOKUP($A428,'Dados para Ke Alternativo'!$I:$J,2,0)</f>
        <v>2580.5500000000002</v>
      </c>
      <c r="H428" s="294">
        <f t="shared" si="33"/>
        <v>4.3825336960794381E-3</v>
      </c>
      <c r="I428" s="297">
        <f>VLOOKUP(A428,'Dados para Ke Alternativo'!$W:$X,2,0)</f>
        <v>111824</v>
      </c>
      <c r="J428" s="294">
        <f t="shared" si="34"/>
        <v>2.3279648609077608E-2</v>
      </c>
    </row>
    <row r="429" spans="1:10" x14ac:dyDescent="0.3">
      <c r="A429" s="168">
        <v>44824</v>
      </c>
      <c r="B429" s="219">
        <f>VLOOKUP('Ke Alternativo'!A429,'Dados para Ke Alternativo'!$A:$B,2,0)</f>
        <v>28.28</v>
      </c>
      <c r="C429" s="294">
        <f t="shared" si="31"/>
        <v>8.9190153407063821E-3</v>
      </c>
      <c r="D429" s="296">
        <f>VLOOKUP(A429,'Dados para Ke Alternativo'!$P:$Q,2,0)</f>
        <v>5.1417000000000002</v>
      </c>
      <c r="E429" s="296">
        <f t="shared" si="30"/>
        <v>5.5001264173327886</v>
      </c>
      <c r="F429" s="294">
        <f t="shared" si="32"/>
        <v>1.388345338417829E-2</v>
      </c>
      <c r="G429" s="296">
        <f>VLOOKUP($A429,'Dados para Ke Alternativo'!$I:$J,2,0)</f>
        <v>2554.02</v>
      </c>
      <c r="H429" s="294">
        <f t="shared" si="33"/>
        <v>-1.0280754102807599E-2</v>
      </c>
      <c r="I429" s="297">
        <f>VLOOKUP(A429,'Dados para Ke Alternativo'!$W:$X,2,0)</f>
        <v>112517</v>
      </c>
      <c r="J429" s="294">
        <f t="shared" si="34"/>
        <v>6.1972385176707334E-3</v>
      </c>
    </row>
    <row r="430" spans="1:10" x14ac:dyDescent="0.3">
      <c r="A430" s="167">
        <v>44825</v>
      </c>
      <c r="B430" s="219">
        <f>VLOOKUP('Ke Alternativo'!A430,'Dados para Ke Alternativo'!$A:$B,2,0)</f>
        <v>28.48</v>
      </c>
      <c r="C430" s="294">
        <f t="shared" si="31"/>
        <v>7.0721357850069833E-3</v>
      </c>
      <c r="D430" s="296">
        <f>VLOOKUP(A430,'Dados para Ke Alternativo'!$P:$Q,2,0)</f>
        <v>5.1715999999999998</v>
      </c>
      <c r="E430" s="296">
        <f t="shared" si="30"/>
        <v>5.5069997679634932</v>
      </c>
      <c r="F430" s="294">
        <f t="shared" si="32"/>
        <v>1.2496713910146173E-3</v>
      </c>
      <c r="G430" s="296">
        <f>VLOOKUP($A430,'Dados para Ke Alternativo'!$I:$J,2,0)</f>
        <v>2516.59</v>
      </c>
      <c r="H430" s="294">
        <f t="shared" si="33"/>
        <v>-1.4655327679501284E-2</v>
      </c>
      <c r="I430" s="297">
        <f>VLOOKUP(A430,'Dados para Ke Alternativo'!$W:$X,2,0)</f>
        <v>111936</v>
      </c>
      <c r="J430" s="294">
        <f t="shared" si="34"/>
        <v>-5.1636641574162034E-3</v>
      </c>
    </row>
    <row r="431" spans="1:10" x14ac:dyDescent="0.3">
      <c r="A431" s="168">
        <v>44826</v>
      </c>
      <c r="B431" s="219">
        <f>VLOOKUP('Ke Alternativo'!A431,'Dados para Ke Alternativo'!$A:$B,2,0)</f>
        <v>29.5</v>
      </c>
      <c r="C431" s="294">
        <f t="shared" si="31"/>
        <v>3.5814606741572996E-2</v>
      </c>
      <c r="D431" s="296">
        <f>VLOOKUP(A431,'Dados para Ke Alternativo'!$P:$Q,2,0)</f>
        <v>5.1166</v>
      </c>
      <c r="E431" s="296">
        <f t="shared" si="30"/>
        <v>5.7655474338427863</v>
      </c>
      <c r="F431" s="294">
        <f t="shared" si="32"/>
        <v>4.6948915339232844E-2</v>
      </c>
      <c r="G431" s="296">
        <f>VLOOKUP($A431,'Dados para Ke Alternativo'!$I:$J,2,0)</f>
        <v>2489.36</v>
      </c>
      <c r="H431" s="294">
        <f t="shared" si="33"/>
        <v>-1.0820197171569457E-2</v>
      </c>
      <c r="I431" s="297">
        <f>VLOOKUP(A431,'Dados para Ke Alternativo'!$W:$X,2,0)</f>
        <v>114070</v>
      </c>
      <c r="J431" s="294">
        <f t="shared" si="34"/>
        <v>1.906446540880502E-2</v>
      </c>
    </row>
    <row r="432" spans="1:10" x14ac:dyDescent="0.3">
      <c r="A432" s="167">
        <v>44827</v>
      </c>
      <c r="B432" s="219">
        <f>VLOOKUP('Ke Alternativo'!A432,'Dados para Ke Alternativo'!$A:$B,2,0)</f>
        <v>28.07</v>
      </c>
      <c r="C432" s="294">
        <f t="shared" si="31"/>
        <v>-4.8474576271186454E-2</v>
      </c>
      <c r="D432" s="296">
        <f>VLOOKUP(A432,'Dados para Ke Alternativo'!$P:$Q,2,0)</f>
        <v>5.2595000000000001</v>
      </c>
      <c r="E432" s="296">
        <f t="shared" si="30"/>
        <v>5.3370092214088789</v>
      </c>
      <c r="F432" s="294">
        <f t="shared" si="32"/>
        <v>-7.432741077082472E-2</v>
      </c>
      <c r="G432" s="296">
        <f>VLOOKUP($A432,'Dados para Ke Alternativo'!$I:$J,2,0)</f>
        <v>2438.5</v>
      </c>
      <c r="H432" s="294">
        <f t="shared" si="33"/>
        <v>-2.043095414082341E-2</v>
      </c>
      <c r="I432" s="297">
        <f>VLOOKUP(A432,'Dados para Ke Alternativo'!$W:$X,2,0)</f>
        <v>111716</v>
      </c>
      <c r="J432" s="294">
        <f t="shared" si="34"/>
        <v>-2.0636451301832226E-2</v>
      </c>
    </row>
    <row r="433" spans="1:10" x14ac:dyDescent="0.3">
      <c r="A433" s="168">
        <v>44830</v>
      </c>
      <c r="B433" s="219">
        <f>VLOOKUP('Ke Alternativo'!A433,'Dados para Ke Alternativo'!$A:$B,2,0)</f>
        <v>27.18</v>
      </c>
      <c r="C433" s="294">
        <f t="shared" si="31"/>
        <v>-3.1706448165301104E-2</v>
      </c>
      <c r="D433" s="296">
        <f>VLOOKUP(A433,'Dados para Ke Alternativo'!$P:$Q,2,0)</f>
        <v>5.3898000000000001</v>
      </c>
      <c r="E433" s="296">
        <f t="shared" si="30"/>
        <v>5.0428587331626407</v>
      </c>
      <c r="F433" s="294">
        <f t="shared" si="32"/>
        <v>-5.5115229530854681E-2</v>
      </c>
      <c r="G433" s="296">
        <f>VLOOKUP($A433,'Dados para Ke Alternativo'!$I:$J,2,0)</f>
        <v>2408.44</v>
      </c>
      <c r="H433" s="294">
        <f t="shared" si="33"/>
        <v>-1.2327250358827091E-2</v>
      </c>
      <c r="I433" s="297">
        <f>VLOOKUP(A433,'Dados para Ke Alternativo'!$W:$X,2,0)</f>
        <v>109114</v>
      </c>
      <c r="J433" s="294">
        <f t="shared" si="34"/>
        <v>-2.3291202692541813E-2</v>
      </c>
    </row>
    <row r="434" spans="1:10" x14ac:dyDescent="0.3">
      <c r="A434" s="167">
        <v>44831</v>
      </c>
      <c r="B434" s="219">
        <f>VLOOKUP('Ke Alternativo'!A434,'Dados para Ke Alternativo'!$A:$B,2,0)</f>
        <v>27.14</v>
      </c>
      <c r="C434" s="294">
        <f t="shared" si="31"/>
        <v>-1.4716703458425018E-3</v>
      </c>
      <c r="D434" s="296">
        <f>VLOOKUP(A434,'Dados para Ke Alternativo'!$P:$Q,2,0)</f>
        <v>5.3823999999999996</v>
      </c>
      <c r="E434" s="296">
        <f t="shared" si="30"/>
        <v>5.0423602853745546</v>
      </c>
      <c r="F434" s="294">
        <f t="shared" si="32"/>
        <v>-9.8842306410107383E-5</v>
      </c>
      <c r="G434" s="296">
        <f>VLOOKUP($A434,'Dados para Ke Alternativo'!$I:$J,2,0)</f>
        <v>2403.88</v>
      </c>
      <c r="H434" s="294">
        <f t="shared" si="33"/>
        <v>-1.8933417481855619E-3</v>
      </c>
      <c r="I434" s="297">
        <f>VLOOKUP(A434,'Dados para Ke Alternativo'!$W:$X,2,0)</f>
        <v>108376</v>
      </c>
      <c r="J434" s="294">
        <f t="shared" si="34"/>
        <v>-6.7635683780266076E-3</v>
      </c>
    </row>
    <row r="435" spans="1:10" x14ac:dyDescent="0.3">
      <c r="A435" s="168">
        <v>44832</v>
      </c>
      <c r="B435" s="219">
        <f>VLOOKUP('Ke Alternativo'!A435,'Dados para Ke Alternativo'!$A:$B,2,0)</f>
        <v>27.87</v>
      </c>
      <c r="C435" s="294">
        <f t="shared" si="31"/>
        <v>2.6897568165070052E-2</v>
      </c>
      <c r="D435" s="296">
        <f>VLOOKUP(A435,'Dados para Ke Alternativo'!$P:$Q,2,0)</f>
        <v>5.3745000000000003</v>
      </c>
      <c r="E435" s="296">
        <f t="shared" si="30"/>
        <v>5.1855986603404967</v>
      </c>
      <c r="F435" s="294">
        <f t="shared" si="32"/>
        <v>2.8407009190003274E-2</v>
      </c>
      <c r="G435" s="296">
        <f>VLOOKUP($A435,'Dados para Ke Alternativo'!$I:$J,2,0)</f>
        <v>2438.7800000000002</v>
      </c>
      <c r="H435" s="294">
        <f t="shared" si="33"/>
        <v>1.4518195583806293E-2</v>
      </c>
      <c r="I435" s="297">
        <f>VLOOKUP(A435,'Dados para Ke Alternativo'!$W:$X,2,0)</f>
        <v>108451</v>
      </c>
      <c r="J435" s="294">
        <f t="shared" si="34"/>
        <v>6.9203513693061325E-4</v>
      </c>
    </row>
    <row r="436" spans="1:10" x14ac:dyDescent="0.3">
      <c r="A436" s="167">
        <v>44833</v>
      </c>
      <c r="B436" s="219">
        <f>VLOOKUP('Ke Alternativo'!A436,'Dados para Ke Alternativo'!$A:$B,2,0)</f>
        <v>27.19</v>
      </c>
      <c r="C436" s="294">
        <f t="shared" si="31"/>
        <v>-2.4398995335486173E-2</v>
      </c>
      <c r="D436" s="296">
        <f>VLOOKUP(A436,'Dados para Ke Alternativo'!$P:$Q,2,0)</f>
        <v>5.3963999999999999</v>
      </c>
      <c r="E436" s="296">
        <f t="shared" si="30"/>
        <v>5.0385442146616271</v>
      </c>
      <c r="F436" s="294">
        <f t="shared" si="32"/>
        <v>-2.8358238905672239E-2</v>
      </c>
      <c r="G436" s="296">
        <f>VLOOKUP($A436,'Dados para Ke Alternativo'!$I:$J,2,0)</f>
        <v>2401.3200000000002</v>
      </c>
      <c r="H436" s="294">
        <f t="shared" si="33"/>
        <v>-1.5360139085936475E-2</v>
      </c>
      <c r="I436" s="297">
        <f>VLOOKUP(A436,'Dados para Ke Alternativo'!$W:$X,2,0)</f>
        <v>107664</v>
      </c>
      <c r="J436" s="294">
        <f t="shared" si="34"/>
        <v>-7.2567334556620233E-3</v>
      </c>
    </row>
    <row r="437" spans="1:10" x14ac:dyDescent="0.3">
      <c r="A437" s="168">
        <v>44834</v>
      </c>
      <c r="B437" s="219">
        <f>VLOOKUP('Ke Alternativo'!A437,'Dados para Ke Alternativo'!$A:$B,2,0)</f>
        <v>27.49</v>
      </c>
      <c r="C437" s="294">
        <f t="shared" si="31"/>
        <v>1.1033468186833373E-2</v>
      </c>
      <c r="D437" s="296">
        <f>VLOOKUP(A437,'Dados para Ke Alternativo'!$P:$Q,2,0)</f>
        <v>5.4154</v>
      </c>
      <c r="E437" s="296">
        <f t="shared" si="30"/>
        <v>5.0762639878863975</v>
      </c>
      <c r="F437" s="294">
        <f t="shared" si="32"/>
        <v>7.4862443630066E-3</v>
      </c>
      <c r="G437" s="296">
        <f>VLOOKUP($A437,'Dados para Ke Alternativo'!$I:$J,2,0)</f>
        <v>2378.65</v>
      </c>
      <c r="H437" s="294">
        <f t="shared" si="33"/>
        <v>-9.4406409807938907E-3</v>
      </c>
      <c r="I437" s="297">
        <f>VLOOKUP(A437,'Dados para Ke Alternativo'!$W:$X,2,0)</f>
        <v>110037</v>
      </c>
      <c r="J437" s="294">
        <f t="shared" si="34"/>
        <v>2.2040793580026641E-2</v>
      </c>
    </row>
    <row r="438" spans="1:10" x14ac:dyDescent="0.3">
      <c r="A438" s="167">
        <v>44837</v>
      </c>
      <c r="B438" s="219">
        <f>VLOOKUP('Ke Alternativo'!A438,'Dados para Ke Alternativo'!$A:$B,2,0)</f>
        <v>28.89</v>
      </c>
      <c r="C438" s="294">
        <f t="shared" si="31"/>
        <v>5.092761004001467E-2</v>
      </c>
      <c r="D438" s="296">
        <f>VLOOKUP(A438,'Dados para Ke Alternativo'!$P:$Q,2,0)</f>
        <v>5.1672000000000002</v>
      </c>
      <c r="E438" s="296">
        <f t="shared" si="30"/>
        <v>5.5910357640501624</v>
      </c>
      <c r="F438" s="294">
        <f t="shared" si="32"/>
        <v>0.10140760555246464</v>
      </c>
      <c r="G438" s="296">
        <f>VLOOKUP($A438,'Dados para Ke Alternativo'!$I:$J,2,0)</f>
        <v>2429.91</v>
      </c>
      <c r="H438" s="294">
        <f t="shared" si="33"/>
        <v>2.1550038887604206E-2</v>
      </c>
      <c r="I438" s="297">
        <f>VLOOKUP(A438,'Dados para Ke Alternativo'!$W:$X,2,0)</f>
        <v>116134</v>
      </c>
      <c r="J438" s="294">
        <f t="shared" si="34"/>
        <v>5.5408635277224949E-2</v>
      </c>
    </row>
    <row r="439" spans="1:10" x14ac:dyDescent="0.3">
      <c r="A439" s="168">
        <v>44838</v>
      </c>
      <c r="B439" s="219">
        <f>VLOOKUP('Ke Alternativo'!A439,'Dados para Ke Alternativo'!$A:$B,2,0)</f>
        <v>30.28</v>
      </c>
      <c r="C439" s="294">
        <f t="shared" si="31"/>
        <v>4.8113534094842425E-2</v>
      </c>
      <c r="D439" s="296">
        <f>VLOOKUP(A439,'Dados para Ke Alternativo'!$P:$Q,2,0)</f>
        <v>5.1769999999999996</v>
      </c>
      <c r="E439" s="296">
        <f t="shared" si="30"/>
        <v>5.8489472667568094</v>
      </c>
      <c r="F439" s="294">
        <f t="shared" si="32"/>
        <v>4.6129467524603118E-2</v>
      </c>
      <c r="G439" s="296">
        <f>VLOOKUP($A439,'Dados para Ke Alternativo'!$I:$J,2,0)</f>
        <v>2511.7199999999998</v>
      </c>
      <c r="H439" s="294">
        <f t="shared" si="33"/>
        <v>3.3667913626430623E-2</v>
      </c>
      <c r="I439" s="297">
        <f>VLOOKUP(A439,'Dados para Ke Alternativo'!$W:$X,2,0)</f>
        <v>116230</v>
      </c>
      <c r="J439" s="294">
        <f t="shared" si="34"/>
        <v>8.2663130521631878E-4</v>
      </c>
    </row>
    <row r="440" spans="1:10" x14ac:dyDescent="0.3">
      <c r="A440" s="167">
        <v>44839</v>
      </c>
      <c r="B440" s="219">
        <f>VLOOKUP('Ke Alternativo'!A440,'Dados para Ke Alternativo'!$A:$B,2,0)</f>
        <v>31.25</v>
      </c>
      <c r="C440" s="294">
        <f t="shared" si="31"/>
        <v>3.2034346103038347E-2</v>
      </c>
      <c r="D440" s="296">
        <f>VLOOKUP(A440,'Dados para Ke Alternativo'!$P:$Q,2,0)</f>
        <v>5.194</v>
      </c>
      <c r="E440" s="296">
        <f t="shared" si="30"/>
        <v>6.0165575664227955</v>
      </c>
      <c r="F440" s="294">
        <f t="shared" si="32"/>
        <v>2.8656490137741297E-2</v>
      </c>
      <c r="G440" s="296">
        <f>VLOOKUP($A440,'Dados para Ke Alternativo'!$I:$J,2,0)</f>
        <v>2500.08</v>
      </c>
      <c r="H440" s="294">
        <f t="shared" si="33"/>
        <v>-4.6342745210452563E-3</v>
      </c>
      <c r="I440" s="297">
        <f>VLOOKUP(A440,'Dados para Ke Alternativo'!$W:$X,2,0)</f>
        <v>117198</v>
      </c>
      <c r="J440" s="294">
        <f t="shared" si="34"/>
        <v>8.3283145487396126E-3</v>
      </c>
    </row>
    <row r="441" spans="1:10" x14ac:dyDescent="0.3">
      <c r="A441" s="168">
        <v>44840</v>
      </c>
      <c r="B441" s="219">
        <f>VLOOKUP('Ke Alternativo'!A441,'Dados para Ke Alternativo'!$A:$B,2,0)</f>
        <v>31.56</v>
      </c>
      <c r="C441" s="294">
        <f t="shared" si="31"/>
        <v>9.9199999999999289E-3</v>
      </c>
      <c r="D441" s="296">
        <f>VLOOKUP(A441,'Dados para Ke Alternativo'!$P:$Q,2,0)</f>
        <v>5.2217000000000002</v>
      </c>
      <c r="E441" s="296">
        <f t="shared" si="30"/>
        <v>6.0440086561847668</v>
      </c>
      <c r="F441" s="294">
        <f t="shared" si="32"/>
        <v>4.5625907271578114E-3</v>
      </c>
      <c r="G441" s="296">
        <f>VLOOKUP($A441,'Dados para Ke Alternativo'!$I:$J,2,0)</f>
        <v>2478.42</v>
      </c>
      <c r="H441" s="294">
        <f t="shared" si="33"/>
        <v>-8.6637227608715728E-3</v>
      </c>
      <c r="I441" s="297">
        <f>VLOOKUP(A441,'Dados para Ke Alternativo'!$W:$X,2,0)</f>
        <v>117561</v>
      </c>
      <c r="J441" s="294">
        <f t="shared" si="34"/>
        <v>3.0973224799057952E-3</v>
      </c>
    </row>
    <row r="442" spans="1:10" x14ac:dyDescent="0.3">
      <c r="A442" s="167">
        <v>44841</v>
      </c>
      <c r="B442" s="219">
        <f>VLOOKUP('Ke Alternativo'!A442,'Dados para Ke Alternativo'!$A:$B,2,0)</f>
        <v>31.96</v>
      </c>
      <c r="C442" s="294">
        <f t="shared" si="31"/>
        <v>1.2674271229404344E-2</v>
      </c>
      <c r="D442" s="296">
        <f>VLOOKUP(A442,'Dados para Ke Alternativo'!$P:$Q,2,0)</f>
        <v>5.1996000000000002</v>
      </c>
      <c r="E442" s="296">
        <f t="shared" si="30"/>
        <v>6.1466266635895064</v>
      </c>
      <c r="F442" s="294">
        <f t="shared" si="32"/>
        <v>1.6978467974186673E-2</v>
      </c>
      <c r="G442" s="296">
        <f>VLOOKUP($A442,'Dados para Ke Alternativo'!$I:$J,2,0)</f>
        <v>2417.7199999999998</v>
      </c>
      <c r="H442" s="294">
        <f t="shared" si="33"/>
        <v>-2.4491409849823786E-2</v>
      </c>
      <c r="I442" s="297">
        <f>VLOOKUP(A442,'Dados para Ke Alternativo'!$W:$X,2,0)</f>
        <v>116375</v>
      </c>
      <c r="J442" s="294">
        <f t="shared" si="34"/>
        <v>-1.0088379649713763E-2</v>
      </c>
    </row>
    <row r="443" spans="1:10" x14ac:dyDescent="0.3">
      <c r="A443" s="168">
        <v>44844</v>
      </c>
      <c r="B443" s="219">
        <f>VLOOKUP('Ke Alternativo'!A443,'Dados para Ke Alternativo'!$A:$B,2,0)</f>
        <v>31.41</v>
      </c>
      <c r="C443" s="294">
        <f t="shared" si="31"/>
        <v>-1.7209011264080143E-2</v>
      </c>
      <c r="D443" s="296">
        <f>VLOOKUP(A443,'Dados para Ke Alternativo'!$P:$Q,2,0)</f>
        <v>5.1901000000000002</v>
      </c>
      <c r="E443" s="296">
        <f t="shared" si="30"/>
        <v>6.0519065143253501</v>
      </c>
      <c r="F443" s="294">
        <f t="shared" si="32"/>
        <v>-1.5410102882162269E-2</v>
      </c>
      <c r="G443" s="296">
        <f>VLOOKUP($A443,'Dados para Ke Alternativo'!$I:$J,2,0)</f>
        <v>2395.61</v>
      </c>
      <c r="H443" s="294">
        <f t="shared" si="33"/>
        <v>-9.1449795675262457E-3</v>
      </c>
      <c r="I443" s="297">
        <f>VLOOKUP(A443,'Dados para Ke Alternativo'!$W:$X,2,0)</f>
        <v>115941</v>
      </c>
      <c r="J443" s="294">
        <f t="shared" si="34"/>
        <v>-3.7293233082706934E-3</v>
      </c>
    </row>
    <row r="444" spans="1:10" x14ac:dyDescent="0.3">
      <c r="A444" s="167">
        <v>44845</v>
      </c>
      <c r="B444" s="219">
        <f>VLOOKUP('Ke Alternativo'!A444,'Dados para Ke Alternativo'!$A:$B,2,0)</f>
        <v>31.45</v>
      </c>
      <c r="C444" s="294">
        <f t="shared" si="31"/>
        <v>1.2734797835083356E-3</v>
      </c>
      <c r="D444" s="296">
        <f>VLOOKUP(A444,'Dados para Ke Alternativo'!$P:$Q,2,0)</f>
        <v>5.3005000000000004</v>
      </c>
      <c r="E444" s="296">
        <f t="shared" si="30"/>
        <v>5.9334025091972453</v>
      </c>
      <c r="F444" s="294">
        <f t="shared" si="32"/>
        <v>-1.9581268290842946E-2</v>
      </c>
      <c r="G444" s="296">
        <f>VLOOKUP($A444,'Dados para Ke Alternativo'!$I:$J,2,0)</f>
        <v>2376.29</v>
      </c>
      <c r="H444" s="294">
        <f t="shared" si="33"/>
        <v>-8.0647517751221143E-3</v>
      </c>
      <c r="I444" s="297">
        <f>VLOOKUP(A444,'Dados para Ke Alternativo'!$W:$X,2,0)</f>
        <v>114827</v>
      </c>
      <c r="J444" s="294">
        <f t="shared" si="34"/>
        <v>-9.6083352739755323E-3</v>
      </c>
    </row>
    <row r="445" spans="1:10" x14ac:dyDescent="0.3">
      <c r="A445" s="168">
        <v>44847</v>
      </c>
      <c r="B445" s="219">
        <f>VLOOKUP('Ke Alternativo'!A445,'Dados para Ke Alternativo'!$A:$B,2,0)</f>
        <v>31.71</v>
      </c>
      <c r="C445" s="294">
        <f t="shared" si="31"/>
        <v>8.2670906200319472E-3</v>
      </c>
      <c r="D445" s="296">
        <f>VLOOKUP(A445,'Dados para Ke Alternativo'!$P:$Q,2,0)</f>
        <v>5.2625999999999999</v>
      </c>
      <c r="E445" s="296">
        <f t="shared" si="30"/>
        <v>6.0255387071029531</v>
      </c>
      <c r="F445" s="294">
        <f t="shared" si="32"/>
        <v>1.5528391637494643E-2</v>
      </c>
      <c r="G445" s="296">
        <f>VLOOKUP($A445,'Dados para Ke Alternativo'!$I:$J,2,0)</f>
        <v>2411.69</v>
      </c>
      <c r="H445" s="294">
        <f t="shared" si="33"/>
        <v>1.48971716415085E-2</v>
      </c>
      <c r="I445" s="297">
        <f>VLOOKUP(A445,'Dados para Ke Alternativo'!$W:$X,2,0)</f>
        <v>114300</v>
      </c>
      <c r="J445" s="294">
        <f t="shared" si="34"/>
        <v>-4.5895129194353235E-3</v>
      </c>
    </row>
    <row r="446" spans="1:10" x14ac:dyDescent="0.3">
      <c r="A446" s="167">
        <v>44848</v>
      </c>
      <c r="B446" s="219">
        <f>VLOOKUP('Ke Alternativo'!A446,'Dados para Ke Alternativo'!$A:$B,2,0)</f>
        <v>31</v>
      </c>
      <c r="C446" s="294">
        <f t="shared" si="31"/>
        <v>-2.2390413118890007E-2</v>
      </c>
      <c r="D446" s="296">
        <f>VLOOKUP(A446,'Dados para Ke Alternativo'!$P:$Q,2,0)</f>
        <v>5.3251999999999997</v>
      </c>
      <c r="E446" s="296">
        <f t="shared" si="30"/>
        <v>5.8213776008412834</v>
      </c>
      <c r="F446" s="294">
        <f t="shared" si="32"/>
        <v>-3.388263127759894E-2</v>
      </c>
      <c r="G446" s="296">
        <f>VLOOKUP($A446,'Dados para Ke Alternativo'!$I:$J,2,0)</f>
        <v>2376.64</v>
      </c>
      <c r="H446" s="294">
        <f t="shared" si="33"/>
        <v>-1.4533377009483095E-2</v>
      </c>
      <c r="I446" s="297">
        <f>VLOOKUP(A446,'Dados para Ke Alternativo'!$W:$X,2,0)</f>
        <v>112072</v>
      </c>
      <c r="J446" s="294">
        <f t="shared" si="34"/>
        <v>-1.9492563429571286E-2</v>
      </c>
    </row>
    <row r="447" spans="1:10" x14ac:dyDescent="0.3">
      <c r="A447" s="168">
        <v>44851</v>
      </c>
      <c r="B447" s="219">
        <f>VLOOKUP('Ke Alternativo'!A447,'Dados para Ke Alternativo'!$A:$B,2,0)</f>
        <v>31.3</v>
      </c>
      <c r="C447" s="294">
        <f t="shared" si="31"/>
        <v>9.6774193548387899E-3</v>
      </c>
      <c r="D447" s="296">
        <f>VLOOKUP(A447,'Dados para Ke Alternativo'!$P:$Q,2,0)</f>
        <v>5.2808000000000002</v>
      </c>
      <c r="E447" s="296">
        <f t="shared" si="30"/>
        <v>5.9271322526889865</v>
      </c>
      <c r="F447" s="294">
        <f t="shared" si="32"/>
        <v>1.8166602323206105E-2</v>
      </c>
      <c r="G447" s="296">
        <f>VLOOKUP($A447,'Dados para Ke Alternativo'!$I:$J,2,0)</f>
        <v>2431.84</v>
      </c>
      <c r="H447" s="294">
        <f t="shared" si="33"/>
        <v>2.3226067052645849E-2</v>
      </c>
      <c r="I447" s="297">
        <f>VLOOKUP(A447,'Dados para Ke Alternativo'!$W:$X,2,0)</f>
        <v>113624</v>
      </c>
      <c r="J447" s="294">
        <f t="shared" si="34"/>
        <v>1.3848240416874935E-2</v>
      </c>
    </row>
    <row r="448" spans="1:10" x14ac:dyDescent="0.3">
      <c r="A448" s="167">
        <v>44852</v>
      </c>
      <c r="B448" s="219">
        <f>VLOOKUP('Ke Alternativo'!A448,'Dados para Ke Alternativo'!$A:$B,2,0)</f>
        <v>32.18</v>
      </c>
      <c r="C448" s="294">
        <f t="shared" si="31"/>
        <v>2.8115015974440771E-2</v>
      </c>
      <c r="D448" s="296">
        <f>VLOOKUP(A448,'Dados para Ke Alternativo'!$P:$Q,2,0)</f>
        <v>5.2404999999999999</v>
      </c>
      <c r="E448" s="296">
        <f t="shared" si="30"/>
        <v>6.1406354355500428</v>
      </c>
      <c r="F448" s="294">
        <f t="shared" si="32"/>
        <v>3.602132933075608E-2</v>
      </c>
      <c r="G448" s="296">
        <f>VLOOKUP($A448,'Dados para Ke Alternativo'!$I:$J,2,0)</f>
        <v>2457.86</v>
      </c>
      <c r="H448" s="294">
        <f t="shared" si="33"/>
        <v>1.0699717086650518E-2</v>
      </c>
      <c r="I448" s="297">
        <f>VLOOKUP(A448,'Dados para Ke Alternativo'!$W:$X,2,0)</f>
        <v>115743</v>
      </c>
      <c r="J448" s="294">
        <f t="shared" si="34"/>
        <v>1.8649229036119097E-2</v>
      </c>
    </row>
    <row r="449" spans="1:10" x14ac:dyDescent="0.3">
      <c r="A449" s="168">
        <v>44853</v>
      </c>
      <c r="B449" s="219">
        <f>VLOOKUP('Ke Alternativo'!A449,'Dados para Ke Alternativo'!$A:$B,2,0)</f>
        <v>33.380000000000003</v>
      </c>
      <c r="C449" s="294">
        <f t="shared" si="31"/>
        <v>3.7290242386575523E-2</v>
      </c>
      <c r="D449" s="296">
        <f>VLOOKUP(A449,'Dados para Ke Alternativo'!$P:$Q,2,0)</f>
        <v>5.27</v>
      </c>
      <c r="E449" s="296">
        <f t="shared" si="30"/>
        <v>6.3339658444022779</v>
      </c>
      <c r="F449" s="294">
        <f t="shared" si="32"/>
        <v>3.148377898042698E-2</v>
      </c>
      <c r="G449" s="296">
        <f>VLOOKUP($A449,'Dados para Ke Alternativo'!$I:$J,2,0)</f>
        <v>2439.3000000000002</v>
      </c>
      <c r="H449" s="294">
        <f t="shared" si="33"/>
        <v>-7.551284450700968E-3</v>
      </c>
      <c r="I449" s="297">
        <f>VLOOKUP(A449,'Dados para Ke Alternativo'!$W:$X,2,0)</f>
        <v>116274</v>
      </c>
      <c r="J449" s="294">
        <f t="shared" si="34"/>
        <v>4.5877504471112385E-3</v>
      </c>
    </row>
    <row r="450" spans="1:10" x14ac:dyDescent="0.3">
      <c r="A450" s="167">
        <v>44854</v>
      </c>
      <c r="B450" s="219">
        <f>VLOOKUP('Ke Alternativo'!A450,'Dados para Ke Alternativo'!$A:$B,2,0)</f>
        <v>33.159999999999997</v>
      </c>
      <c r="C450" s="294">
        <f t="shared" si="31"/>
        <v>-6.5907729179150998E-3</v>
      </c>
      <c r="D450" s="296">
        <f>VLOOKUP(A450,'Dados para Ke Alternativo'!$P:$Q,2,0)</f>
        <v>5.2146999999999997</v>
      </c>
      <c r="E450" s="296">
        <f t="shared" ref="E450:E513" si="35">B450/D450</f>
        <v>6.3589468234030715</v>
      </c>
      <c r="F450" s="294">
        <f t="shared" si="32"/>
        <v>3.9439712203170885E-3</v>
      </c>
      <c r="G450" s="296">
        <f>VLOOKUP($A450,'Dados para Ke Alternativo'!$I:$J,2,0)</f>
        <v>2429.2600000000002</v>
      </c>
      <c r="H450" s="294">
        <f t="shared" si="33"/>
        <v>-4.1159348993563549E-3</v>
      </c>
      <c r="I450" s="297">
        <f>VLOOKUP(A450,'Dados para Ke Alternativo'!$W:$X,2,0)</f>
        <v>117171</v>
      </c>
      <c r="J450" s="294">
        <f t="shared" si="34"/>
        <v>7.7145363537849398E-3</v>
      </c>
    </row>
    <row r="451" spans="1:10" x14ac:dyDescent="0.3">
      <c r="A451" s="168">
        <v>44855</v>
      </c>
      <c r="B451" s="219">
        <f>VLOOKUP('Ke Alternativo'!A451,'Dados para Ke Alternativo'!$A:$B,2,0)</f>
        <v>33.799999999999997</v>
      </c>
      <c r="C451" s="294">
        <f t="shared" ref="C451:C514" si="36">B451/B450-1</f>
        <v>1.93003618817853E-2</v>
      </c>
      <c r="D451" s="296">
        <f>VLOOKUP(A451,'Dados para Ke Alternativo'!$P:$Q,2,0)</f>
        <v>5.1604999999999999</v>
      </c>
      <c r="E451" s="296">
        <f t="shared" si="35"/>
        <v>6.5497529309175464</v>
      </c>
      <c r="F451" s="294">
        <f t="shared" ref="F451:F514" si="37">E451/E450-1</f>
        <v>3.0005929096976303E-2</v>
      </c>
      <c r="G451" s="296">
        <f>VLOOKUP($A451,'Dados para Ke Alternativo'!$I:$J,2,0)</f>
        <v>2462.42</v>
      </c>
      <c r="H451" s="294">
        <f t="shared" ref="H451:H514" si="38">G451/G450-1</f>
        <v>1.3650247400442961E-2</v>
      </c>
      <c r="I451" s="297">
        <f>VLOOKUP(A451,'Dados para Ke Alternativo'!$W:$X,2,0)</f>
        <v>119929</v>
      </c>
      <c r="J451" s="294">
        <f t="shared" ref="J451:J514" si="39">I451/I450-1</f>
        <v>2.353824751858391E-2</v>
      </c>
    </row>
    <row r="452" spans="1:10" x14ac:dyDescent="0.3">
      <c r="A452" s="167">
        <v>44858</v>
      </c>
      <c r="B452" s="219">
        <f>VLOOKUP('Ke Alternativo'!A452,'Dados para Ke Alternativo'!$A:$B,2,0)</f>
        <v>33.44</v>
      </c>
      <c r="C452" s="294">
        <f t="shared" si="36"/>
        <v>-1.0650887573964485E-2</v>
      </c>
      <c r="D452" s="296">
        <f>VLOOKUP(A452,'Dados para Ke Alternativo'!$P:$Q,2,0)</f>
        <v>5.3032000000000004</v>
      </c>
      <c r="E452" s="296">
        <f t="shared" si="35"/>
        <v>6.3056267913712469</v>
      </c>
      <c r="F452" s="294">
        <f t="shared" si="37"/>
        <v>-3.7272572281913607E-2</v>
      </c>
      <c r="G452" s="296">
        <f>VLOOKUP($A452,'Dados para Ke Alternativo'!$I:$J,2,0)</f>
        <v>2493.06</v>
      </c>
      <c r="H452" s="294">
        <f t="shared" si="38"/>
        <v>1.2443043834926559E-2</v>
      </c>
      <c r="I452" s="297">
        <f>VLOOKUP(A452,'Dados para Ke Alternativo'!$W:$X,2,0)</f>
        <v>116013</v>
      </c>
      <c r="J452" s="294">
        <f t="shared" si="39"/>
        <v>-3.265265281958496E-2</v>
      </c>
    </row>
    <row r="453" spans="1:10" x14ac:dyDescent="0.3">
      <c r="A453" s="168">
        <v>44859</v>
      </c>
      <c r="B453" s="219">
        <f>VLOOKUP('Ke Alternativo'!A453,'Dados para Ke Alternativo'!$A:$B,2,0)</f>
        <v>33.74</v>
      </c>
      <c r="C453" s="294">
        <f t="shared" si="36"/>
        <v>8.9712918660287411E-3</v>
      </c>
      <c r="D453" s="296">
        <f>VLOOKUP(A453,'Dados para Ke Alternativo'!$P:$Q,2,0)</f>
        <v>5.3167</v>
      </c>
      <c r="E453" s="296">
        <f t="shared" si="35"/>
        <v>6.3460417176067869</v>
      </c>
      <c r="F453" s="294">
        <f t="shared" si="37"/>
        <v>6.4093432061098632E-3</v>
      </c>
      <c r="G453" s="296">
        <f>VLOOKUP($A453,'Dados para Ke Alternativo'!$I:$J,2,0)</f>
        <v>2537.54</v>
      </c>
      <c r="H453" s="294">
        <f t="shared" si="38"/>
        <v>1.7841528081955493E-2</v>
      </c>
      <c r="I453" s="297">
        <f>VLOOKUP(A453,'Dados para Ke Alternativo'!$W:$X,2,0)</f>
        <v>114626</v>
      </c>
      <c r="J453" s="294">
        <f t="shared" si="39"/>
        <v>-1.1955556704852044E-2</v>
      </c>
    </row>
    <row r="454" spans="1:10" x14ac:dyDescent="0.3">
      <c r="A454" s="167">
        <v>44860</v>
      </c>
      <c r="B454" s="219">
        <f>VLOOKUP('Ke Alternativo'!A454,'Dados para Ke Alternativo'!$A:$B,2,0)</f>
        <v>33.28</v>
      </c>
      <c r="C454" s="294">
        <f t="shared" si="36"/>
        <v>-1.3633669235329049E-2</v>
      </c>
      <c r="D454" s="296">
        <f>VLOOKUP(A454,'Dados para Ke Alternativo'!$P:$Q,2,0)</f>
        <v>5.3803999999999998</v>
      </c>
      <c r="E454" s="296">
        <f t="shared" si="35"/>
        <v>6.1854137238867004</v>
      </c>
      <c r="F454" s="294">
        <f t="shared" si="37"/>
        <v>-2.5311525021090242E-2</v>
      </c>
      <c r="G454" s="296">
        <f>VLOOKUP($A454,'Dados para Ke Alternativo'!$I:$J,2,0)</f>
        <v>2535.67</v>
      </c>
      <c r="H454" s="294">
        <f t="shared" si="38"/>
        <v>-7.3693419611120525E-4</v>
      </c>
      <c r="I454" s="297">
        <f>VLOOKUP(A454,'Dados para Ke Alternativo'!$W:$X,2,0)</f>
        <v>112764</v>
      </c>
      <c r="J454" s="294">
        <f t="shared" si="39"/>
        <v>-1.624413309371342E-2</v>
      </c>
    </row>
    <row r="455" spans="1:10" x14ac:dyDescent="0.3">
      <c r="A455" s="168">
        <v>44861</v>
      </c>
      <c r="B455" s="219">
        <f>VLOOKUP('Ke Alternativo'!A455,'Dados para Ke Alternativo'!$A:$B,2,0)</f>
        <v>33.56</v>
      </c>
      <c r="C455" s="294">
        <f t="shared" si="36"/>
        <v>8.4134615384616751E-3</v>
      </c>
      <c r="D455" s="296">
        <f>VLOOKUP(A455,'Dados para Ke Alternativo'!$P:$Q,2,0)</f>
        <v>5.3449</v>
      </c>
      <c r="E455" s="296">
        <f t="shared" si="35"/>
        <v>6.2788826732024923</v>
      </c>
      <c r="F455" s="294">
        <f t="shared" si="37"/>
        <v>1.5111187947676852E-2</v>
      </c>
      <c r="G455" s="296">
        <f>VLOOKUP($A455,'Dados para Ke Alternativo'!$I:$J,2,0)</f>
        <v>2523.59</v>
      </c>
      <c r="H455" s="294">
        <f t="shared" si="38"/>
        <v>-4.7640268646944595E-3</v>
      </c>
      <c r="I455" s="297">
        <f>VLOOKUP(A455,'Dados para Ke Alternativo'!$W:$X,2,0)</f>
        <v>114641</v>
      </c>
      <c r="J455" s="294">
        <f t="shared" si="39"/>
        <v>1.66453832783513E-2</v>
      </c>
    </row>
    <row r="456" spans="1:10" x14ac:dyDescent="0.3">
      <c r="A456" s="167">
        <v>44862</v>
      </c>
      <c r="B456" s="219">
        <f>VLOOKUP('Ke Alternativo'!A456,'Dados para Ke Alternativo'!$A:$B,2,0)</f>
        <v>33.97</v>
      </c>
      <c r="C456" s="294">
        <f t="shared" si="36"/>
        <v>1.2216924910607663E-2</v>
      </c>
      <c r="D456" s="296">
        <f>VLOOKUP(A456,'Dados para Ke Alternativo'!$P:$Q,2,0)</f>
        <v>5.2949000000000002</v>
      </c>
      <c r="E456" s="296">
        <f t="shared" si="35"/>
        <v>6.4156074713403459</v>
      </c>
      <c r="F456" s="294">
        <f t="shared" si="37"/>
        <v>2.1775338902473518E-2</v>
      </c>
      <c r="G456" s="296">
        <f>VLOOKUP($A456,'Dados para Ke Alternativo'!$I:$J,2,0)</f>
        <v>2561.04</v>
      </c>
      <c r="H456" s="294">
        <f t="shared" si="38"/>
        <v>1.483997004267712E-2</v>
      </c>
      <c r="I456" s="297">
        <f>VLOOKUP(A456,'Dados para Ke Alternativo'!$W:$X,2,0)</f>
        <v>114539</v>
      </c>
      <c r="J456" s="294">
        <f t="shared" si="39"/>
        <v>-8.8973403930525663E-4</v>
      </c>
    </row>
    <row r="457" spans="1:10" x14ac:dyDescent="0.3">
      <c r="A457" s="168">
        <v>44865</v>
      </c>
      <c r="B457" s="219">
        <f>VLOOKUP('Ke Alternativo'!A457,'Dados para Ke Alternativo'!$A:$B,2,0)</f>
        <v>35.33</v>
      </c>
      <c r="C457" s="294">
        <f t="shared" si="36"/>
        <v>4.0035325287018031E-2</v>
      </c>
      <c r="D457" s="296">
        <f>VLOOKUP(A457,'Dados para Ke Alternativo'!$P:$Q,2,0)</f>
        <v>5.1791</v>
      </c>
      <c r="E457" s="296">
        <f t="shared" si="35"/>
        <v>6.8216485489756904</v>
      </c>
      <c r="F457" s="294">
        <f t="shared" si="37"/>
        <v>6.3289576154588856E-2</v>
      </c>
      <c r="G457" s="296">
        <f>VLOOKUP($A457,'Dados para Ke Alternativo'!$I:$J,2,0)</f>
        <v>2547.7199999999998</v>
      </c>
      <c r="H457" s="294">
        <f t="shared" si="38"/>
        <v>-5.2010120888389411E-3</v>
      </c>
      <c r="I457" s="297">
        <f>VLOOKUP(A457,'Dados para Ke Alternativo'!$W:$X,2,0)</f>
        <v>116037</v>
      </c>
      <c r="J457" s="294">
        <f t="shared" si="39"/>
        <v>1.3078514741703628E-2</v>
      </c>
    </row>
    <row r="458" spans="1:10" x14ac:dyDescent="0.3">
      <c r="A458" s="167">
        <v>44866</v>
      </c>
      <c r="B458" s="219">
        <f>VLOOKUP('Ke Alternativo'!A458,'Dados para Ke Alternativo'!$A:$B,2,0)</f>
        <v>37.07</v>
      </c>
      <c r="C458" s="294">
        <f t="shared" si="36"/>
        <v>4.9249929238607493E-2</v>
      </c>
      <c r="D458" s="296">
        <f>VLOOKUP(A458,'Dados para Ke Alternativo'!$P:$Q,2,0)</f>
        <v>5.1475</v>
      </c>
      <c r="E458" s="296">
        <f t="shared" si="35"/>
        <v>7.2015541525012141</v>
      </c>
      <c r="F458" s="294">
        <f t="shared" si="37"/>
        <v>5.5691172126211219E-2</v>
      </c>
      <c r="G458" s="296">
        <f>VLOOKUP($A458,'Dados para Ke Alternativo'!$I:$J,2,0)</f>
        <v>2546.4</v>
      </c>
      <c r="H458" s="294">
        <f t="shared" si="38"/>
        <v>-5.1811031039505906E-4</v>
      </c>
      <c r="I458" s="297">
        <f>VLOOKUP(A458,'Dados para Ke Alternativo'!$W:$X,2,0)</f>
        <v>116929</v>
      </c>
      <c r="J458" s="294">
        <f t="shared" si="39"/>
        <v>7.6872032196626527E-3</v>
      </c>
    </row>
    <row r="459" spans="1:10" x14ac:dyDescent="0.3">
      <c r="A459" s="168">
        <v>44868</v>
      </c>
      <c r="B459" s="219">
        <f>VLOOKUP('Ke Alternativo'!A459,'Dados para Ke Alternativo'!$A:$B,2,0)</f>
        <v>36.68</v>
      </c>
      <c r="C459" s="294">
        <f t="shared" si="36"/>
        <v>-1.0520636633396308E-2</v>
      </c>
      <c r="D459" s="296">
        <f>VLOOKUP(A459,'Dados para Ke Alternativo'!$P:$Q,2,0)</f>
        <v>5.1136999999999997</v>
      </c>
      <c r="E459" s="296">
        <f t="shared" si="35"/>
        <v>7.1728885151651447</v>
      </c>
      <c r="F459" s="294">
        <f t="shared" si="37"/>
        <v>-3.9804793144704309E-3</v>
      </c>
      <c r="G459" s="296">
        <f>VLOOKUP($A459,'Dados para Ke Alternativo'!$I:$J,2,0)</f>
        <v>2467.89</v>
      </c>
      <c r="H459" s="294">
        <f t="shared" si="38"/>
        <v>-3.0831762488218728E-2</v>
      </c>
      <c r="I459" s="297">
        <f>VLOOKUP(A459,'Dados para Ke Alternativo'!$W:$X,2,0)</f>
        <v>116896</v>
      </c>
      <c r="J459" s="294">
        <f t="shared" si="39"/>
        <v>-2.8222254530529955E-4</v>
      </c>
    </row>
    <row r="460" spans="1:10" x14ac:dyDescent="0.3">
      <c r="A460" s="167">
        <v>44869</v>
      </c>
      <c r="B460" s="219">
        <f>VLOOKUP('Ke Alternativo'!A460,'Dados para Ke Alternativo'!$A:$B,2,0)</f>
        <v>37.590000000000003</v>
      </c>
      <c r="C460" s="294">
        <f t="shared" si="36"/>
        <v>2.4809160305343525E-2</v>
      </c>
      <c r="D460" s="296">
        <f>VLOOKUP(A460,'Dados para Ke Alternativo'!$P:$Q,2,0)</f>
        <v>5.0556999999999999</v>
      </c>
      <c r="E460" s="296">
        <f t="shared" si="35"/>
        <v>7.4351721818937051</v>
      </c>
      <c r="F460" s="294">
        <f t="shared" si="37"/>
        <v>3.6565975642034898E-2</v>
      </c>
      <c r="G460" s="296">
        <f>VLOOKUP($A460,'Dados para Ke Alternativo'!$I:$J,2,0)</f>
        <v>2507.2199999999998</v>
      </c>
      <c r="H460" s="294">
        <f t="shared" si="38"/>
        <v>1.5936690857372149E-2</v>
      </c>
      <c r="I460" s="297">
        <f>VLOOKUP(A460,'Dados para Ke Alternativo'!$W:$X,2,0)</f>
        <v>118155</v>
      </c>
      <c r="J460" s="294">
        <f t="shared" si="39"/>
        <v>1.0770257322748389E-2</v>
      </c>
    </row>
    <row r="461" spans="1:10" x14ac:dyDescent="0.3">
      <c r="A461" s="168">
        <v>44872</v>
      </c>
      <c r="B461" s="219">
        <f>VLOOKUP('Ke Alternativo'!A461,'Dados para Ke Alternativo'!$A:$B,2,0)</f>
        <v>36.36</v>
      </c>
      <c r="C461" s="294">
        <f t="shared" si="36"/>
        <v>-3.2721468475658488E-2</v>
      </c>
      <c r="D461" s="296">
        <f>VLOOKUP(A461,'Dados para Ke Alternativo'!$P:$Q,2,0)</f>
        <v>5.1566999999999998</v>
      </c>
      <c r="E461" s="296">
        <f t="shared" si="35"/>
        <v>7.0510210018034787</v>
      </c>
      <c r="F461" s="294">
        <f t="shared" si="37"/>
        <v>-5.1666749698913494E-2</v>
      </c>
      <c r="G461" s="296">
        <f>VLOOKUP($A461,'Dados para Ke Alternativo'!$I:$J,2,0)</f>
        <v>2533.63</v>
      </c>
      <c r="H461" s="294">
        <f t="shared" si="38"/>
        <v>1.0533579023779494E-2</v>
      </c>
      <c r="I461" s="297">
        <f>VLOOKUP(A461,'Dados para Ke Alternativo'!$W:$X,2,0)</f>
        <v>115342</v>
      </c>
      <c r="J461" s="294">
        <f t="shared" si="39"/>
        <v>-2.3807710211163347E-2</v>
      </c>
    </row>
    <row r="462" spans="1:10" x14ac:dyDescent="0.3">
      <c r="A462" s="167">
        <v>44873</v>
      </c>
      <c r="B462" s="219">
        <f>VLOOKUP('Ke Alternativo'!A462,'Dados para Ke Alternativo'!$A:$B,2,0)</f>
        <v>37.369999999999997</v>
      </c>
      <c r="C462" s="294">
        <f t="shared" si="36"/>
        <v>2.7777777777777679E-2</v>
      </c>
      <c r="D462" s="296">
        <f>VLOOKUP(A462,'Dados para Ke Alternativo'!$P:$Q,2,0)</f>
        <v>5.1440000000000001</v>
      </c>
      <c r="E462" s="296">
        <f t="shared" si="35"/>
        <v>7.2647744945567645</v>
      </c>
      <c r="F462" s="294">
        <f t="shared" si="37"/>
        <v>3.0315254017625692E-2</v>
      </c>
      <c r="G462" s="296">
        <f>VLOOKUP($A462,'Dados para Ke Alternativo'!$I:$J,2,0)</f>
        <v>2554.87</v>
      </c>
      <c r="H462" s="294">
        <f t="shared" si="38"/>
        <v>8.383228806100318E-3</v>
      </c>
      <c r="I462" s="297">
        <f>VLOOKUP(A462,'Dados para Ke Alternativo'!$W:$X,2,0)</f>
        <v>116160</v>
      </c>
      <c r="J462" s="294">
        <f t="shared" si="39"/>
        <v>7.0919526278372391E-3</v>
      </c>
    </row>
    <row r="463" spans="1:10" x14ac:dyDescent="0.3">
      <c r="A463" s="168">
        <v>44874</v>
      </c>
      <c r="B463" s="219">
        <f>VLOOKUP('Ke Alternativo'!A463,'Dados para Ke Alternativo'!$A:$B,2,0)</f>
        <v>37.159999999999997</v>
      </c>
      <c r="C463" s="294">
        <f t="shared" si="36"/>
        <v>-5.6194808670055885E-3</v>
      </c>
      <c r="D463" s="296">
        <f>VLOOKUP(A463,'Dados para Ke Alternativo'!$P:$Q,2,0)</f>
        <v>5.1863999999999999</v>
      </c>
      <c r="E463" s="296">
        <f t="shared" si="35"/>
        <v>7.1648927965448088</v>
      </c>
      <c r="F463" s="294">
        <f t="shared" si="37"/>
        <v>-1.3748767850508381E-2</v>
      </c>
      <c r="G463" s="296">
        <f>VLOOKUP($A463,'Dados para Ke Alternativo'!$I:$J,2,0)</f>
        <v>2509.77</v>
      </c>
      <c r="H463" s="294">
        <f t="shared" si="38"/>
        <v>-1.7652561578475612E-2</v>
      </c>
      <c r="I463" s="297">
        <f>VLOOKUP(A463,'Dados para Ke Alternativo'!$W:$X,2,0)</f>
        <v>113580</v>
      </c>
      <c r="J463" s="294">
        <f t="shared" si="39"/>
        <v>-2.2210743801652888E-2</v>
      </c>
    </row>
    <row r="464" spans="1:10" x14ac:dyDescent="0.3">
      <c r="A464" s="167">
        <v>44875</v>
      </c>
      <c r="B464" s="219">
        <f>VLOOKUP('Ke Alternativo'!A464,'Dados para Ke Alternativo'!$A:$B,2,0)</f>
        <v>36.520000000000003</v>
      </c>
      <c r="C464" s="294">
        <f t="shared" si="36"/>
        <v>-1.7222820236813652E-2</v>
      </c>
      <c r="D464" s="296">
        <f>VLOOKUP(A464,'Dados para Ke Alternativo'!$P:$Q,2,0)</f>
        <v>5.3449</v>
      </c>
      <c r="E464" s="296">
        <f t="shared" si="35"/>
        <v>6.8326816217328679</v>
      </c>
      <c r="F464" s="294">
        <f t="shared" si="37"/>
        <v>-4.6366524140060594E-2</v>
      </c>
      <c r="G464" s="296">
        <f>VLOOKUP($A464,'Dados para Ke Alternativo'!$I:$J,2,0)</f>
        <v>2636.55</v>
      </c>
      <c r="H464" s="294">
        <f t="shared" si="38"/>
        <v>5.0514588986241948E-2</v>
      </c>
      <c r="I464" s="297">
        <f>VLOOKUP(A464,'Dados para Ke Alternativo'!$W:$X,2,0)</f>
        <v>109775</v>
      </c>
      <c r="J464" s="294">
        <f t="shared" si="39"/>
        <v>-3.3500616305687569E-2</v>
      </c>
    </row>
    <row r="465" spans="1:10" x14ac:dyDescent="0.3">
      <c r="A465" s="168">
        <v>44876</v>
      </c>
      <c r="B465" s="219">
        <f>VLOOKUP('Ke Alternativo'!A465,'Dados para Ke Alternativo'!$A:$B,2,0)</f>
        <v>37.64</v>
      </c>
      <c r="C465" s="294">
        <f t="shared" si="36"/>
        <v>3.0668127053669059E-2</v>
      </c>
      <c r="D465" s="296">
        <f>VLOOKUP(A465,'Dados para Ke Alternativo'!$P:$Q,2,0)</f>
        <v>5.3250000000000002</v>
      </c>
      <c r="E465" s="296">
        <f t="shared" si="35"/>
        <v>7.0685446009389672</v>
      </c>
      <c r="F465" s="294">
        <f t="shared" si="37"/>
        <v>3.451982578200119E-2</v>
      </c>
      <c r="G465" s="296">
        <f>VLOOKUP($A465,'Dados para Ke Alternativo'!$I:$J,2,0)</f>
        <v>2674.08</v>
      </c>
      <c r="H465" s="294">
        <f t="shared" si="38"/>
        <v>1.4234511008704542E-2</v>
      </c>
      <c r="I465" s="297">
        <f>VLOOKUP(A465,'Dados para Ke Alternativo'!$W:$X,2,0)</f>
        <v>112253</v>
      </c>
      <c r="J465" s="294">
        <f t="shared" si="39"/>
        <v>2.2573445684354265E-2</v>
      </c>
    </row>
    <row r="466" spans="1:10" x14ac:dyDescent="0.3">
      <c r="A466" s="167">
        <v>44879</v>
      </c>
      <c r="B466" s="219">
        <f>VLOOKUP('Ke Alternativo'!A466,'Dados para Ke Alternativo'!$A:$B,2,0)</f>
        <v>38.44</v>
      </c>
      <c r="C466" s="294">
        <f t="shared" si="36"/>
        <v>2.1253985122210439E-2</v>
      </c>
      <c r="D466" s="296">
        <f>VLOOKUP(A466,'Dados para Ke Alternativo'!$P:$Q,2,0)</f>
        <v>5.3320999999999996</v>
      </c>
      <c r="E466" s="296">
        <f t="shared" si="35"/>
        <v>7.2091671198964757</v>
      </c>
      <c r="F466" s="294">
        <f t="shared" si="37"/>
        <v>1.9894126287160807E-2</v>
      </c>
      <c r="G466" s="296">
        <f>VLOOKUP($A466,'Dados para Ke Alternativo'!$I:$J,2,0)</f>
        <v>2653.94</v>
      </c>
      <c r="H466" s="294">
        <f t="shared" si="38"/>
        <v>-7.5315622569257501E-3</v>
      </c>
      <c r="I466" s="297">
        <f>VLOOKUP(A466,'Dados para Ke Alternativo'!$W:$X,2,0)</f>
        <v>113161</v>
      </c>
      <c r="J466" s="294">
        <f t="shared" si="39"/>
        <v>8.0888706760620099E-3</v>
      </c>
    </row>
    <row r="467" spans="1:10" x14ac:dyDescent="0.3">
      <c r="A467" s="168">
        <v>44881</v>
      </c>
      <c r="B467" s="219">
        <f>VLOOKUP('Ke Alternativo'!A467,'Dados para Ke Alternativo'!$A:$B,2,0)</f>
        <v>36.21</v>
      </c>
      <c r="C467" s="294">
        <f t="shared" si="36"/>
        <v>-5.8012486992715884E-2</v>
      </c>
      <c r="D467" s="296">
        <f>VLOOKUP(A467,'Dados para Ke Alternativo'!$P:$Q,2,0)</f>
        <v>5.3997999999999999</v>
      </c>
      <c r="E467" s="296">
        <f t="shared" si="35"/>
        <v>6.7058039186636549</v>
      </c>
      <c r="F467" s="294">
        <f t="shared" si="37"/>
        <v>-6.9822656745409106E-2</v>
      </c>
      <c r="G467" s="296">
        <f>VLOOKUP($A467,'Dados para Ke Alternativo'!$I:$J,2,0)</f>
        <v>2657.58</v>
      </c>
      <c r="H467" s="294">
        <f t="shared" si="38"/>
        <v>1.3715457018621535E-3</v>
      </c>
      <c r="I467" s="297">
        <f>VLOOKUP(A467,'Dados para Ke Alternativo'!$W:$X,2,0)</f>
        <v>110243</v>
      </c>
      <c r="J467" s="294">
        <f t="shared" si="39"/>
        <v>-2.5786269120986915E-2</v>
      </c>
    </row>
    <row r="468" spans="1:10" x14ac:dyDescent="0.3">
      <c r="A468" s="167">
        <v>44882</v>
      </c>
      <c r="B468" s="219">
        <f>VLOOKUP('Ke Alternativo'!A468,'Dados para Ke Alternativo'!$A:$B,2,0)</f>
        <v>35.74</v>
      </c>
      <c r="C468" s="294">
        <f t="shared" si="36"/>
        <v>-1.2979839823253236E-2</v>
      </c>
      <c r="D468" s="296">
        <f>VLOOKUP(A468,'Dados para Ke Alternativo'!$P:$Q,2,0)</f>
        <v>5.4230999999999998</v>
      </c>
      <c r="E468" s="296">
        <f t="shared" si="35"/>
        <v>6.5903265659862447</v>
      </c>
      <c r="F468" s="294">
        <f t="shared" si="37"/>
        <v>-1.7220508395125123E-2</v>
      </c>
      <c r="G468" s="296">
        <f>VLOOKUP($A468,'Dados para Ke Alternativo'!$I:$J,2,0)</f>
        <v>2642.34</v>
      </c>
      <c r="H468" s="294">
        <f t="shared" si="38"/>
        <v>-5.7345404465716232E-3</v>
      </c>
      <c r="I468" s="297">
        <f>VLOOKUP(A468,'Dados para Ke Alternativo'!$W:$X,2,0)</f>
        <v>109703</v>
      </c>
      <c r="J468" s="294">
        <f t="shared" si="39"/>
        <v>-4.8982701849550336E-3</v>
      </c>
    </row>
    <row r="469" spans="1:10" x14ac:dyDescent="0.3">
      <c r="A469" s="168">
        <v>44883</v>
      </c>
      <c r="B469" s="219">
        <f>VLOOKUP('Ke Alternativo'!A469,'Dados para Ke Alternativo'!$A:$B,2,0)</f>
        <v>34.44</v>
      </c>
      <c r="C469" s="294">
        <f t="shared" si="36"/>
        <v>-3.637381085618363E-2</v>
      </c>
      <c r="D469" s="296">
        <f>VLOOKUP(A469,'Dados para Ke Alternativo'!$P:$Q,2,0)</f>
        <v>5.3826999999999998</v>
      </c>
      <c r="E469" s="296">
        <f t="shared" si="35"/>
        <v>6.3982759581622606</v>
      </c>
      <c r="F469" s="294">
        <f t="shared" si="37"/>
        <v>-2.914128850840092E-2</v>
      </c>
      <c r="G469" s="296">
        <f>VLOOKUP($A469,'Dados para Ke Alternativo'!$I:$J,2,0)</f>
        <v>2658.9</v>
      </c>
      <c r="H469" s="294">
        <f t="shared" si="38"/>
        <v>6.2671722791161066E-3</v>
      </c>
      <c r="I469" s="297">
        <f>VLOOKUP(A469,'Dados para Ke Alternativo'!$W:$X,2,0)</f>
        <v>108870</v>
      </c>
      <c r="J469" s="294">
        <f t="shared" si="39"/>
        <v>-7.5932289910030093E-3</v>
      </c>
    </row>
    <row r="470" spans="1:10" x14ac:dyDescent="0.3">
      <c r="A470" s="167">
        <v>44886</v>
      </c>
      <c r="B470" s="219">
        <f>VLOOKUP('Ke Alternativo'!A470,'Dados para Ke Alternativo'!$A:$B,2,0)</f>
        <v>34.43</v>
      </c>
      <c r="C470" s="294">
        <f t="shared" si="36"/>
        <v>-2.9036004645754954E-4</v>
      </c>
      <c r="D470" s="296">
        <f>VLOOKUP(A470,'Dados para Ke Alternativo'!$P:$Q,2,0)</f>
        <v>5.32</v>
      </c>
      <c r="E470" s="296">
        <f t="shared" si="35"/>
        <v>6.4718045112781954</v>
      </c>
      <c r="F470" s="294">
        <f t="shared" si="37"/>
        <v>1.1491932138709027E-2</v>
      </c>
      <c r="G470" s="296">
        <f>VLOOKUP($A470,'Dados para Ke Alternativo'!$I:$J,2,0)</f>
        <v>2640.44</v>
      </c>
      <c r="H470" s="294">
        <f t="shared" si="38"/>
        <v>-6.9427206739629543E-3</v>
      </c>
      <c r="I470" s="297">
        <f>VLOOKUP(A470,'Dados para Ke Alternativo'!$W:$X,2,0)</f>
        <v>109748</v>
      </c>
      <c r="J470" s="294">
        <f t="shared" si="39"/>
        <v>8.064664278497391E-3</v>
      </c>
    </row>
    <row r="471" spans="1:10" x14ac:dyDescent="0.3">
      <c r="A471" s="168">
        <v>44887</v>
      </c>
      <c r="B471" s="219">
        <f>VLOOKUP('Ke Alternativo'!A471,'Dados para Ke Alternativo'!$A:$B,2,0)</f>
        <v>35.409999999999997</v>
      </c>
      <c r="C471" s="294">
        <f t="shared" si="36"/>
        <v>2.8463549230322238E-2</v>
      </c>
      <c r="D471" s="296">
        <f>VLOOKUP(A471,'Dados para Ke Alternativo'!$P:$Q,2,0)</f>
        <v>5.3586</v>
      </c>
      <c r="E471" s="296">
        <f t="shared" si="35"/>
        <v>6.6080692718247294</v>
      </c>
      <c r="F471" s="294">
        <f t="shared" si="37"/>
        <v>2.1055141623803619E-2</v>
      </c>
      <c r="G471" s="296">
        <f>VLOOKUP($A471,'Dados para Ke Alternativo'!$I:$J,2,0)</f>
        <v>2675.46</v>
      </c>
      <c r="H471" s="294">
        <f t="shared" si="38"/>
        <v>1.3262941024980712E-2</v>
      </c>
      <c r="I471" s="297">
        <f>VLOOKUP(A471,'Dados para Ke Alternativo'!$W:$X,2,0)</f>
        <v>109037</v>
      </c>
      <c r="J471" s="294">
        <f t="shared" si="39"/>
        <v>-6.4784779677078408E-3</v>
      </c>
    </row>
    <row r="472" spans="1:10" x14ac:dyDescent="0.3">
      <c r="A472" s="167">
        <v>44888</v>
      </c>
      <c r="B472" s="219">
        <f>VLOOKUP('Ke Alternativo'!A472,'Dados para Ke Alternativo'!$A:$B,2,0)</f>
        <v>35.21</v>
      </c>
      <c r="C472" s="294">
        <f t="shared" si="36"/>
        <v>-5.6481219994350962E-3</v>
      </c>
      <c r="D472" s="296">
        <f>VLOOKUP(A472,'Dados para Ke Alternativo'!$P:$Q,2,0)</f>
        <v>5.3590999999999998</v>
      </c>
      <c r="E472" s="296">
        <f t="shared" si="35"/>
        <v>6.57013304472766</v>
      </c>
      <c r="F472" s="294">
        <f t="shared" si="37"/>
        <v>-5.7408942819078268E-3</v>
      </c>
      <c r="G472" s="296">
        <f>VLOOKUP($A472,'Dados para Ke Alternativo'!$I:$J,2,0)</f>
        <v>2697.39</v>
      </c>
      <c r="H472" s="294">
        <f t="shared" si="38"/>
        <v>8.1967213114753079E-3</v>
      </c>
      <c r="I472" s="297">
        <f>VLOOKUP(A472,'Dados para Ke Alternativo'!$W:$X,2,0)</f>
        <v>108841</v>
      </c>
      <c r="J472" s="294">
        <f t="shared" si="39"/>
        <v>-1.7975549584086092E-3</v>
      </c>
    </row>
    <row r="473" spans="1:10" x14ac:dyDescent="0.3">
      <c r="A473" s="168">
        <v>44889</v>
      </c>
      <c r="B473" s="219">
        <f>VLOOKUP('Ke Alternativo'!A473,'Dados para Ke Alternativo'!$A:$B,2,0)</f>
        <v>36.450000000000003</v>
      </c>
      <c r="C473" s="294">
        <f t="shared" si="36"/>
        <v>3.5217267821641585E-2</v>
      </c>
      <c r="D473" s="296">
        <f>VLOOKUP(A473,'Dados para Ke Alternativo'!$P:$Q,2,0)</f>
        <v>5.3208000000000002</v>
      </c>
      <c r="E473" s="296">
        <f t="shared" si="35"/>
        <v>6.8504736129905277</v>
      </c>
      <c r="F473" s="294">
        <f t="shared" si="37"/>
        <v>4.2668933239918605E-2</v>
      </c>
      <c r="G473" s="296">
        <f>VLOOKUP($A473,'Dados para Ke Alternativo'!$I:$J,2,0)</f>
        <v>2706.01</v>
      </c>
      <c r="H473" s="294">
        <f t="shared" si="38"/>
        <v>3.1956817516192171E-3</v>
      </c>
      <c r="I473" s="297">
        <f>VLOOKUP(A473,'Dados para Ke Alternativo'!$W:$X,2,0)</f>
        <v>111831</v>
      </c>
      <c r="J473" s="294">
        <f t="shared" si="39"/>
        <v>2.7471265423875124E-2</v>
      </c>
    </row>
    <row r="474" spans="1:10" x14ac:dyDescent="0.3">
      <c r="A474" s="167">
        <v>44890</v>
      </c>
      <c r="B474" s="219">
        <f>VLOOKUP('Ke Alternativo'!A474,'Dados para Ke Alternativo'!$A:$B,2,0)</f>
        <v>34.590000000000003</v>
      </c>
      <c r="C474" s="294">
        <f t="shared" si="36"/>
        <v>-5.1028806584362152E-2</v>
      </c>
      <c r="D474" s="296">
        <f>VLOOKUP(A474,'Dados para Ke Alternativo'!$P:$Q,2,0)</f>
        <v>5.4097999999999997</v>
      </c>
      <c r="E474" s="296">
        <f t="shared" si="35"/>
        <v>6.3939517172538736</v>
      </c>
      <c r="F474" s="294">
        <f t="shared" si="37"/>
        <v>-6.6640924631977794E-2</v>
      </c>
      <c r="G474" s="296">
        <f>VLOOKUP($A474,'Dados para Ke Alternativo'!$I:$J,2,0)</f>
        <v>2703.67</v>
      </c>
      <c r="H474" s="294">
        <f t="shared" si="38"/>
        <v>-8.6474181544049511E-4</v>
      </c>
      <c r="I474" s="297">
        <f>VLOOKUP(A474,'Dados para Ke Alternativo'!$W:$X,2,0)</f>
        <v>108977</v>
      </c>
      <c r="J474" s="294">
        <f t="shared" si="39"/>
        <v>-2.5520651697650942E-2</v>
      </c>
    </row>
    <row r="475" spans="1:10" x14ac:dyDescent="0.3">
      <c r="A475" s="168">
        <v>44893</v>
      </c>
      <c r="B475" s="219">
        <f>VLOOKUP('Ke Alternativo'!A475,'Dados para Ke Alternativo'!$A:$B,2,0)</f>
        <v>34.840000000000003</v>
      </c>
      <c r="C475" s="294">
        <f t="shared" si="36"/>
        <v>7.2275224053195419E-3</v>
      </c>
      <c r="D475" s="296">
        <f>VLOOKUP(A475,'Dados para Ke Alternativo'!$P:$Q,2,0)</f>
        <v>5.3654000000000002</v>
      </c>
      <c r="E475" s="296">
        <f t="shared" si="35"/>
        <v>6.4934580832743141</v>
      </c>
      <c r="F475" s="294">
        <f t="shared" si="37"/>
        <v>1.5562577013511936E-2</v>
      </c>
      <c r="G475" s="296">
        <f>VLOOKUP($A475,'Dados para Ke Alternativo'!$I:$J,2,0)</f>
        <v>2668.44</v>
      </c>
      <c r="H475" s="294">
        <f t="shared" si="38"/>
        <v>-1.3030436406810009E-2</v>
      </c>
      <c r="I475" s="297">
        <f>VLOOKUP(A475,'Dados para Ke Alternativo'!$W:$X,2,0)</f>
        <v>108782</v>
      </c>
      <c r="J475" s="294">
        <f t="shared" si="39"/>
        <v>-1.7893683988364772E-3</v>
      </c>
    </row>
    <row r="476" spans="1:10" x14ac:dyDescent="0.3">
      <c r="A476" s="167">
        <v>44894</v>
      </c>
      <c r="B476" s="219">
        <f>VLOOKUP('Ke Alternativo'!A476,'Dados para Ke Alternativo'!$A:$B,2,0)</f>
        <v>35.22</v>
      </c>
      <c r="C476" s="294">
        <f t="shared" si="36"/>
        <v>1.0907003444316832E-2</v>
      </c>
      <c r="D476" s="296">
        <f>VLOOKUP(A476,'Dados para Ke Alternativo'!$P:$Q,2,0)</f>
        <v>5.2694999999999999</v>
      </c>
      <c r="E476" s="296">
        <f t="shared" si="35"/>
        <v>6.6837460859664102</v>
      </c>
      <c r="F476" s="294">
        <f t="shared" si="37"/>
        <v>2.9304570885309245E-2</v>
      </c>
      <c r="G476" s="296">
        <f>VLOOKUP($A476,'Dados para Ke Alternativo'!$I:$J,2,0)</f>
        <v>2663.25</v>
      </c>
      <c r="H476" s="294">
        <f t="shared" si="38"/>
        <v>-1.9449566038584054E-3</v>
      </c>
      <c r="I476" s="297">
        <f>VLOOKUP(A476,'Dados para Ke Alternativo'!$W:$X,2,0)</f>
        <v>110910</v>
      </c>
      <c r="J476" s="294">
        <f t="shared" si="39"/>
        <v>1.9562059899615791E-2</v>
      </c>
    </row>
    <row r="477" spans="1:10" x14ac:dyDescent="0.3">
      <c r="A477" s="168">
        <v>44895</v>
      </c>
      <c r="B477" s="219">
        <f>VLOOKUP('Ke Alternativo'!A477,'Dados para Ke Alternativo'!$A:$B,2,0)</f>
        <v>35.99</v>
      </c>
      <c r="C477" s="294">
        <f t="shared" si="36"/>
        <v>2.1862578080636075E-2</v>
      </c>
      <c r="D477" s="296">
        <f>VLOOKUP(A477,'Dados para Ke Alternativo'!$P:$Q,2,0)</f>
        <v>5.1851000000000003</v>
      </c>
      <c r="E477" s="296">
        <f t="shared" si="35"/>
        <v>6.941042602842761</v>
      </c>
      <c r="F477" s="294">
        <f t="shared" si="37"/>
        <v>3.8495854505392613E-2</v>
      </c>
      <c r="G477" s="296">
        <f>VLOOKUP($A477,'Dados para Ke Alternativo'!$I:$J,2,0)</f>
        <v>2720.89</v>
      </c>
      <c r="H477" s="294">
        <f t="shared" si="38"/>
        <v>2.164272974748882E-2</v>
      </c>
      <c r="I477" s="297">
        <f>VLOOKUP(A477,'Dados para Ke Alternativo'!$W:$X,2,0)</f>
        <v>112486</v>
      </c>
      <c r="J477" s="294">
        <f t="shared" si="39"/>
        <v>1.4209719592462422E-2</v>
      </c>
    </row>
    <row r="478" spans="1:10" x14ac:dyDescent="0.3">
      <c r="A478" s="167">
        <v>44896</v>
      </c>
      <c r="B478" s="219">
        <f>VLOOKUP('Ke Alternativo'!A478,'Dados para Ke Alternativo'!$A:$B,2,0)</f>
        <v>36.64</v>
      </c>
      <c r="C478" s="294">
        <f t="shared" si="36"/>
        <v>1.8060572381217055E-2</v>
      </c>
      <c r="D478" s="296">
        <f>VLOOKUP(A478,'Dados para Ke Alternativo'!$P:$Q,2,0)</f>
        <v>5.1848000000000001</v>
      </c>
      <c r="E478" s="296">
        <f t="shared" si="35"/>
        <v>7.0668106773646047</v>
      </c>
      <c r="F478" s="294">
        <f t="shared" si="37"/>
        <v>1.8119478833098501E-2</v>
      </c>
      <c r="G478" s="296">
        <f>VLOOKUP($A478,'Dados para Ke Alternativo'!$I:$J,2,0)</f>
        <v>2741.08</v>
      </c>
      <c r="H478" s="294">
        <f t="shared" si="38"/>
        <v>7.42036613020014E-3</v>
      </c>
      <c r="I478" s="297">
        <f>VLOOKUP(A478,'Dados para Ke Alternativo'!$W:$X,2,0)</f>
        <v>110926</v>
      </c>
      <c r="J478" s="294">
        <f t="shared" si="39"/>
        <v>-1.3868392511068084E-2</v>
      </c>
    </row>
    <row r="479" spans="1:10" x14ac:dyDescent="0.3">
      <c r="A479" s="168">
        <v>44897</v>
      </c>
      <c r="B479" s="219">
        <f>VLOOKUP('Ke Alternativo'!A479,'Dados para Ke Alternativo'!$A:$B,2,0)</f>
        <v>36.630000000000003</v>
      </c>
      <c r="C479" s="294">
        <f t="shared" si="36"/>
        <v>-2.7292576419213344E-4</v>
      </c>
      <c r="D479" s="296">
        <f>VLOOKUP(A479,'Dados para Ke Alternativo'!$P:$Q,2,0)</f>
        <v>5.2188999999999997</v>
      </c>
      <c r="E479" s="296">
        <f t="shared" si="35"/>
        <v>7.0187204200118805</v>
      </c>
      <c r="F479" s="294">
        <f t="shared" si="37"/>
        <v>-6.8050864170962067E-3</v>
      </c>
      <c r="G479" s="296">
        <f>VLOOKUP($A479,'Dados para Ke Alternativo'!$I:$J,2,0)</f>
        <v>2733.03</v>
      </c>
      <c r="H479" s="294">
        <f t="shared" si="38"/>
        <v>-2.9367986341148899E-3</v>
      </c>
      <c r="I479" s="297">
        <f>VLOOKUP(A479,'Dados para Ke Alternativo'!$W:$X,2,0)</f>
        <v>111924</v>
      </c>
      <c r="J479" s="294">
        <f t="shared" si="39"/>
        <v>8.9969889836467587E-3</v>
      </c>
    </row>
    <row r="480" spans="1:10" x14ac:dyDescent="0.3">
      <c r="A480" s="167">
        <v>44900</v>
      </c>
      <c r="B480" s="219">
        <f>VLOOKUP('Ke Alternativo'!A480,'Dados para Ke Alternativo'!$A:$B,2,0)</f>
        <v>35.96</v>
      </c>
      <c r="C480" s="294">
        <f t="shared" si="36"/>
        <v>-1.8291018291018313E-2</v>
      </c>
      <c r="D480" s="296">
        <f>VLOOKUP(A480,'Dados para Ke Alternativo'!$P:$Q,2,0)</f>
        <v>5.2808999999999999</v>
      </c>
      <c r="E480" s="296">
        <f t="shared" si="35"/>
        <v>6.8094453596924769</v>
      </c>
      <c r="F480" s="294">
        <f t="shared" si="37"/>
        <v>-2.9816697032512551E-2</v>
      </c>
      <c r="G480" s="296">
        <f>VLOOKUP($A480,'Dados para Ke Alternativo'!$I:$J,2,0)</f>
        <v>2696.3</v>
      </c>
      <c r="H480" s="294">
        <f t="shared" si="38"/>
        <v>-1.3439296312151683E-2</v>
      </c>
      <c r="I480" s="297">
        <f>VLOOKUP(A480,'Dados para Ke Alternativo'!$W:$X,2,0)</f>
        <v>109401</v>
      </c>
      <c r="J480" s="294">
        <f t="shared" si="39"/>
        <v>-2.2542082127157692E-2</v>
      </c>
    </row>
    <row r="481" spans="1:10" x14ac:dyDescent="0.3">
      <c r="A481" s="168">
        <v>44901</v>
      </c>
      <c r="B481" s="219">
        <f>VLOOKUP('Ke Alternativo'!A481,'Dados para Ke Alternativo'!$A:$B,2,0)</f>
        <v>34.58</v>
      </c>
      <c r="C481" s="294">
        <f t="shared" si="36"/>
        <v>-3.8375973303670818E-2</v>
      </c>
      <c r="D481" s="296">
        <f>VLOOKUP(A481,'Dados para Ke Alternativo'!$P:$Q,2,0)</f>
        <v>5.2351999999999999</v>
      </c>
      <c r="E481" s="296">
        <f t="shared" si="35"/>
        <v>6.6052872860635699</v>
      </c>
      <c r="F481" s="294">
        <f t="shared" si="37"/>
        <v>-2.9981600974051559E-2</v>
      </c>
      <c r="G481" s="296">
        <f>VLOOKUP($A481,'Dados para Ke Alternativo'!$I:$J,2,0)</f>
        <v>2662.07</v>
      </c>
      <c r="H481" s="294">
        <f t="shared" si="38"/>
        <v>-1.2695174869265302E-2</v>
      </c>
      <c r="I481" s="297">
        <f>VLOOKUP(A481,'Dados para Ke Alternativo'!$W:$X,2,0)</f>
        <v>110189</v>
      </c>
      <c r="J481" s="294">
        <f t="shared" si="39"/>
        <v>7.2028592060402463E-3</v>
      </c>
    </row>
    <row r="482" spans="1:10" x14ac:dyDescent="0.3">
      <c r="A482" s="167">
        <v>44902</v>
      </c>
      <c r="B482" s="219">
        <f>VLOOKUP('Ke Alternativo'!A482,'Dados para Ke Alternativo'!$A:$B,2,0)</f>
        <v>32.619999999999997</v>
      </c>
      <c r="C482" s="294">
        <f t="shared" si="36"/>
        <v>-5.6680161943319818E-2</v>
      </c>
      <c r="D482" s="296">
        <f>VLOOKUP(A482,'Dados para Ke Alternativo'!$P:$Q,2,0)</f>
        <v>5.2047999999999996</v>
      </c>
      <c r="E482" s="296">
        <f t="shared" si="35"/>
        <v>6.2672917307101139</v>
      </c>
      <c r="F482" s="294">
        <f t="shared" si="37"/>
        <v>-5.1170454927310982E-2</v>
      </c>
      <c r="G482" s="296">
        <f>VLOOKUP($A482,'Dados para Ke Alternativo'!$I:$J,2,0)</f>
        <v>2654.34</v>
      </c>
      <c r="H482" s="294">
        <f t="shared" si="38"/>
        <v>-2.9037553482815781E-3</v>
      </c>
      <c r="I482" s="297">
        <f>VLOOKUP(A482,'Dados para Ke Alternativo'!$W:$X,2,0)</f>
        <v>109069</v>
      </c>
      <c r="J482" s="294">
        <f t="shared" si="39"/>
        <v>-1.0164353973627138E-2</v>
      </c>
    </row>
    <row r="483" spans="1:10" x14ac:dyDescent="0.3">
      <c r="A483" s="168">
        <v>44903</v>
      </c>
      <c r="B483" s="219">
        <f>VLOOKUP('Ke Alternativo'!A483,'Dados para Ke Alternativo'!$A:$B,2,0)</f>
        <v>33.119999999999997</v>
      </c>
      <c r="C483" s="294">
        <f t="shared" si="36"/>
        <v>1.5328019619865074E-2</v>
      </c>
      <c r="D483" s="296">
        <f>VLOOKUP(A483,'Dados para Ke Alternativo'!$P:$Q,2,0)</f>
        <v>5.2252999999999998</v>
      </c>
      <c r="E483" s="296">
        <f t="shared" si="35"/>
        <v>6.3383920540447436</v>
      </c>
      <c r="F483" s="294">
        <f t="shared" si="37"/>
        <v>1.1344664711590458E-2</v>
      </c>
      <c r="G483" s="296">
        <f>VLOOKUP($A483,'Dados para Ke Alternativo'!$I:$J,2,0)</f>
        <v>2670.27</v>
      </c>
      <c r="H483" s="294">
        <f t="shared" si="38"/>
        <v>6.0014918962905117E-3</v>
      </c>
      <c r="I483" s="297">
        <f>VLOOKUP(A483,'Dados para Ke Alternativo'!$W:$X,2,0)</f>
        <v>107249</v>
      </c>
      <c r="J483" s="294">
        <f t="shared" si="39"/>
        <v>-1.6686684575819011E-2</v>
      </c>
    </row>
    <row r="484" spans="1:10" x14ac:dyDescent="0.3">
      <c r="A484" s="167">
        <v>44904</v>
      </c>
      <c r="B484" s="219">
        <f>VLOOKUP('Ke Alternativo'!A484,'Dados para Ke Alternativo'!$A:$B,2,0)</f>
        <v>33.6</v>
      </c>
      <c r="C484" s="294">
        <f t="shared" si="36"/>
        <v>1.449275362318847E-2</v>
      </c>
      <c r="D484" s="296">
        <f>VLOOKUP(A484,'Dados para Ke Alternativo'!$P:$Q,2,0)</f>
        <v>5.24</v>
      </c>
      <c r="E484" s="296">
        <f t="shared" si="35"/>
        <v>6.4122137404580153</v>
      </c>
      <c r="F484" s="294">
        <f t="shared" si="37"/>
        <v>1.164675295939821E-2</v>
      </c>
      <c r="G484" s="296">
        <f>VLOOKUP($A484,'Dados para Ke Alternativo'!$I:$J,2,0)</f>
        <v>2662.86</v>
      </c>
      <c r="H484" s="294">
        <f t="shared" si="38"/>
        <v>-2.77500028087041E-3</v>
      </c>
      <c r="I484" s="297">
        <f>VLOOKUP(A484,'Dados para Ke Alternativo'!$W:$X,2,0)</f>
        <v>107520</v>
      </c>
      <c r="J484" s="294">
        <f t="shared" si="39"/>
        <v>2.5268300869938365E-3</v>
      </c>
    </row>
    <row r="485" spans="1:10" x14ac:dyDescent="0.3">
      <c r="A485" s="168">
        <v>44907</v>
      </c>
      <c r="B485" s="219">
        <f>VLOOKUP('Ke Alternativo'!A485,'Dados para Ke Alternativo'!$A:$B,2,0)</f>
        <v>34.58</v>
      </c>
      <c r="C485" s="294">
        <f t="shared" si="36"/>
        <v>2.9166666666666563E-2</v>
      </c>
      <c r="D485" s="296">
        <f>VLOOKUP(A485,'Dados para Ke Alternativo'!$P:$Q,2,0)</f>
        <v>5.3226000000000004</v>
      </c>
      <c r="E485" s="296">
        <f t="shared" si="35"/>
        <v>6.4968248600308112</v>
      </c>
      <c r="F485" s="294">
        <f t="shared" si="37"/>
        <v>1.3195305552424097E-2</v>
      </c>
      <c r="G485" s="296">
        <f>VLOOKUP($A485,'Dados para Ke Alternativo'!$I:$J,2,0)</f>
        <v>2683.56</v>
      </c>
      <c r="H485" s="294">
        <f t="shared" si="38"/>
        <v>7.7735968094454488E-3</v>
      </c>
      <c r="I485" s="297">
        <f>VLOOKUP(A485,'Dados para Ke Alternativo'!$W:$X,2,0)</f>
        <v>105343</v>
      </c>
      <c r="J485" s="294">
        <f t="shared" si="39"/>
        <v>-2.0247395833333348E-2</v>
      </c>
    </row>
    <row r="486" spans="1:10" x14ac:dyDescent="0.3">
      <c r="A486" s="167">
        <v>44908</v>
      </c>
      <c r="B486" s="219">
        <f>VLOOKUP('Ke Alternativo'!A486,'Dados para Ke Alternativo'!$A:$B,2,0)</f>
        <v>34.83</v>
      </c>
      <c r="C486" s="294">
        <f t="shared" si="36"/>
        <v>7.2296124927704319E-3</v>
      </c>
      <c r="D486" s="296">
        <f>VLOOKUP(A486,'Dados para Ke Alternativo'!$P:$Q,2,0)</f>
        <v>5.2938000000000001</v>
      </c>
      <c r="E486" s="296">
        <f t="shared" si="35"/>
        <v>6.579394763685821</v>
      </c>
      <c r="F486" s="294">
        <f t="shared" si="37"/>
        <v>1.2709270364203551E-2</v>
      </c>
      <c r="G486" s="296">
        <f>VLOOKUP($A486,'Dados para Ke Alternativo'!$I:$J,2,0)</f>
        <v>2715.49</v>
      </c>
      <c r="H486" s="294">
        <f t="shared" si="38"/>
        <v>1.1898373801964457E-2</v>
      </c>
      <c r="I486" s="297">
        <f>VLOOKUP(A486,'Dados para Ke Alternativo'!$W:$X,2,0)</f>
        <v>103540</v>
      </c>
      <c r="J486" s="294">
        <f t="shared" si="39"/>
        <v>-1.7115517879688236E-2</v>
      </c>
    </row>
    <row r="487" spans="1:10" x14ac:dyDescent="0.3">
      <c r="A487" s="168">
        <v>44909</v>
      </c>
      <c r="B487" s="219">
        <f>VLOOKUP('Ke Alternativo'!A487,'Dados para Ke Alternativo'!$A:$B,2,0)</f>
        <v>36.119999999999997</v>
      </c>
      <c r="C487" s="294">
        <f t="shared" si="36"/>
        <v>3.7037037037036979E-2</v>
      </c>
      <c r="D487" s="296">
        <f>VLOOKUP(A487,'Dados para Ke Alternativo'!$P:$Q,2,0)</f>
        <v>5.2786999999999997</v>
      </c>
      <c r="E487" s="296">
        <f t="shared" si="35"/>
        <v>6.842593820448216</v>
      </c>
      <c r="F487" s="294">
        <f t="shared" si="37"/>
        <v>4.0003536224196612E-2</v>
      </c>
      <c r="G487" s="296">
        <f>VLOOKUP($A487,'Dados para Ke Alternativo'!$I:$J,2,0)</f>
        <v>2705.31</v>
      </c>
      <c r="H487" s="294">
        <f t="shared" si="38"/>
        <v>-3.7488630044668625E-3</v>
      </c>
      <c r="I487" s="297">
        <f>VLOOKUP(A487,'Dados para Ke Alternativo'!$W:$X,2,0)</f>
        <v>103746</v>
      </c>
      <c r="J487" s="294">
        <f t="shared" si="39"/>
        <v>1.9895692485996097E-3</v>
      </c>
    </row>
    <row r="488" spans="1:10" x14ac:dyDescent="0.3">
      <c r="A488" s="167">
        <v>44910</v>
      </c>
      <c r="B488" s="219">
        <f>VLOOKUP('Ke Alternativo'!A488,'Dados para Ke Alternativo'!$A:$B,2,0)</f>
        <v>35.71</v>
      </c>
      <c r="C488" s="294">
        <f t="shared" si="36"/>
        <v>-1.1351052048726329E-2</v>
      </c>
      <c r="D488" s="296">
        <f>VLOOKUP(A488,'Dados para Ke Alternativo'!$P:$Q,2,0)</f>
        <v>5.3129999999999997</v>
      </c>
      <c r="E488" s="296">
        <f t="shared" si="35"/>
        <v>6.721249764728026</v>
      </c>
      <c r="F488" s="294">
        <f t="shared" si="37"/>
        <v>-1.7733634189650238E-2</v>
      </c>
      <c r="G488" s="296">
        <f>VLOOKUP($A488,'Dados para Ke Alternativo'!$I:$J,2,0)</f>
        <v>2636.91</v>
      </c>
      <c r="H488" s="294">
        <f t="shared" si="38"/>
        <v>-2.5283608902491816E-2</v>
      </c>
      <c r="I488" s="297">
        <f>VLOOKUP(A488,'Dados para Ke Alternativo'!$W:$X,2,0)</f>
        <v>103738</v>
      </c>
      <c r="J488" s="294">
        <f t="shared" si="39"/>
        <v>-7.7111406704855057E-5</v>
      </c>
    </row>
    <row r="489" spans="1:10" x14ac:dyDescent="0.3">
      <c r="A489" s="168">
        <v>44911</v>
      </c>
      <c r="B489" s="219">
        <f>VLOOKUP('Ke Alternativo'!A489,'Dados para Ke Alternativo'!$A:$B,2,0)</f>
        <v>35.29</v>
      </c>
      <c r="C489" s="294">
        <f t="shared" si="36"/>
        <v>-1.1761411369364372E-2</v>
      </c>
      <c r="D489" s="296">
        <f>VLOOKUP(A489,'Dados para Ke Alternativo'!$P:$Q,2,0)</f>
        <v>5.3140000000000001</v>
      </c>
      <c r="E489" s="296">
        <f t="shared" si="35"/>
        <v>6.6409484380880688</v>
      </c>
      <c r="F489" s="294">
        <f t="shared" si="37"/>
        <v>-1.1947380241895678E-2</v>
      </c>
      <c r="G489" s="296">
        <f>VLOOKUP($A489,'Dados para Ke Alternativo'!$I:$J,2,0)</f>
        <v>2606.0100000000002</v>
      </c>
      <c r="H489" s="294">
        <f t="shared" si="38"/>
        <v>-1.1718261146569153E-2</v>
      </c>
      <c r="I489" s="297">
        <f>VLOOKUP(A489,'Dados para Ke Alternativo'!$W:$X,2,0)</f>
        <v>102856</v>
      </c>
      <c r="J489" s="294">
        <f t="shared" si="39"/>
        <v>-8.5021882049007846E-3</v>
      </c>
    </row>
    <row r="490" spans="1:10" x14ac:dyDescent="0.3">
      <c r="A490" s="167">
        <v>44914</v>
      </c>
      <c r="B490" s="219">
        <f>VLOOKUP('Ke Alternativo'!A490,'Dados para Ke Alternativo'!$A:$B,2,0)</f>
        <v>35.72</v>
      </c>
      <c r="C490" s="294">
        <f t="shared" si="36"/>
        <v>1.2184754888070248E-2</v>
      </c>
      <c r="D490" s="296">
        <f>VLOOKUP(A490,'Dados para Ke Alternativo'!$P:$Q,2,0)</f>
        <v>5.2930000000000001</v>
      </c>
      <c r="E490" s="296">
        <f t="shared" si="35"/>
        <v>6.7485358020026442</v>
      </c>
      <c r="F490" s="294">
        <f t="shared" si="37"/>
        <v>1.6200602205782122E-2</v>
      </c>
      <c r="G490" s="296">
        <f>VLOOKUP($A490,'Dados para Ke Alternativo'!$I:$J,2,0)</f>
        <v>2585.89</v>
      </c>
      <c r="H490" s="294">
        <f t="shared" si="38"/>
        <v>-7.7206150398503315E-3</v>
      </c>
      <c r="I490" s="297">
        <f>VLOOKUP(A490,'Dados para Ke Alternativo'!$W:$X,2,0)</f>
        <v>104740</v>
      </c>
      <c r="J490" s="294">
        <f t="shared" si="39"/>
        <v>1.8316870187446543E-2</v>
      </c>
    </row>
    <row r="491" spans="1:10" x14ac:dyDescent="0.3">
      <c r="A491" s="168">
        <v>44915</v>
      </c>
      <c r="B491" s="219">
        <f>VLOOKUP('Ke Alternativo'!A491,'Dados para Ke Alternativo'!$A:$B,2,0)</f>
        <v>35.799999999999997</v>
      </c>
      <c r="C491" s="294">
        <f t="shared" si="36"/>
        <v>2.2396416573347011E-3</v>
      </c>
      <c r="D491" s="296">
        <f>VLOOKUP(A491,'Dados para Ke Alternativo'!$P:$Q,2,0)</f>
        <v>5.1996000000000002</v>
      </c>
      <c r="E491" s="296">
        <f t="shared" si="35"/>
        <v>6.8851450111547035</v>
      </c>
      <c r="F491" s="294">
        <f t="shared" si="37"/>
        <v>2.024279238638993E-2</v>
      </c>
      <c r="G491" s="296">
        <f>VLOOKUP($A491,'Dados para Ke Alternativo'!$I:$J,2,0)</f>
        <v>2592.86</v>
      </c>
      <c r="H491" s="294">
        <f t="shared" si="38"/>
        <v>2.6953969426388724E-3</v>
      </c>
      <c r="I491" s="297">
        <f>VLOOKUP(A491,'Dados para Ke Alternativo'!$W:$X,2,0)</f>
        <v>106864</v>
      </c>
      <c r="J491" s="294">
        <f t="shared" si="39"/>
        <v>2.0278785564254331E-2</v>
      </c>
    </row>
    <row r="492" spans="1:10" x14ac:dyDescent="0.3">
      <c r="A492" s="167">
        <v>44916</v>
      </c>
      <c r="B492" s="219">
        <f>VLOOKUP('Ke Alternativo'!A492,'Dados para Ke Alternativo'!$A:$B,2,0)</f>
        <v>35.57</v>
      </c>
      <c r="C492" s="294">
        <f t="shared" si="36"/>
        <v>-6.424581005586516E-3</v>
      </c>
      <c r="D492" s="296">
        <f>VLOOKUP(A492,'Dados para Ke Alternativo'!$P:$Q,2,0)</f>
        <v>5.2008999999999999</v>
      </c>
      <c r="E492" s="296">
        <f t="shared" si="35"/>
        <v>6.8392009075352345</v>
      </c>
      <c r="F492" s="294">
        <f t="shared" si="37"/>
        <v>-6.6729318765305079E-3</v>
      </c>
      <c r="G492" s="296">
        <f>VLOOKUP($A492,'Dados para Ke Alternativo'!$I:$J,2,0)</f>
        <v>2626.92</v>
      </c>
      <c r="H492" s="294">
        <f t="shared" si="38"/>
        <v>1.313607367925762E-2</v>
      </c>
      <c r="I492" s="297">
        <f>VLOOKUP(A492,'Dados para Ke Alternativo'!$W:$X,2,0)</f>
        <v>107433</v>
      </c>
      <c r="J492" s="294">
        <f t="shared" si="39"/>
        <v>5.3245246294355564E-3</v>
      </c>
    </row>
    <row r="493" spans="1:10" x14ac:dyDescent="0.3">
      <c r="A493" s="168">
        <v>44917</v>
      </c>
      <c r="B493" s="219">
        <f>VLOOKUP('Ke Alternativo'!A493,'Dados para Ke Alternativo'!$A:$B,2,0)</f>
        <v>35.200000000000003</v>
      </c>
      <c r="C493" s="294">
        <f t="shared" si="36"/>
        <v>-1.0402024177677771E-2</v>
      </c>
      <c r="D493" s="296">
        <f>VLOOKUP(A493,'Dados para Ke Alternativo'!$P:$Q,2,0)</f>
        <v>5.1665000000000001</v>
      </c>
      <c r="E493" s="296">
        <f t="shared" si="35"/>
        <v>6.8131230039678705</v>
      </c>
      <c r="F493" s="294">
        <f t="shared" si="37"/>
        <v>-3.8130044605989566E-3</v>
      </c>
      <c r="G493" s="296">
        <f>VLOOKUP($A493,'Dados para Ke Alternativo'!$I:$J,2,0)</f>
        <v>2595.25</v>
      </c>
      <c r="H493" s="294">
        <f t="shared" si="38"/>
        <v>-1.2055943842979588E-2</v>
      </c>
      <c r="I493" s="297">
        <f>VLOOKUP(A493,'Dados para Ke Alternativo'!$W:$X,2,0)</f>
        <v>107552</v>
      </c>
      <c r="J493" s="294">
        <f t="shared" si="39"/>
        <v>1.1076671041485575E-3</v>
      </c>
    </row>
    <row r="494" spans="1:10" x14ac:dyDescent="0.3">
      <c r="A494" s="167">
        <v>44918</v>
      </c>
      <c r="B494" s="219">
        <f>VLOOKUP('Ke Alternativo'!A494,'Dados para Ke Alternativo'!$A:$B,2,0)</f>
        <v>35.43</v>
      </c>
      <c r="C494" s="294">
        <f t="shared" si="36"/>
        <v>6.5340909090907395E-3</v>
      </c>
      <c r="D494" s="296">
        <f>VLOOKUP(A494,'Dados para Ke Alternativo'!$P:$Q,2,0)</f>
        <v>5.1651999999999996</v>
      </c>
      <c r="E494" s="296">
        <f t="shared" si="35"/>
        <v>6.8593665298536362</v>
      </c>
      <c r="F494" s="294">
        <f t="shared" si="37"/>
        <v>6.7874197866137909E-3</v>
      </c>
      <c r="G494" s="296">
        <f>VLOOKUP($A494,'Dados para Ke Alternativo'!$I:$J,2,0)</f>
        <v>2605.19</v>
      </c>
      <c r="H494" s="294">
        <f t="shared" si="38"/>
        <v>3.8300741739716315E-3</v>
      </c>
      <c r="I494" s="297">
        <f>VLOOKUP(A494,'Dados para Ke Alternativo'!$W:$X,2,0)</f>
        <v>109698</v>
      </c>
      <c r="J494" s="294">
        <f t="shared" si="39"/>
        <v>1.9953138946742E-2</v>
      </c>
    </row>
    <row r="495" spans="1:10" x14ac:dyDescent="0.3">
      <c r="A495" s="168">
        <v>44921</v>
      </c>
      <c r="B495" s="219">
        <f>VLOOKUP('Ke Alternativo'!A495,'Dados para Ke Alternativo'!$A:$B,2,0)</f>
        <v>35.380000000000003</v>
      </c>
      <c r="C495" s="294">
        <f t="shared" si="36"/>
        <v>-1.4112334180073072E-3</v>
      </c>
      <c r="D495" s="296">
        <f>VLOOKUP(A495,'Dados para Ke Alternativo'!$P:$Q,2,0)</f>
        <v>5.2186000000000003</v>
      </c>
      <c r="E495" s="296">
        <f t="shared" si="35"/>
        <v>6.7795960602460434</v>
      </c>
      <c r="F495" s="294">
        <f t="shared" si="37"/>
        <v>-1.1629422230232556E-2</v>
      </c>
      <c r="G495" s="296">
        <f>VLOOKUP($A495,'Dados para Ke Alternativo'!$I:$J,2,0)</f>
        <v>2605.48</v>
      </c>
      <c r="H495" s="294">
        <f t="shared" si="38"/>
        <v>1.1131625716354066E-4</v>
      </c>
      <c r="I495" s="297">
        <f>VLOOKUP(A495,'Dados para Ke Alternativo'!$W:$X,2,0)</f>
        <v>108738</v>
      </c>
      <c r="J495" s="294">
        <f t="shared" si="39"/>
        <v>-8.7512990209483998E-3</v>
      </c>
    </row>
    <row r="496" spans="1:10" x14ac:dyDescent="0.3">
      <c r="A496" s="167">
        <v>44922</v>
      </c>
      <c r="B496" s="219">
        <f>VLOOKUP('Ke Alternativo'!A496,'Dados para Ke Alternativo'!$A:$B,2,0)</f>
        <v>35.520000000000003</v>
      </c>
      <c r="C496" s="294">
        <f t="shared" si="36"/>
        <v>3.9570378745052981E-3</v>
      </c>
      <c r="D496" s="296">
        <f>VLOOKUP(A496,'Dados para Ke Alternativo'!$P:$Q,2,0)</f>
        <v>5.2927999999999997</v>
      </c>
      <c r="E496" s="296">
        <f t="shared" si="35"/>
        <v>6.7110036275695295</v>
      </c>
      <c r="F496" s="294">
        <f t="shared" si="37"/>
        <v>-1.0117480756519415E-2</v>
      </c>
      <c r="G496" s="296">
        <f>VLOOKUP($A496,'Dados para Ke Alternativo'!$I:$J,2,0)</f>
        <v>2600.94</v>
      </c>
      <c r="H496" s="294">
        <f t="shared" si="38"/>
        <v>-1.7424812318651561E-3</v>
      </c>
      <c r="I496" s="297">
        <f>VLOOKUP(A496,'Dados para Ke Alternativo'!$W:$X,2,0)</f>
        <v>108578</v>
      </c>
      <c r="J496" s="294">
        <f t="shared" si="39"/>
        <v>-1.4714267321451757E-3</v>
      </c>
    </row>
    <row r="497" spans="1:10" x14ac:dyDescent="0.3">
      <c r="A497" s="168">
        <v>44923</v>
      </c>
      <c r="B497" s="219">
        <f>VLOOKUP('Ke Alternativo'!A497,'Dados para Ke Alternativo'!$A:$B,2,0)</f>
        <v>37.19</v>
      </c>
      <c r="C497" s="294">
        <f t="shared" si="36"/>
        <v>4.7015765765765716E-2</v>
      </c>
      <c r="D497" s="296">
        <f>VLOOKUP(A497,'Dados para Ke Alternativo'!$P:$Q,2,0)</f>
        <v>5.2675999999999998</v>
      </c>
      <c r="E497" s="296">
        <f t="shared" si="35"/>
        <v>7.0601412407927704</v>
      </c>
      <c r="F497" s="294">
        <f t="shared" si="37"/>
        <v>5.2024649754165875E-2</v>
      </c>
      <c r="G497" s="296">
        <f>VLOOKUP($A497,'Dados para Ke Alternativo'!$I:$J,2,0)</f>
        <v>2575.16</v>
      </c>
      <c r="H497" s="294">
        <f t="shared" si="38"/>
        <v>-9.9118011180573395E-3</v>
      </c>
      <c r="I497" s="297">
        <f>VLOOKUP(A497,'Dados para Ke Alternativo'!$W:$X,2,0)</f>
        <v>110237</v>
      </c>
      <c r="J497" s="294">
        <f t="shared" si="39"/>
        <v>1.5279338355836281E-2</v>
      </c>
    </row>
    <row r="498" spans="1:10" x14ac:dyDescent="0.3">
      <c r="A498" s="167">
        <v>44924</v>
      </c>
      <c r="B498" s="219">
        <f>VLOOKUP('Ke Alternativo'!A498,'Dados para Ke Alternativo'!$A:$B,2,0)</f>
        <v>37.15</v>
      </c>
      <c r="C498" s="294">
        <f t="shared" si="36"/>
        <v>-1.0755579456842579E-3</v>
      </c>
      <c r="D498" s="296">
        <f>VLOOKUP(A498,'Dados para Ke Alternativo'!$P:$Q,2,0)</f>
        <v>5.2859999999999996</v>
      </c>
      <c r="E498" s="296">
        <f t="shared" si="35"/>
        <v>7.0279984865682943</v>
      </c>
      <c r="F498" s="294">
        <f t="shared" si="37"/>
        <v>-4.5527069683476418E-3</v>
      </c>
      <c r="G498" s="296">
        <f>VLOOKUP($A498,'Dados para Ke Alternativo'!$I:$J,2,0)</f>
        <v>2611.98</v>
      </c>
      <c r="H498" s="294">
        <f t="shared" si="38"/>
        <v>1.4298140698053796E-2</v>
      </c>
      <c r="I498" s="297">
        <f>VLOOKUP(A498,'Dados para Ke Alternativo'!$W:$X,2,0)</f>
        <v>109735</v>
      </c>
      <c r="J498" s="294">
        <f t="shared" si="39"/>
        <v>-4.553824940809359E-3</v>
      </c>
    </row>
    <row r="499" spans="1:10" x14ac:dyDescent="0.3">
      <c r="A499" s="168">
        <v>44928</v>
      </c>
      <c r="B499" s="219">
        <f>VLOOKUP('Ke Alternativo'!A499,'Dados para Ke Alternativo'!$A:$B,2,0)</f>
        <v>36.700000000000003</v>
      </c>
      <c r="C499" s="294">
        <f t="shared" si="36"/>
        <v>-1.2113055181695698E-2</v>
      </c>
      <c r="D499" s="296">
        <f>VLOOKUP(A499,'Dados para Ke Alternativo'!$P:$Q,2,0)</f>
        <v>5.3632999999999997</v>
      </c>
      <c r="E499" s="296">
        <f t="shared" si="35"/>
        <v>6.8428020062275099</v>
      </c>
      <c r="F499" s="294">
        <f t="shared" si="37"/>
        <v>-2.6351240782809815E-2</v>
      </c>
      <c r="G499" s="296">
        <f>VLOOKUP($A499,'Dados para Ke Alternativo'!$I:$J,2,0)</f>
        <v>2607.25</v>
      </c>
      <c r="H499" s="294">
        <f t="shared" si="38"/>
        <v>-1.8108867602355527E-3</v>
      </c>
      <c r="I499" s="297">
        <f>VLOOKUP(A499,'Dados para Ke Alternativo'!$W:$X,2,0)</f>
        <v>106376</v>
      </c>
      <c r="J499" s="294">
        <f t="shared" si="39"/>
        <v>-3.0610106164851714E-2</v>
      </c>
    </row>
    <row r="500" spans="1:10" x14ac:dyDescent="0.3">
      <c r="A500" s="167">
        <v>44929</v>
      </c>
      <c r="B500" s="219">
        <f>VLOOKUP('Ke Alternativo'!A500,'Dados para Ke Alternativo'!$A:$B,2,0)</f>
        <v>34.24</v>
      </c>
      <c r="C500" s="294">
        <f t="shared" si="36"/>
        <v>-6.7029972752043587E-2</v>
      </c>
      <c r="D500" s="296">
        <f>VLOOKUP(A500,'Dados para Ke Alternativo'!$P:$Q,2,0)</f>
        <v>5.4797000000000002</v>
      </c>
      <c r="E500" s="296">
        <f t="shared" si="35"/>
        <v>6.2485172545942298</v>
      </c>
      <c r="F500" s="294">
        <f t="shared" si="37"/>
        <v>-8.6848158267977427E-2</v>
      </c>
      <c r="G500" s="296">
        <f>VLOOKUP($A500,'Dados para Ke Alternativo'!$I:$J,2,0)</f>
        <v>2600.91</v>
      </c>
      <c r="H500" s="294">
        <f t="shared" si="38"/>
        <v>-2.4316808898264819E-3</v>
      </c>
      <c r="I500" s="297">
        <f>VLOOKUP(A500,'Dados para Ke Alternativo'!$W:$X,2,0)</f>
        <v>104166</v>
      </c>
      <c r="J500" s="294">
        <f t="shared" si="39"/>
        <v>-2.0775362863803881E-2</v>
      </c>
    </row>
    <row r="501" spans="1:10" x14ac:dyDescent="0.3">
      <c r="A501" s="168">
        <v>44930</v>
      </c>
      <c r="B501" s="219">
        <f>VLOOKUP('Ke Alternativo'!A501,'Dados para Ke Alternativo'!$A:$B,2,0)</f>
        <v>34.04</v>
      </c>
      <c r="C501" s="294">
        <f t="shared" si="36"/>
        <v>-5.8411214953272284E-3</v>
      </c>
      <c r="D501" s="296">
        <f>VLOOKUP(A501,'Dados para Ke Alternativo'!$P:$Q,2,0)</f>
        <v>5.4311999999999996</v>
      </c>
      <c r="E501" s="296">
        <f t="shared" si="35"/>
        <v>6.2674915304168515</v>
      </c>
      <c r="F501" s="294">
        <f t="shared" si="37"/>
        <v>3.0366045334468961E-3</v>
      </c>
      <c r="G501" s="296">
        <f>VLOOKUP($A501,'Dados para Ke Alternativo'!$I:$J,2,0)</f>
        <v>2624.35</v>
      </c>
      <c r="H501" s="294">
        <f t="shared" si="38"/>
        <v>9.0122303347675015E-3</v>
      </c>
      <c r="I501" s="297">
        <f>VLOOKUP(A501,'Dados para Ke Alternativo'!$W:$X,2,0)</f>
        <v>105334</v>
      </c>
      <c r="J501" s="294">
        <f t="shared" si="39"/>
        <v>1.1212871762379173E-2</v>
      </c>
    </row>
    <row r="502" spans="1:10" x14ac:dyDescent="0.3">
      <c r="A502" s="167">
        <v>44931</v>
      </c>
      <c r="B502" s="219">
        <f>VLOOKUP('Ke Alternativo'!A502,'Dados para Ke Alternativo'!$A:$B,2,0)</f>
        <v>34.909999999999997</v>
      </c>
      <c r="C502" s="294">
        <f t="shared" si="36"/>
        <v>2.5558166862514664E-2</v>
      </c>
      <c r="D502" s="296">
        <f>VLOOKUP(A502,'Dados para Ke Alternativo'!$P:$Q,2,0)</f>
        <v>5.3509000000000002</v>
      </c>
      <c r="E502" s="296">
        <f t="shared" si="35"/>
        <v>6.5241361266329019</v>
      </c>
      <c r="F502" s="294">
        <f t="shared" si="37"/>
        <v>4.094853498732709E-2</v>
      </c>
      <c r="G502" s="296">
        <f>VLOOKUP($A502,'Dados para Ke Alternativo'!$I:$J,2,0)</f>
        <v>2594.69</v>
      </c>
      <c r="H502" s="294">
        <f t="shared" si="38"/>
        <v>-1.1301846171432817E-2</v>
      </c>
      <c r="I502" s="297">
        <f>VLOOKUP(A502,'Dados para Ke Alternativo'!$W:$X,2,0)</f>
        <v>107641</v>
      </c>
      <c r="J502" s="294">
        <f t="shared" si="39"/>
        <v>2.1901760115442315E-2</v>
      </c>
    </row>
    <row r="503" spans="1:10" x14ac:dyDescent="0.3">
      <c r="A503" s="168">
        <v>44932</v>
      </c>
      <c r="B503" s="219">
        <f>VLOOKUP('Ke Alternativo'!A503,'Dados para Ke Alternativo'!$A:$B,2,0)</f>
        <v>35.119999999999997</v>
      </c>
      <c r="C503" s="294">
        <f t="shared" si="36"/>
        <v>6.0154683471784764E-3</v>
      </c>
      <c r="D503" s="296">
        <f>VLOOKUP(A503,'Dados para Ke Alternativo'!$P:$Q,2,0)</f>
        <v>5.2253999999999996</v>
      </c>
      <c r="E503" s="296">
        <f t="shared" si="35"/>
        <v>6.7210165728939408</v>
      </c>
      <c r="F503" s="294">
        <f t="shared" si="37"/>
        <v>3.0177243766777329E-2</v>
      </c>
      <c r="G503" s="296">
        <f>VLOOKUP($A503,'Dados para Ke Alternativo'!$I:$J,2,0)</f>
        <v>2649.76</v>
      </c>
      <c r="H503" s="294">
        <f t="shared" si="38"/>
        <v>2.1224115404923305E-2</v>
      </c>
      <c r="I503" s="297">
        <f>VLOOKUP(A503,'Dados para Ke Alternativo'!$W:$X,2,0)</f>
        <v>108964</v>
      </c>
      <c r="J503" s="294">
        <f t="shared" si="39"/>
        <v>1.2290855714829796E-2</v>
      </c>
    </row>
    <row r="504" spans="1:10" x14ac:dyDescent="0.3">
      <c r="A504" s="167">
        <v>44935</v>
      </c>
      <c r="B504" s="219">
        <f>VLOOKUP('Ke Alternativo'!A504,'Dados para Ke Alternativo'!$A:$B,2,0)</f>
        <v>35.950000000000003</v>
      </c>
      <c r="C504" s="294">
        <f t="shared" si="36"/>
        <v>2.3633257403189223E-2</v>
      </c>
      <c r="D504" s="296">
        <f>VLOOKUP(A504,'Dados para Ke Alternativo'!$P:$Q,2,0)</f>
        <v>5.2545999999999999</v>
      </c>
      <c r="E504" s="296">
        <f t="shared" si="35"/>
        <v>6.8416244814067682</v>
      </c>
      <c r="F504" s="294">
        <f t="shared" si="37"/>
        <v>1.7944890807030989E-2</v>
      </c>
      <c r="G504" s="296">
        <f>VLOOKUP($A504,'Dados para Ke Alternativo'!$I:$J,2,0)</f>
        <v>2663.17</v>
      </c>
      <c r="H504" s="294">
        <f t="shared" si="38"/>
        <v>5.0608356983272706E-3</v>
      </c>
      <c r="I504" s="297">
        <f>VLOOKUP(A504,'Dados para Ke Alternativo'!$W:$X,2,0)</f>
        <v>109130</v>
      </c>
      <c r="J504" s="294">
        <f t="shared" si="39"/>
        <v>1.5234389339597865E-3</v>
      </c>
    </row>
    <row r="505" spans="1:10" x14ac:dyDescent="0.3">
      <c r="A505" s="168">
        <v>44936</v>
      </c>
      <c r="B505" s="219">
        <f>VLOOKUP('Ke Alternativo'!A505,'Dados para Ke Alternativo'!$A:$B,2,0)</f>
        <v>36.15</v>
      </c>
      <c r="C505" s="294">
        <f t="shared" si="36"/>
        <v>5.5632823365785455E-3</v>
      </c>
      <c r="D505" s="296">
        <f>VLOOKUP(A505,'Dados para Ke Alternativo'!$P:$Q,2,0)</f>
        <v>5.1997</v>
      </c>
      <c r="E505" s="296">
        <f t="shared" si="35"/>
        <v>6.9523241725484164</v>
      </c>
      <c r="F505" s="294">
        <f t="shared" si="37"/>
        <v>1.6180322588954299E-2</v>
      </c>
      <c r="G505" s="296">
        <f>VLOOKUP($A505,'Dados para Ke Alternativo'!$I:$J,2,0)</f>
        <v>2671.2</v>
      </c>
      <c r="H505" s="294">
        <f t="shared" si="38"/>
        <v>3.0152036858328568E-3</v>
      </c>
      <c r="I505" s="297">
        <f>VLOOKUP(A505,'Dados para Ke Alternativo'!$W:$X,2,0)</f>
        <v>110817</v>
      </c>
      <c r="J505" s="294">
        <f t="shared" si="39"/>
        <v>1.5458627325208418E-2</v>
      </c>
    </row>
    <row r="506" spans="1:10" x14ac:dyDescent="0.3">
      <c r="A506" s="167">
        <v>44937</v>
      </c>
      <c r="B506" s="219">
        <f>VLOOKUP('Ke Alternativo'!A506,'Dados para Ke Alternativo'!$A:$B,2,0)</f>
        <v>38.96</v>
      </c>
      <c r="C506" s="294">
        <f t="shared" si="36"/>
        <v>7.7731673582296157E-2</v>
      </c>
      <c r="D506" s="296">
        <f>VLOOKUP(A506,'Dados para Ke Alternativo'!$P:$Q,2,0)</f>
        <v>5.16</v>
      </c>
      <c r="E506" s="296">
        <f t="shared" si="35"/>
        <v>7.5503875968992249</v>
      </c>
      <c r="F506" s="294">
        <f t="shared" si="37"/>
        <v>8.6023523861601614E-2</v>
      </c>
      <c r="G506" s="296">
        <f>VLOOKUP($A506,'Dados para Ke Alternativo'!$I:$J,2,0)</f>
        <v>2700.75</v>
      </c>
      <c r="H506" s="294">
        <f t="shared" si="38"/>
        <v>1.1062443845462733E-2</v>
      </c>
      <c r="I506" s="297">
        <f>VLOOKUP(A506,'Dados para Ke Alternativo'!$W:$X,2,0)</f>
        <v>112517</v>
      </c>
      <c r="J506" s="294">
        <f t="shared" si="39"/>
        <v>1.5340606585632077E-2</v>
      </c>
    </row>
    <row r="507" spans="1:10" x14ac:dyDescent="0.3">
      <c r="A507" s="168">
        <v>44938</v>
      </c>
      <c r="B507" s="219">
        <f>VLOOKUP('Ke Alternativo'!A507,'Dados para Ke Alternativo'!$A:$B,2,0)</f>
        <v>39.69</v>
      </c>
      <c r="C507" s="294">
        <f t="shared" si="36"/>
        <v>1.8737166324435339E-2</v>
      </c>
      <c r="D507" s="296">
        <f>VLOOKUP(A507,'Dados para Ke Alternativo'!$P:$Q,2,0)</f>
        <v>5.1082000000000001</v>
      </c>
      <c r="E507" s="296">
        <f t="shared" si="35"/>
        <v>7.7698602247366972</v>
      </c>
      <c r="F507" s="294">
        <f t="shared" si="37"/>
        <v>2.9067729970260636E-2</v>
      </c>
      <c r="G507" s="296">
        <f>VLOOKUP($A507,'Dados para Ke Alternativo'!$I:$J,2,0)</f>
        <v>2720.09</v>
      </c>
      <c r="H507" s="294">
        <f t="shared" si="38"/>
        <v>7.1609738035731674E-3</v>
      </c>
      <c r="I507" s="297">
        <f>VLOOKUP(A507,'Dados para Ke Alternativo'!$W:$X,2,0)</f>
        <v>111850</v>
      </c>
      <c r="J507" s="294">
        <f t="shared" si="39"/>
        <v>-5.9279931032644173E-3</v>
      </c>
    </row>
    <row r="508" spans="1:10" x14ac:dyDescent="0.3">
      <c r="A508" s="167">
        <v>44939</v>
      </c>
      <c r="B508" s="219">
        <f>VLOOKUP('Ke Alternativo'!A508,'Dados para Ke Alternativo'!$A:$B,2,0)</f>
        <v>38.99</v>
      </c>
      <c r="C508" s="294">
        <f t="shared" si="36"/>
        <v>-1.7636684303350858E-2</v>
      </c>
      <c r="D508" s="296">
        <f>VLOOKUP(A508,'Dados para Ke Alternativo'!$P:$Q,2,0)</f>
        <v>5.0956000000000001</v>
      </c>
      <c r="E508" s="296">
        <f t="shared" si="35"/>
        <v>7.6516995054556878</v>
      </c>
      <c r="F508" s="294">
        <f t="shared" si="37"/>
        <v>-1.5207573349237946E-2</v>
      </c>
      <c r="G508" s="296">
        <f>VLOOKUP($A508,'Dados para Ke Alternativo'!$I:$J,2,0)</f>
        <v>2735.72</v>
      </c>
      <c r="H508" s="294">
        <f t="shared" si="38"/>
        <v>5.7461333999977438E-3</v>
      </c>
      <c r="I508" s="297">
        <f>VLOOKUP(A508,'Dados para Ke Alternativo'!$W:$X,2,0)</f>
        <v>110916</v>
      </c>
      <c r="J508" s="294">
        <f t="shared" si="39"/>
        <v>-8.3504693786320416E-3</v>
      </c>
    </row>
    <row r="509" spans="1:10" x14ac:dyDescent="0.3">
      <c r="A509" s="168">
        <v>44942</v>
      </c>
      <c r="B509" s="219">
        <f>VLOOKUP('Ke Alternativo'!A509,'Dados para Ke Alternativo'!$A:$B,2,0)</f>
        <v>39.01</v>
      </c>
      <c r="C509" s="294">
        <f t="shared" si="36"/>
        <v>5.129520389841602E-4</v>
      </c>
      <c r="D509" s="296">
        <f>VLOOKUP(A509,'Dados para Ke Alternativo'!$P:$Q,2,0)</f>
        <v>5.1474000000000002</v>
      </c>
      <c r="E509" s="296">
        <f t="shared" si="35"/>
        <v>7.5785833624742578</v>
      </c>
      <c r="F509" s="294">
        <f t="shared" si="37"/>
        <v>-9.5555429129565717E-3</v>
      </c>
      <c r="G509" s="296">
        <f>VLOOKUP($A509,'Dados para Ke Alternativo'!$I:$J,2,0)</f>
        <v>2735.88</v>
      </c>
      <c r="H509" s="294">
        <f t="shared" si="38"/>
        <v>5.8485517523854114E-5</v>
      </c>
      <c r="I509" s="297">
        <f>VLOOKUP(A509,'Dados para Ke Alternativo'!$W:$X,2,0)</f>
        <v>109213</v>
      </c>
      <c r="J509" s="294">
        <f t="shared" si="39"/>
        <v>-1.5353961556493156E-2</v>
      </c>
    </row>
    <row r="510" spans="1:10" x14ac:dyDescent="0.3">
      <c r="A510" s="167">
        <v>44943</v>
      </c>
      <c r="B510" s="219">
        <f>VLOOKUP('Ke Alternativo'!A510,'Dados para Ke Alternativo'!$A:$B,2,0)</f>
        <v>38.68</v>
      </c>
      <c r="C510" s="294">
        <f t="shared" si="36"/>
        <v>-8.4593693924633895E-3</v>
      </c>
      <c r="D510" s="296">
        <f>VLOOKUP(A510,'Dados para Ke Alternativo'!$P:$Q,2,0)</f>
        <v>5.1002999999999998</v>
      </c>
      <c r="E510" s="296">
        <f t="shared" si="35"/>
        <v>7.583867615630453</v>
      </c>
      <c r="F510" s="294">
        <f t="shared" si="37"/>
        <v>6.9726133545744418E-4</v>
      </c>
      <c r="G510" s="296">
        <f>VLOOKUP($A510,'Dados para Ke Alternativo'!$I:$J,2,0)</f>
        <v>2736.45</v>
      </c>
      <c r="H510" s="294">
        <f t="shared" si="38"/>
        <v>2.083424711609716E-4</v>
      </c>
      <c r="I510" s="297">
        <f>VLOOKUP(A510,'Dados para Ke Alternativo'!$W:$X,2,0)</f>
        <v>111439</v>
      </c>
      <c r="J510" s="294">
        <f t="shared" si="39"/>
        <v>2.0382188933551815E-2</v>
      </c>
    </row>
    <row r="511" spans="1:10" x14ac:dyDescent="0.3">
      <c r="A511" s="168">
        <v>44944</v>
      </c>
      <c r="B511" s="219">
        <f>VLOOKUP('Ke Alternativo'!A511,'Dados para Ke Alternativo'!$A:$B,2,0)</f>
        <v>38.909999999999997</v>
      </c>
      <c r="C511" s="294">
        <f t="shared" si="36"/>
        <v>5.9462254395035163E-3</v>
      </c>
      <c r="D511" s="296">
        <f>VLOOKUP(A511,'Dados para Ke Alternativo'!$P:$Q,2,0)</f>
        <v>5.1863000000000001</v>
      </c>
      <c r="E511" s="296">
        <f t="shared" si="35"/>
        <v>7.5024584000154242</v>
      </c>
      <c r="F511" s="294">
        <f t="shared" si="37"/>
        <v>-1.073452488110993E-2</v>
      </c>
      <c r="G511" s="296">
        <f>VLOOKUP($A511,'Dados para Ke Alternativo'!$I:$J,2,0)</f>
        <v>2713.54</v>
      </c>
      <c r="H511" s="294">
        <f t="shared" si="38"/>
        <v>-8.3721610115294887E-3</v>
      </c>
      <c r="I511" s="297">
        <f>VLOOKUP(A511,'Dados para Ke Alternativo'!$W:$X,2,0)</f>
        <v>112228</v>
      </c>
      <c r="J511" s="294">
        <f t="shared" si="39"/>
        <v>7.0801066054073658E-3</v>
      </c>
    </row>
    <row r="512" spans="1:10" x14ac:dyDescent="0.3">
      <c r="A512" s="167">
        <v>44945</v>
      </c>
      <c r="B512" s="219">
        <f>VLOOKUP('Ke Alternativo'!A512,'Dados para Ke Alternativo'!$A:$B,2,0)</f>
        <v>40.46</v>
      </c>
      <c r="C512" s="294">
        <f t="shared" si="36"/>
        <v>3.9835517861732228E-2</v>
      </c>
      <c r="D512" s="296">
        <f>VLOOKUP(A512,'Dados para Ke Alternativo'!$P:$Q,2,0)</f>
        <v>5.1741000000000001</v>
      </c>
      <c r="E512" s="296">
        <f t="shared" si="35"/>
        <v>7.8197174387816242</v>
      </c>
      <c r="F512" s="294">
        <f t="shared" si="37"/>
        <v>4.2287343941227018E-2</v>
      </c>
      <c r="G512" s="296">
        <f>VLOOKUP($A512,'Dados para Ke Alternativo'!$I:$J,2,0)</f>
        <v>2685.32</v>
      </c>
      <c r="H512" s="294">
        <f t="shared" si="38"/>
        <v>-1.0399699285803754E-2</v>
      </c>
      <c r="I512" s="297">
        <f>VLOOKUP(A512,'Dados para Ke Alternativo'!$W:$X,2,0)</f>
        <v>112922</v>
      </c>
      <c r="J512" s="294">
        <f t="shared" si="39"/>
        <v>6.1838400399187865E-3</v>
      </c>
    </row>
    <row r="513" spans="1:10" x14ac:dyDescent="0.3">
      <c r="A513" s="168">
        <v>44946</v>
      </c>
      <c r="B513" s="219">
        <f>VLOOKUP('Ke Alternativo'!A513,'Dados para Ke Alternativo'!$A:$B,2,0)</f>
        <v>41.03</v>
      </c>
      <c r="C513" s="294">
        <f t="shared" si="36"/>
        <v>1.4087988136431084E-2</v>
      </c>
      <c r="D513" s="296">
        <f>VLOOKUP(A513,'Dados para Ke Alternativo'!$P:$Q,2,0)</f>
        <v>5.2073999999999998</v>
      </c>
      <c r="E513" s="296">
        <f t="shared" si="35"/>
        <v>7.8791719476130124</v>
      </c>
      <c r="F513" s="294">
        <f t="shared" si="37"/>
        <v>7.6031530930422697E-3</v>
      </c>
      <c r="G513" s="296">
        <f>VLOOKUP($A513,'Dados para Ke Alternativo'!$I:$J,2,0)</f>
        <v>2725.4</v>
      </c>
      <c r="H513" s="294">
        <f t="shared" si="38"/>
        <v>1.4925595459758911E-2</v>
      </c>
      <c r="I513" s="297">
        <f>VLOOKUP(A513,'Dados para Ke Alternativo'!$W:$X,2,0)</f>
        <v>112041</v>
      </c>
      <c r="J513" s="294">
        <f t="shared" si="39"/>
        <v>-7.8018455216875005E-3</v>
      </c>
    </row>
    <row r="514" spans="1:10" x14ac:dyDescent="0.3">
      <c r="A514" s="167">
        <v>44949</v>
      </c>
      <c r="B514" s="219">
        <f>VLOOKUP('Ke Alternativo'!A514,'Dados para Ke Alternativo'!$A:$B,2,0)</f>
        <v>41.49</v>
      </c>
      <c r="C514" s="294">
        <f t="shared" si="36"/>
        <v>1.1211308798440234E-2</v>
      </c>
      <c r="D514" s="296">
        <f>VLOOKUP(A514,'Dados para Ke Alternativo'!$P:$Q,2,0)</f>
        <v>5.2076000000000002</v>
      </c>
      <c r="E514" s="296">
        <f t="shared" ref="E514:E577" si="40">B514/D514</f>
        <v>7.9672017820109069</v>
      </c>
      <c r="F514" s="294">
        <f t="shared" si="37"/>
        <v>1.1172472816076029E-2</v>
      </c>
      <c r="G514" s="296">
        <f>VLOOKUP($A514,'Dados para Ke Alternativo'!$I:$J,2,0)</f>
        <v>2754.96</v>
      </c>
      <c r="H514" s="294">
        <f t="shared" si="38"/>
        <v>1.0846114331841239E-2</v>
      </c>
      <c r="I514" s="297">
        <f>VLOOKUP(A514,'Dados para Ke Alternativo'!$W:$X,2,0)</f>
        <v>111737</v>
      </c>
      <c r="J514" s="294">
        <f t="shared" si="39"/>
        <v>-2.7132924554403859E-3</v>
      </c>
    </row>
    <row r="515" spans="1:10" x14ac:dyDescent="0.3">
      <c r="A515" s="168">
        <v>44950</v>
      </c>
      <c r="B515" s="219">
        <f>VLOOKUP('Ke Alternativo'!A515,'Dados para Ke Alternativo'!$A:$B,2,0)</f>
        <v>40.96</v>
      </c>
      <c r="C515" s="294">
        <f t="shared" ref="C515:C578" si="41">B515/B514-1</f>
        <v>-1.2774162448782822E-2</v>
      </c>
      <c r="D515" s="296">
        <f>VLOOKUP(A515,'Dados para Ke Alternativo'!$P:$Q,2,0)</f>
        <v>5.1391999999999998</v>
      </c>
      <c r="E515" s="296">
        <f t="shared" si="40"/>
        <v>7.9701120797011216</v>
      </c>
      <c r="F515" s="294">
        <f t="shared" ref="F515:F578" si="42">E515/E514-1</f>
        <v>3.6528479757924615E-4</v>
      </c>
      <c r="G515" s="296">
        <f>VLOOKUP($A515,'Dados para Ke Alternativo'!$I:$J,2,0)</f>
        <v>2755.96</v>
      </c>
      <c r="H515" s="294">
        <f t="shared" ref="H515:H578" si="43">G515/G514-1</f>
        <v>3.6298167668502579E-4</v>
      </c>
      <c r="I515" s="297">
        <f>VLOOKUP(A515,'Dados para Ke Alternativo'!$W:$X,2,0)</f>
        <v>113028</v>
      </c>
      <c r="J515" s="294">
        <f t="shared" ref="J515:J578" si="44">I515/I514-1</f>
        <v>1.1553916786740226E-2</v>
      </c>
    </row>
    <row r="516" spans="1:10" x14ac:dyDescent="0.3">
      <c r="A516" s="167">
        <v>44951</v>
      </c>
      <c r="B516" s="219">
        <f>VLOOKUP('Ke Alternativo'!A516,'Dados para Ke Alternativo'!$A:$B,2,0)</f>
        <v>41.85</v>
      </c>
      <c r="C516" s="294">
        <f t="shared" si="41"/>
        <v>2.1728515625E-2</v>
      </c>
      <c r="D516" s="296">
        <f>VLOOKUP(A516,'Dados para Ke Alternativo'!$P:$Q,2,0)</f>
        <v>5.0734000000000004</v>
      </c>
      <c r="E516" s="296">
        <f t="shared" si="40"/>
        <v>8.2489060590531</v>
      </c>
      <c r="F516" s="294">
        <f t="shared" si="42"/>
        <v>3.4979932096818489E-2</v>
      </c>
      <c r="G516" s="296">
        <f>VLOOKUP($A516,'Dados para Ke Alternativo'!$I:$J,2,0)</f>
        <v>2756.73</v>
      </c>
      <c r="H516" s="294">
        <f t="shared" si="43"/>
        <v>2.7939447597202793E-4</v>
      </c>
      <c r="I516" s="297">
        <f>VLOOKUP(A516,'Dados para Ke Alternativo'!$W:$X,2,0)</f>
        <v>114270</v>
      </c>
      <c r="J516" s="294">
        <f t="shared" si="44"/>
        <v>1.0988427646246857E-2</v>
      </c>
    </row>
    <row r="517" spans="1:10" x14ac:dyDescent="0.3">
      <c r="A517" s="168">
        <v>44952</v>
      </c>
      <c r="B517" s="219">
        <f>VLOOKUP('Ke Alternativo'!A517,'Dados para Ke Alternativo'!$A:$B,2,0)</f>
        <v>42.27</v>
      </c>
      <c r="C517" s="294">
        <f t="shared" si="41"/>
        <v>1.003584229390686E-2</v>
      </c>
      <c r="D517" s="296">
        <f>VLOOKUP(A517,'Dados para Ke Alternativo'!$P:$Q,2,0)</f>
        <v>5.0658000000000003</v>
      </c>
      <c r="E517" s="296">
        <f t="shared" si="40"/>
        <v>8.344190453630226</v>
      </c>
      <c r="F517" s="294">
        <f t="shared" si="42"/>
        <v>1.1551155255617562E-2</v>
      </c>
      <c r="G517" s="296">
        <f>VLOOKUP($A517,'Dados para Ke Alternativo'!$I:$J,2,0)</f>
        <v>2777.62</v>
      </c>
      <c r="H517" s="294">
        <f t="shared" si="43"/>
        <v>7.5778186474555476E-3</v>
      </c>
      <c r="I517" s="297">
        <f>VLOOKUP(A517,'Dados para Ke Alternativo'!$W:$X,2,0)</f>
        <v>114178</v>
      </c>
      <c r="J517" s="294">
        <f t="shared" si="44"/>
        <v>-8.051107027216009E-4</v>
      </c>
    </row>
    <row r="518" spans="1:10" x14ac:dyDescent="0.3">
      <c r="A518" s="167">
        <v>44953</v>
      </c>
      <c r="B518" s="219">
        <f>VLOOKUP('Ke Alternativo'!A518,'Dados para Ke Alternativo'!$A:$B,2,0)</f>
        <v>41.72</v>
      </c>
      <c r="C518" s="294">
        <f t="shared" si="41"/>
        <v>-1.3011592145729889E-2</v>
      </c>
      <c r="D518" s="296">
        <f>VLOOKUP(A518,'Dados para Ke Alternativo'!$P:$Q,2,0)</f>
        <v>5.1089000000000002</v>
      </c>
      <c r="E518" s="296">
        <f t="shared" si="40"/>
        <v>8.1661414394488041</v>
      </c>
      <c r="F518" s="294">
        <f t="shared" si="42"/>
        <v>-2.1338081287916921E-2</v>
      </c>
      <c r="G518" s="296">
        <f>VLOOKUP($A518,'Dados para Ke Alternativo'!$I:$J,2,0)</f>
        <v>2785.84</v>
      </c>
      <c r="H518" s="294">
        <f t="shared" si="43"/>
        <v>2.9593680921076171E-3</v>
      </c>
      <c r="I518" s="297">
        <f>VLOOKUP(A518,'Dados para Ke Alternativo'!$W:$X,2,0)</f>
        <v>112316</v>
      </c>
      <c r="J518" s="294">
        <f t="shared" si="44"/>
        <v>-1.6307870167633021E-2</v>
      </c>
    </row>
    <row r="519" spans="1:10" x14ac:dyDescent="0.3">
      <c r="A519" s="168">
        <v>44956</v>
      </c>
      <c r="B519" s="219">
        <f>VLOOKUP('Ke Alternativo'!A519,'Dados para Ke Alternativo'!$A:$B,2,0)</f>
        <v>41.43</v>
      </c>
      <c r="C519" s="294">
        <f t="shared" si="41"/>
        <v>-6.9511025886864752E-3</v>
      </c>
      <c r="D519" s="296">
        <f>VLOOKUP(A519,'Dados para Ke Alternativo'!$P:$Q,2,0)</f>
        <v>5.1162000000000001</v>
      </c>
      <c r="E519" s="296">
        <f t="shared" si="40"/>
        <v>8.0978069661076582</v>
      </c>
      <c r="F519" s="294">
        <f t="shared" si="42"/>
        <v>-8.3680247088345761E-3</v>
      </c>
      <c r="G519" s="296">
        <f>VLOOKUP($A519,'Dados para Ke Alternativo'!$I:$J,2,0)</f>
        <v>2759.32</v>
      </c>
      <c r="H519" s="294">
        <f t="shared" si="43"/>
        <v>-9.5195703988742997E-3</v>
      </c>
      <c r="I519" s="297">
        <f>VLOOKUP(A519,'Dados para Ke Alternativo'!$W:$X,2,0)</f>
        <v>112273</v>
      </c>
      <c r="J519" s="294">
        <f t="shared" si="44"/>
        <v>-3.828483920367276E-4</v>
      </c>
    </row>
    <row r="520" spans="1:10" x14ac:dyDescent="0.3">
      <c r="A520" s="167">
        <v>44957</v>
      </c>
      <c r="B520" s="219">
        <f>VLOOKUP('Ke Alternativo'!A520,'Dados para Ke Alternativo'!$A:$B,2,0)</f>
        <v>42.03</v>
      </c>
      <c r="C520" s="294">
        <f t="shared" si="41"/>
        <v>1.4482259232440287E-2</v>
      </c>
      <c r="D520" s="296">
        <f>VLOOKUP(A520,'Dados para Ke Alternativo'!$P:$Q,2,0)</f>
        <v>5.0731000000000002</v>
      </c>
      <c r="E520" s="296">
        <f t="shared" si="40"/>
        <v>8.2848751256628095</v>
      </c>
      <c r="F520" s="294">
        <f t="shared" si="42"/>
        <v>2.3101089015594045E-2</v>
      </c>
      <c r="G520" s="296">
        <f>VLOOKUP($A520,'Dados para Ke Alternativo'!$I:$J,2,0)</f>
        <v>2785</v>
      </c>
      <c r="H520" s="294">
        <f t="shared" si="43"/>
        <v>9.3066407665656214E-3</v>
      </c>
      <c r="I520" s="297">
        <f>VLOOKUP(A520,'Dados para Ke Alternativo'!$W:$X,2,0)</f>
        <v>113431</v>
      </c>
      <c r="J520" s="294">
        <f t="shared" si="44"/>
        <v>1.0314144985882567E-2</v>
      </c>
    </row>
    <row r="521" spans="1:10" x14ac:dyDescent="0.3">
      <c r="A521" s="168">
        <v>44958</v>
      </c>
      <c r="B521" s="219">
        <f>VLOOKUP('Ke Alternativo'!A521,'Dados para Ke Alternativo'!$A:$B,2,0)</f>
        <v>41.03</v>
      </c>
      <c r="C521" s="294">
        <f t="shared" si="41"/>
        <v>-2.3792529145848174E-2</v>
      </c>
      <c r="D521" s="296">
        <f>VLOOKUP(A521,'Dados para Ke Alternativo'!$P:$Q,2,0)</f>
        <v>5.0547000000000004</v>
      </c>
      <c r="E521" s="296">
        <f t="shared" si="40"/>
        <v>8.1171978554612529</v>
      </c>
      <c r="F521" s="294">
        <f t="shared" si="42"/>
        <v>-2.0238961681168566E-2</v>
      </c>
      <c r="G521" s="296">
        <f>VLOOKUP($A521,'Dados para Ke Alternativo'!$I:$J,2,0)</f>
        <v>2809.94</v>
      </c>
      <c r="H521" s="294">
        <f t="shared" si="43"/>
        <v>8.9551166965888829E-3</v>
      </c>
      <c r="I521" s="297">
        <f>VLOOKUP(A521,'Dados para Ke Alternativo'!$W:$X,2,0)</f>
        <v>112074</v>
      </c>
      <c r="J521" s="294">
        <f t="shared" si="44"/>
        <v>-1.1963219931059421E-2</v>
      </c>
    </row>
    <row r="522" spans="1:10" x14ac:dyDescent="0.3">
      <c r="A522" s="167">
        <v>44959</v>
      </c>
      <c r="B522" s="219">
        <f>VLOOKUP('Ke Alternativo'!A522,'Dados para Ke Alternativo'!$A:$B,2,0)</f>
        <v>39.99</v>
      </c>
      <c r="C522" s="294">
        <f t="shared" si="41"/>
        <v>-2.5347306848647277E-2</v>
      </c>
      <c r="D522" s="296">
        <f>VLOOKUP(A522,'Dados para Ke Alternativo'!$P:$Q,2,0)</f>
        <v>5.0503999999999998</v>
      </c>
      <c r="E522" s="296">
        <f t="shared" si="40"/>
        <v>7.9181846982417241</v>
      </c>
      <c r="F522" s="294">
        <f t="shared" si="42"/>
        <v>-2.4517470285097542E-2</v>
      </c>
      <c r="G522" s="296">
        <f>VLOOKUP($A522,'Dados para Ke Alternativo'!$I:$J,2,0)</f>
        <v>2847.82</v>
      </c>
      <c r="H522" s="294">
        <f t="shared" si="43"/>
        <v>1.3480714890709455E-2</v>
      </c>
      <c r="I522" s="297">
        <f>VLOOKUP(A522,'Dados para Ke Alternativo'!$W:$X,2,0)</f>
        <v>110141</v>
      </c>
      <c r="J522" s="294">
        <f t="shared" si="44"/>
        <v>-1.7247532880061422E-2</v>
      </c>
    </row>
    <row r="523" spans="1:10" x14ac:dyDescent="0.3">
      <c r="A523" s="168">
        <v>44960</v>
      </c>
      <c r="B523" s="219">
        <f>VLOOKUP('Ke Alternativo'!A523,'Dados para Ke Alternativo'!$A:$B,2,0)</f>
        <v>40.11</v>
      </c>
      <c r="C523" s="294">
        <f t="shared" si="41"/>
        <v>3.0007501875468634E-3</v>
      </c>
      <c r="D523" s="296">
        <f>VLOOKUP(A523,'Dados para Ke Alternativo'!$P:$Q,2,0)</f>
        <v>5.1521999999999997</v>
      </c>
      <c r="E523" s="296">
        <f t="shared" si="40"/>
        <v>7.7850238732968444</v>
      </c>
      <c r="F523" s="294">
        <f t="shared" si="42"/>
        <v>-1.6817090030048054E-2</v>
      </c>
      <c r="G523" s="296">
        <f>VLOOKUP($A523,'Dados para Ke Alternativo'!$I:$J,2,0)</f>
        <v>2820.73</v>
      </c>
      <c r="H523" s="294">
        <f t="shared" si="43"/>
        <v>-9.5125394161148513E-3</v>
      </c>
      <c r="I523" s="297">
        <f>VLOOKUP(A523,'Dados para Ke Alternativo'!$W:$X,2,0)</f>
        <v>108523</v>
      </c>
      <c r="J523" s="294">
        <f t="shared" si="44"/>
        <v>-1.4690260665873756E-2</v>
      </c>
    </row>
    <row r="524" spans="1:10" x14ac:dyDescent="0.3">
      <c r="A524" s="167">
        <v>44963</v>
      </c>
      <c r="B524" s="219">
        <f>VLOOKUP('Ke Alternativo'!A524,'Dados para Ke Alternativo'!$A:$B,2,0)</f>
        <v>41.13</v>
      </c>
      <c r="C524" s="294">
        <f t="shared" si="41"/>
        <v>2.5430067314884175E-2</v>
      </c>
      <c r="D524" s="296">
        <f>VLOOKUP(A524,'Dados para Ke Alternativo'!$P:$Q,2,0)</f>
        <v>5.1463999999999999</v>
      </c>
      <c r="E524" s="296">
        <f t="shared" si="40"/>
        <v>7.9919944038551227</v>
      </c>
      <c r="F524" s="294">
        <f t="shared" si="42"/>
        <v>2.6585728435361888E-2</v>
      </c>
      <c r="G524" s="296">
        <f>VLOOKUP($A524,'Dados para Ke Alternativo'!$I:$J,2,0)</f>
        <v>2793.59</v>
      </c>
      <c r="H524" s="294">
        <f t="shared" si="43"/>
        <v>-9.6216227714102098E-3</v>
      </c>
      <c r="I524" s="297">
        <f>VLOOKUP(A524,'Dados para Ke Alternativo'!$W:$X,2,0)</f>
        <v>108722</v>
      </c>
      <c r="J524" s="294">
        <f t="shared" si="44"/>
        <v>1.8337126692038463E-3</v>
      </c>
    </row>
    <row r="525" spans="1:10" x14ac:dyDescent="0.3">
      <c r="A525" s="168">
        <v>44964</v>
      </c>
      <c r="B525" s="219">
        <f>VLOOKUP('Ke Alternativo'!A525,'Dados para Ke Alternativo'!$A:$B,2,0)</f>
        <v>41.56</v>
      </c>
      <c r="C525" s="294">
        <f t="shared" si="41"/>
        <v>1.0454655968879178E-2</v>
      </c>
      <c r="D525" s="296">
        <f>VLOOKUP(A525,'Dados para Ke Alternativo'!$P:$Q,2,0)</f>
        <v>5.2100999999999997</v>
      </c>
      <c r="E525" s="296">
        <f t="shared" si="40"/>
        <v>7.9768142646014484</v>
      </c>
      <c r="F525" s="294">
        <f t="shared" si="42"/>
        <v>-1.8994181535402221E-3</v>
      </c>
      <c r="G525" s="296">
        <f>VLOOKUP($A525,'Dados para Ke Alternativo'!$I:$J,2,0)</f>
        <v>2820.49</v>
      </c>
      <c r="H525" s="294">
        <f t="shared" si="43"/>
        <v>9.629186816962898E-3</v>
      </c>
      <c r="I525" s="297">
        <f>VLOOKUP(A525,'Dados para Ke Alternativo'!$W:$X,2,0)</f>
        <v>107830</v>
      </c>
      <c r="J525" s="294">
        <f t="shared" si="44"/>
        <v>-8.2044112507128064E-3</v>
      </c>
    </row>
    <row r="526" spans="1:10" x14ac:dyDescent="0.3">
      <c r="A526" s="167">
        <v>44965</v>
      </c>
      <c r="B526" s="219">
        <f>VLOOKUP('Ke Alternativo'!A526,'Dados para Ke Alternativo'!$A:$B,2,0)</f>
        <v>42.48</v>
      </c>
      <c r="C526" s="294">
        <f t="shared" si="41"/>
        <v>2.21366698748795E-2</v>
      </c>
      <c r="D526" s="296">
        <f>VLOOKUP(A526,'Dados para Ke Alternativo'!$P:$Q,2,0)</f>
        <v>5.2007000000000003</v>
      </c>
      <c r="E526" s="296">
        <f t="shared" si="40"/>
        <v>8.1681312131059265</v>
      </c>
      <c r="F526" s="294">
        <f t="shared" si="42"/>
        <v>2.3984129773897633E-2</v>
      </c>
      <c r="G526" s="296">
        <f>VLOOKUP($A526,'Dados para Ke Alternativo'!$I:$J,2,0)</f>
        <v>2801.96</v>
      </c>
      <c r="H526" s="294">
        <f t="shared" si="43"/>
        <v>-6.5697804282234262E-3</v>
      </c>
      <c r="I526" s="297">
        <f>VLOOKUP(A526,'Dados para Ke Alternativo'!$W:$X,2,0)</f>
        <v>109951</v>
      </c>
      <c r="J526" s="294">
        <f t="shared" si="44"/>
        <v>1.9669850690902324E-2</v>
      </c>
    </row>
    <row r="527" spans="1:10" x14ac:dyDescent="0.3">
      <c r="A527" s="168">
        <v>44966</v>
      </c>
      <c r="B527" s="219">
        <f>VLOOKUP('Ke Alternativo'!A527,'Dados para Ke Alternativo'!$A:$B,2,0)</f>
        <v>41.89</v>
      </c>
      <c r="C527" s="294">
        <f t="shared" si="41"/>
        <v>-1.388888888888884E-2</v>
      </c>
      <c r="D527" s="296">
        <f>VLOOKUP(A527,'Dados para Ke Alternativo'!$P:$Q,2,0)</f>
        <v>5.2911000000000001</v>
      </c>
      <c r="E527" s="296">
        <f t="shared" si="40"/>
        <v>7.9170682844777076</v>
      </c>
      <c r="F527" s="294">
        <f t="shared" si="42"/>
        <v>-3.073688730971702E-2</v>
      </c>
      <c r="G527" s="296">
        <f>VLOOKUP($A527,'Dados para Ke Alternativo'!$I:$J,2,0)</f>
        <v>2790.53</v>
      </c>
      <c r="H527" s="294">
        <f t="shared" si="43"/>
        <v>-4.0792873559936105E-3</v>
      </c>
      <c r="I527" s="297">
        <f>VLOOKUP(A527,'Dados para Ke Alternativo'!$W:$X,2,0)</f>
        <v>108008</v>
      </c>
      <c r="J527" s="294">
        <f t="shared" si="44"/>
        <v>-1.7671508217296794E-2</v>
      </c>
    </row>
    <row r="528" spans="1:10" x14ac:dyDescent="0.3">
      <c r="A528" s="167">
        <v>44967</v>
      </c>
      <c r="B528" s="219">
        <f>VLOOKUP('Ke Alternativo'!A528,'Dados para Ke Alternativo'!$A:$B,2,0)</f>
        <v>42.68</v>
      </c>
      <c r="C528" s="294">
        <f t="shared" si="41"/>
        <v>1.8858916209119059E-2</v>
      </c>
      <c r="D528" s="296">
        <f>VLOOKUP(A528,'Dados para Ke Alternativo'!$P:$Q,2,0)</f>
        <v>5.2150999999999996</v>
      </c>
      <c r="E528" s="296">
        <f t="shared" si="40"/>
        <v>8.183927441468045</v>
      </c>
      <c r="F528" s="294">
        <f t="shared" si="42"/>
        <v>3.3706815124172174E-2</v>
      </c>
      <c r="G528" s="296">
        <f>VLOOKUP($A528,'Dados para Ke Alternativo'!$I:$J,2,0)</f>
        <v>2783.91</v>
      </c>
      <c r="H528" s="294">
        <f t="shared" si="43"/>
        <v>-2.3723092029114268E-3</v>
      </c>
      <c r="I528" s="297">
        <f>VLOOKUP(A528,'Dados para Ke Alternativo'!$W:$X,2,0)</f>
        <v>108078</v>
      </c>
      <c r="J528" s="294">
        <f t="shared" si="44"/>
        <v>6.481001407303566E-4</v>
      </c>
    </row>
    <row r="529" spans="1:10" x14ac:dyDescent="0.3">
      <c r="A529" s="168">
        <v>44970</v>
      </c>
      <c r="B529" s="219">
        <f>VLOOKUP('Ke Alternativo'!A529,'Dados para Ke Alternativo'!$A:$B,2,0)</f>
        <v>41.97</v>
      </c>
      <c r="C529" s="294">
        <f t="shared" si="41"/>
        <v>-1.6635426429240874E-2</v>
      </c>
      <c r="D529" s="296">
        <f>VLOOKUP(A529,'Dados para Ke Alternativo'!$P:$Q,2,0)</f>
        <v>5.1596000000000002</v>
      </c>
      <c r="E529" s="296">
        <f t="shared" si="40"/>
        <v>8.1343515001162867</v>
      </c>
      <c r="F529" s="294">
        <f t="shared" si="42"/>
        <v>-6.0577200502238693E-3</v>
      </c>
      <c r="G529" s="296">
        <f>VLOOKUP($A529,'Dados para Ke Alternativo'!$I:$J,2,0)</f>
        <v>2810.04</v>
      </c>
      <c r="H529" s="294">
        <f t="shared" si="43"/>
        <v>9.3860792913564861E-3</v>
      </c>
      <c r="I529" s="297">
        <f>VLOOKUP(A529,'Dados para Ke Alternativo'!$W:$X,2,0)</f>
        <v>108836</v>
      </c>
      <c r="J529" s="294">
        <f t="shared" si="44"/>
        <v>7.0134532467291955E-3</v>
      </c>
    </row>
    <row r="530" spans="1:10" x14ac:dyDescent="0.3">
      <c r="A530" s="167">
        <v>44971</v>
      </c>
      <c r="B530" s="219">
        <f>VLOOKUP('Ke Alternativo'!A530,'Dados para Ke Alternativo'!$A:$B,2,0)</f>
        <v>40.79</v>
      </c>
      <c r="C530" s="294">
        <f t="shared" si="41"/>
        <v>-2.8115320467000271E-2</v>
      </c>
      <c r="D530" s="296">
        <f>VLOOKUP(A530,'Dados para Ke Alternativo'!$P:$Q,2,0)</f>
        <v>5.1923000000000004</v>
      </c>
      <c r="E530" s="296">
        <f t="shared" si="40"/>
        <v>7.855863490168133</v>
      </c>
      <c r="F530" s="294">
        <f t="shared" si="42"/>
        <v>-3.4236043272063199E-2</v>
      </c>
      <c r="G530" s="296">
        <f>VLOOKUP($A530,'Dados para Ke Alternativo'!$I:$J,2,0)</f>
        <v>2812.53</v>
      </c>
      <c r="H530" s="294">
        <f t="shared" si="43"/>
        <v>8.8610838279890025E-4</v>
      </c>
      <c r="I530" s="297">
        <f>VLOOKUP(A530,'Dados para Ke Alternativo'!$W:$X,2,0)</f>
        <v>107849</v>
      </c>
      <c r="J530" s="294">
        <f t="shared" si="44"/>
        <v>-9.0686905068175783E-3</v>
      </c>
    </row>
    <row r="531" spans="1:10" x14ac:dyDescent="0.3">
      <c r="A531" s="168">
        <v>44972</v>
      </c>
      <c r="B531" s="219">
        <f>VLOOKUP('Ke Alternativo'!A531,'Dados para Ke Alternativo'!$A:$B,2,0)</f>
        <v>40.83</v>
      </c>
      <c r="C531" s="294">
        <f t="shared" si="41"/>
        <v>9.806325079675382E-4</v>
      </c>
      <c r="D531" s="296">
        <f>VLOOKUP(A531,'Dados para Ke Alternativo'!$P:$Q,2,0)</f>
        <v>5.2190000000000003</v>
      </c>
      <c r="E531" s="296">
        <f t="shared" si="40"/>
        <v>7.8233378041770445</v>
      </c>
      <c r="F531" s="294">
        <f t="shared" si="42"/>
        <v>-4.1403069225675049E-3</v>
      </c>
      <c r="G531" s="296">
        <f>VLOOKUP($A531,'Dados para Ke Alternativo'!$I:$J,2,0)</f>
        <v>2815.45</v>
      </c>
      <c r="H531" s="294">
        <f t="shared" si="43"/>
        <v>1.0382111479698697E-3</v>
      </c>
      <c r="I531" s="297">
        <f>VLOOKUP(A531,'Dados para Ke Alternativo'!$W:$X,2,0)</f>
        <v>109600</v>
      </c>
      <c r="J531" s="294">
        <f t="shared" si="44"/>
        <v>1.623566282487543E-2</v>
      </c>
    </row>
    <row r="532" spans="1:10" x14ac:dyDescent="0.3">
      <c r="A532" s="167">
        <v>44973</v>
      </c>
      <c r="B532" s="219">
        <f>VLOOKUP('Ke Alternativo'!A532,'Dados para Ke Alternativo'!$A:$B,2,0)</f>
        <v>40.19</v>
      </c>
      <c r="C532" s="294">
        <f t="shared" si="41"/>
        <v>-1.5674748959098705E-2</v>
      </c>
      <c r="D532" s="296">
        <f>VLOOKUP(A532,'Dados para Ke Alternativo'!$P:$Q,2,0)</f>
        <v>5.2178000000000004</v>
      </c>
      <c r="E532" s="296">
        <f t="shared" si="40"/>
        <v>7.7024799724021609</v>
      </c>
      <c r="F532" s="294">
        <f t="shared" si="42"/>
        <v>-1.5448371884230205E-2</v>
      </c>
      <c r="G532" s="296">
        <f>VLOOKUP($A532,'Dados para Ke Alternativo'!$I:$J,2,0)</f>
        <v>2790.63</v>
      </c>
      <c r="H532" s="294">
        <f t="shared" si="43"/>
        <v>-8.815642259674239E-3</v>
      </c>
      <c r="I532" s="297">
        <f>VLOOKUP(A532,'Dados para Ke Alternativo'!$W:$X,2,0)</f>
        <v>109941</v>
      </c>
      <c r="J532" s="294">
        <f t="shared" si="44"/>
        <v>3.1113138686131858E-3</v>
      </c>
    </row>
    <row r="533" spans="1:10" x14ac:dyDescent="0.3">
      <c r="A533" s="168">
        <v>44974</v>
      </c>
      <c r="B533" s="219">
        <f>VLOOKUP('Ke Alternativo'!A533,'Dados para Ke Alternativo'!$A:$B,2,0)</f>
        <v>38.15</v>
      </c>
      <c r="C533" s="294">
        <f t="shared" si="41"/>
        <v>-5.0758895247574043E-2</v>
      </c>
      <c r="D533" s="296">
        <f>VLOOKUP(A533,'Dados para Ke Alternativo'!$P:$Q,2,0)</f>
        <v>5.1673999999999998</v>
      </c>
      <c r="E533" s="296">
        <f t="shared" si="40"/>
        <v>7.3828230831752917</v>
      </c>
      <c r="F533" s="294">
        <f t="shared" si="42"/>
        <v>-4.1500515466731946E-2</v>
      </c>
      <c r="G533" s="296">
        <f>VLOOKUP($A533,'Dados para Ke Alternativo'!$I:$J,2,0)</f>
        <v>2779.88</v>
      </c>
      <c r="H533" s="294">
        <f t="shared" si="43"/>
        <v>-3.8521767486194847E-3</v>
      </c>
      <c r="I533" s="297">
        <f>VLOOKUP(A533,'Dados para Ke Alternativo'!$W:$X,2,0)</f>
        <v>109177</v>
      </c>
      <c r="J533" s="294">
        <f t="shared" si="44"/>
        <v>-6.9491818338927036E-3</v>
      </c>
    </row>
    <row r="534" spans="1:10" x14ac:dyDescent="0.3">
      <c r="A534" s="167">
        <v>44979</v>
      </c>
      <c r="B534" s="219">
        <f>VLOOKUP('Ke Alternativo'!A534,'Dados para Ke Alternativo'!$A:$B,2,0)</f>
        <v>37.54</v>
      </c>
      <c r="C534" s="294">
        <f t="shared" si="41"/>
        <v>-1.5989515072083904E-2</v>
      </c>
      <c r="D534" s="296">
        <f>VLOOKUP(A534,'Dados para Ke Alternativo'!$P:$Q,2,0)</f>
        <v>5.1521999999999997</v>
      </c>
      <c r="E534" s="296">
        <f t="shared" si="40"/>
        <v>7.2862078335468343</v>
      </c>
      <c r="F534" s="294">
        <f t="shared" si="42"/>
        <v>-1.3086491243252674E-2</v>
      </c>
      <c r="G534" s="296">
        <f>VLOOKUP($A534,'Dados para Ke Alternativo'!$I:$J,2,0)</f>
        <v>2730.88</v>
      </c>
      <c r="H534" s="294">
        <f t="shared" si="43"/>
        <v>-1.7626660143603368E-2</v>
      </c>
      <c r="I534" s="297">
        <f>VLOOKUP(A534,'Dados para Ke Alternativo'!$W:$X,2,0)</f>
        <v>107152</v>
      </c>
      <c r="J534" s="294">
        <f t="shared" si="44"/>
        <v>-1.8547862645062585E-2</v>
      </c>
    </row>
    <row r="535" spans="1:10" x14ac:dyDescent="0.3">
      <c r="A535" s="168">
        <v>44980</v>
      </c>
      <c r="B535" s="219">
        <f>VLOOKUP('Ke Alternativo'!A535,'Dados para Ke Alternativo'!$A:$B,2,0)</f>
        <v>37.409999999999997</v>
      </c>
      <c r="C535" s="294">
        <f t="shared" si="41"/>
        <v>-3.4629728289824468E-3</v>
      </c>
      <c r="D535" s="296">
        <f>VLOOKUP(A535,'Dados para Ke Alternativo'!$P:$Q,2,0)</f>
        <v>5.1372999999999998</v>
      </c>
      <c r="E535" s="296">
        <f t="shared" si="40"/>
        <v>7.2820353103770463</v>
      </c>
      <c r="F535" s="294">
        <f t="shared" si="42"/>
        <v>-5.7266046551363026E-4</v>
      </c>
      <c r="G535" s="296">
        <f>VLOOKUP($A535,'Dados para Ke Alternativo'!$I:$J,2,0)</f>
        <v>2737.41</v>
      </c>
      <c r="H535" s="294">
        <f t="shared" si="43"/>
        <v>2.3911706116708231E-3</v>
      </c>
      <c r="I535" s="297">
        <f>VLOOKUP(A535,'Dados para Ke Alternativo'!$W:$X,2,0)</f>
        <v>107593</v>
      </c>
      <c r="J535" s="294">
        <f t="shared" si="44"/>
        <v>4.115648797969218E-3</v>
      </c>
    </row>
    <row r="536" spans="1:10" x14ac:dyDescent="0.3">
      <c r="A536" s="167">
        <v>44981</v>
      </c>
      <c r="B536" s="219">
        <f>VLOOKUP('Ke Alternativo'!A536,'Dados para Ke Alternativo'!$A:$B,2,0)</f>
        <v>37.54</v>
      </c>
      <c r="C536" s="294">
        <f t="shared" si="41"/>
        <v>3.4750066827051729E-3</v>
      </c>
      <c r="D536" s="296">
        <f>VLOOKUP(A536,'Dados para Ke Alternativo'!$P:$Q,2,0)</f>
        <v>5.21</v>
      </c>
      <c r="E536" s="296">
        <f t="shared" si="40"/>
        <v>7.205374280230326</v>
      </c>
      <c r="F536" s="294">
        <f t="shared" si="42"/>
        <v>-1.0527418074652406E-2</v>
      </c>
      <c r="G536" s="296">
        <f>VLOOKUP($A536,'Dados para Ke Alternativo'!$I:$J,2,0)</f>
        <v>2706.91</v>
      </c>
      <c r="H536" s="294">
        <f t="shared" si="43"/>
        <v>-1.1141918821075403E-2</v>
      </c>
      <c r="I536" s="297">
        <f>VLOOKUP(A536,'Dados para Ke Alternativo'!$W:$X,2,0)</f>
        <v>105798</v>
      </c>
      <c r="J536" s="294">
        <f t="shared" si="44"/>
        <v>-1.6683241474817145E-2</v>
      </c>
    </row>
    <row r="537" spans="1:10" x14ac:dyDescent="0.3">
      <c r="A537" s="168">
        <v>44984</v>
      </c>
      <c r="B537" s="219">
        <f>VLOOKUP('Ke Alternativo'!A537,'Dados para Ke Alternativo'!$A:$B,2,0)</f>
        <v>36.99</v>
      </c>
      <c r="C537" s="294">
        <f t="shared" si="41"/>
        <v>-1.46510388918486E-2</v>
      </c>
      <c r="D537" s="296">
        <f>VLOOKUP(A537,'Dados para Ke Alternativo'!$P:$Q,2,0)</f>
        <v>5.2008000000000001</v>
      </c>
      <c r="E537" s="296">
        <f t="shared" si="40"/>
        <v>7.1123673281033692</v>
      </c>
      <c r="F537" s="294">
        <f t="shared" si="42"/>
        <v>-1.2907997351663369E-2</v>
      </c>
      <c r="G537" s="296">
        <f>VLOOKUP($A537,'Dados para Ke Alternativo'!$I:$J,2,0)</f>
        <v>2721.63</v>
      </c>
      <c r="H537" s="294">
        <f t="shared" si="43"/>
        <v>5.4379347669484268E-3</v>
      </c>
      <c r="I537" s="297">
        <f>VLOOKUP(A537,'Dados para Ke Alternativo'!$W:$X,2,0)</f>
        <v>105711</v>
      </c>
      <c r="J537" s="294">
        <f t="shared" si="44"/>
        <v>-8.2232178302044101E-4</v>
      </c>
    </row>
    <row r="538" spans="1:10" x14ac:dyDescent="0.3">
      <c r="A538" s="167">
        <v>44985</v>
      </c>
      <c r="B538" s="219">
        <f>VLOOKUP('Ke Alternativo'!A538,'Dados para Ke Alternativo'!$A:$B,2,0)</f>
        <v>33.65</v>
      </c>
      <c r="C538" s="294">
        <f t="shared" si="41"/>
        <v>-9.0294674236280126E-2</v>
      </c>
      <c r="D538" s="296">
        <f>VLOOKUP(A538,'Dados para Ke Alternativo'!$P:$Q,2,0)</f>
        <v>5.2366999999999999</v>
      </c>
      <c r="E538" s="296">
        <f t="shared" si="40"/>
        <v>6.4258025092138178</v>
      </c>
      <c r="F538" s="294">
        <f t="shared" si="42"/>
        <v>-9.6531124900805065E-2</v>
      </c>
      <c r="G538" s="296">
        <f>VLOOKUP($A538,'Dados para Ke Alternativo'!$I:$J,2,0)</f>
        <v>2714.57</v>
      </c>
      <c r="H538" s="294">
        <f t="shared" si="43"/>
        <v>-2.5940337224383825E-3</v>
      </c>
      <c r="I538" s="297">
        <f>VLOOKUP(A538,'Dados para Ke Alternativo'!$W:$X,2,0)</f>
        <v>104932</v>
      </c>
      <c r="J538" s="294">
        <f t="shared" si="44"/>
        <v>-7.3691479600042076E-3</v>
      </c>
    </row>
    <row r="539" spans="1:10" x14ac:dyDescent="0.3">
      <c r="A539" s="168">
        <v>44986</v>
      </c>
      <c r="B539" s="219">
        <f>VLOOKUP('Ke Alternativo'!A539,'Dados para Ke Alternativo'!$A:$B,2,0)</f>
        <v>33.33</v>
      </c>
      <c r="C539" s="294">
        <f t="shared" si="41"/>
        <v>-9.509658246656727E-3</v>
      </c>
      <c r="D539" s="296">
        <f>VLOOKUP(A539,'Dados para Ke Alternativo'!$P:$Q,2,0)</f>
        <v>5.1794000000000002</v>
      </c>
      <c r="E539" s="296">
        <f t="shared" si="40"/>
        <v>6.4351083137042897</v>
      </c>
      <c r="F539" s="294">
        <f t="shared" si="42"/>
        <v>1.4481933543908365E-3</v>
      </c>
      <c r="G539" s="296">
        <f>VLOOKUP($A539,'Dados para Ke Alternativo'!$I:$J,2,0)</f>
        <v>2706.79</v>
      </c>
      <c r="H539" s="294">
        <f t="shared" si="43"/>
        <v>-2.8660156120491331E-3</v>
      </c>
      <c r="I539" s="297">
        <f>VLOOKUP(A539,'Dados para Ke Alternativo'!$W:$X,2,0)</f>
        <v>104385</v>
      </c>
      <c r="J539" s="294">
        <f t="shared" si="44"/>
        <v>-5.2128997827164403E-3</v>
      </c>
    </row>
    <row r="540" spans="1:10" x14ac:dyDescent="0.3">
      <c r="A540" s="167">
        <v>44987</v>
      </c>
      <c r="B540" s="219">
        <f>VLOOKUP('Ke Alternativo'!A540,'Dados para Ke Alternativo'!$A:$B,2,0)</f>
        <v>33.909999999999997</v>
      </c>
      <c r="C540" s="294">
        <f t="shared" si="41"/>
        <v>1.740174017401741E-2</v>
      </c>
      <c r="D540" s="296">
        <f>VLOOKUP(A540,'Dados para Ke Alternativo'!$P:$Q,2,0)</f>
        <v>5.2005999999999997</v>
      </c>
      <c r="E540" s="296">
        <f t="shared" si="40"/>
        <v>6.5204014921355222</v>
      </c>
      <c r="F540" s="294">
        <f t="shared" si="42"/>
        <v>1.325435008601028E-2</v>
      </c>
      <c r="G540" s="296">
        <f>VLOOKUP($A540,'Dados para Ke Alternativo'!$I:$J,2,0)</f>
        <v>2719.68</v>
      </c>
      <c r="H540" s="294">
        <f t="shared" si="43"/>
        <v>4.7620982787730526E-3</v>
      </c>
      <c r="I540" s="297">
        <f>VLOOKUP(A540,'Dados para Ke Alternativo'!$W:$X,2,0)</f>
        <v>103326</v>
      </c>
      <c r="J540" s="294">
        <f t="shared" si="44"/>
        <v>-1.0145135795372906E-2</v>
      </c>
    </row>
    <row r="541" spans="1:10" x14ac:dyDescent="0.3">
      <c r="A541" s="168">
        <v>44988</v>
      </c>
      <c r="B541" s="219">
        <f>VLOOKUP('Ke Alternativo'!A541,'Dados para Ke Alternativo'!$A:$B,2,0)</f>
        <v>34.65</v>
      </c>
      <c r="C541" s="294">
        <f t="shared" si="41"/>
        <v>2.1822471247419761E-2</v>
      </c>
      <c r="D541" s="296">
        <f>VLOOKUP(A541,'Dados para Ke Alternativo'!$P:$Q,2,0)</f>
        <v>5.1955999999999998</v>
      </c>
      <c r="E541" s="296">
        <f t="shared" si="40"/>
        <v>6.6691046269920706</v>
      </c>
      <c r="F541" s="294">
        <f t="shared" si="42"/>
        <v>2.2805824922883078E-2</v>
      </c>
      <c r="G541" s="296">
        <f>VLOOKUP($A541,'Dados para Ke Alternativo'!$I:$J,2,0)</f>
        <v>2757.97</v>
      </c>
      <c r="H541" s="294">
        <f t="shared" si="43"/>
        <v>1.4078862219084609E-2</v>
      </c>
      <c r="I541" s="297">
        <f>VLOOKUP(A541,'Dados para Ke Alternativo'!$W:$X,2,0)</f>
        <v>103866</v>
      </c>
      <c r="J541" s="294">
        <f t="shared" si="44"/>
        <v>5.2261773416177881E-3</v>
      </c>
    </row>
    <row r="542" spans="1:10" x14ac:dyDescent="0.3">
      <c r="A542" s="167">
        <v>44991</v>
      </c>
      <c r="B542" s="219">
        <f>VLOOKUP('Ke Alternativo'!A542,'Dados para Ke Alternativo'!$A:$B,2,0)</f>
        <v>34.57</v>
      </c>
      <c r="C542" s="294">
        <f t="shared" si="41"/>
        <v>-2.3088023088022602E-3</v>
      </c>
      <c r="D542" s="296">
        <f>VLOOKUP(A542,'Dados para Ke Alternativo'!$P:$Q,2,0)</f>
        <v>5.1534000000000004</v>
      </c>
      <c r="E542" s="296">
        <f t="shared" si="40"/>
        <v>6.7081926495129425</v>
      </c>
      <c r="F542" s="294">
        <f t="shared" si="42"/>
        <v>5.8610600233606203E-3</v>
      </c>
      <c r="G542" s="296">
        <f>VLOOKUP($A542,'Dados para Ke Alternativo'!$I:$J,2,0)</f>
        <v>2764.64</v>
      </c>
      <c r="H542" s="294">
        <f t="shared" si="43"/>
        <v>2.4184454508207054E-3</v>
      </c>
      <c r="I542" s="297">
        <f>VLOOKUP(A542,'Dados para Ke Alternativo'!$W:$X,2,0)</f>
        <v>104700</v>
      </c>
      <c r="J542" s="294">
        <f t="shared" si="44"/>
        <v>8.0295765698110699E-3</v>
      </c>
    </row>
    <row r="543" spans="1:10" x14ac:dyDescent="0.3">
      <c r="A543" s="168">
        <v>44992</v>
      </c>
      <c r="B543" s="219">
        <f>VLOOKUP('Ke Alternativo'!A543,'Dados para Ke Alternativo'!$A:$B,2,0)</f>
        <v>33.54</v>
      </c>
      <c r="C543" s="294">
        <f t="shared" si="41"/>
        <v>-2.9794619612380724E-2</v>
      </c>
      <c r="D543" s="296">
        <f>VLOOKUP(A543,'Dados para Ke Alternativo'!$P:$Q,2,0)</f>
        <v>5.1909999999999998</v>
      </c>
      <c r="E543" s="296">
        <f t="shared" si="40"/>
        <v>6.4611828164130225</v>
      </c>
      <c r="F543" s="294">
        <f t="shared" si="42"/>
        <v>-3.6822113795115019E-2</v>
      </c>
      <c r="G543" s="296">
        <f>VLOOKUP($A543,'Dados para Ke Alternativo'!$I:$J,2,0)</f>
        <v>2724.8</v>
      </c>
      <c r="H543" s="294">
        <f t="shared" si="43"/>
        <v>-1.441055616644471E-2</v>
      </c>
      <c r="I543" s="297">
        <f>VLOOKUP(A543,'Dados para Ke Alternativo'!$W:$X,2,0)</f>
        <v>104228</v>
      </c>
      <c r="J543" s="294">
        <f t="shared" si="44"/>
        <v>-4.5081184336198676E-3</v>
      </c>
    </row>
    <row r="544" spans="1:10" x14ac:dyDescent="0.3">
      <c r="A544" s="167">
        <v>44993</v>
      </c>
      <c r="B544" s="219">
        <f>VLOOKUP('Ke Alternativo'!A544,'Dados para Ke Alternativo'!$A:$B,2,0)</f>
        <v>34.409999999999997</v>
      </c>
      <c r="C544" s="294">
        <f t="shared" si="41"/>
        <v>2.5939177101967692E-2</v>
      </c>
      <c r="D544" s="296">
        <f>VLOOKUP(A544,'Dados para Ke Alternativo'!$P:$Q,2,0)</f>
        <v>5.1452999999999998</v>
      </c>
      <c r="E544" s="296">
        <f t="shared" si="40"/>
        <v>6.6876566964025415</v>
      </c>
      <c r="F544" s="294">
        <f t="shared" si="42"/>
        <v>3.5051458289373727E-2</v>
      </c>
      <c r="G544" s="296">
        <f>VLOOKUP($A544,'Dados para Ke Alternativo'!$I:$J,2,0)</f>
        <v>2725.23</v>
      </c>
      <c r="H544" s="294">
        <f t="shared" si="43"/>
        <v>1.5780974750434495E-4</v>
      </c>
      <c r="I544" s="297">
        <f>VLOOKUP(A544,'Dados para Ke Alternativo'!$W:$X,2,0)</f>
        <v>106540</v>
      </c>
      <c r="J544" s="294">
        <f t="shared" si="44"/>
        <v>2.218213915646472E-2</v>
      </c>
    </row>
    <row r="545" spans="1:10" x14ac:dyDescent="0.3">
      <c r="A545" s="168">
        <v>44994</v>
      </c>
      <c r="B545" s="219">
        <f>VLOOKUP('Ke Alternativo'!A545,'Dados para Ke Alternativo'!$A:$B,2,0)</f>
        <v>33.380000000000003</v>
      </c>
      <c r="C545" s="294">
        <f t="shared" si="41"/>
        <v>-2.9933158965416817E-2</v>
      </c>
      <c r="D545" s="296">
        <f>VLOOKUP(A545,'Dados para Ke Alternativo'!$P:$Q,2,0)</f>
        <v>5.1645000000000003</v>
      </c>
      <c r="E545" s="296">
        <f t="shared" si="40"/>
        <v>6.4633556007357926</v>
      </c>
      <c r="F545" s="294">
        <f t="shared" si="42"/>
        <v>-3.3539564880387229E-2</v>
      </c>
      <c r="G545" s="296">
        <f>VLOOKUP($A545,'Dados para Ke Alternativo'!$I:$J,2,0)</f>
        <v>2691.17</v>
      </c>
      <c r="H545" s="294">
        <f t="shared" si="43"/>
        <v>-1.2498027689405999E-2</v>
      </c>
      <c r="I545" s="297">
        <f>VLOOKUP(A545,'Dados para Ke Alternativo'!$W:$X,2,0)</f>
        <v>105071</v>
      </c>
      <c r="J545" s="294">
        <f t="shared" si="44"/>
        <v>-1.3788248545147375E-2</v>
      </c>
    </row>
    <row r="546" spans="1:10" x14ac:dyDescent="0.3">
      <c r="A546" s="167">
        <v>44995</v>
      </c>
      <c r="B546" s="219">
        <f>VLOOKUP('Ke Alternativo'!A546,'Dados para Ke Alternativo'!$A:$B,2,0)</f>
        <v>33.159999999999997</v>
      </c>
      <c r="C546" s="294">
        <f t="shared" si="41"/>
        <v>-6.5907729179150998E-3</v>
      </c>
      <c r="D546" s="296">
        <f>VLOOKUP(A546,'Dados para Ke Alternativo'!$P:$Q,2,0)</f>
        <v>5.2165999999999997</v>
      </c>
      <c r="E546" s="296">
        <f t="shared" si="40"/>
        <v>6.3566307556646091</v>
      </c>
      <c r="F546" s="294">
        <f t="shared" si="42"/>
        <v>-1.6512296655785685E-2</v>
      </c>
      <c r="G546" s="296">
        <f>VLOOKUP($A546,'Dados para Ke Alternativo'!$I:$J,2,0)</f>
        <v>2657.41</v>
      </c>
      <c r="H546" s="294">
        <f t="shared" si="43"/>
        <v>-1.2544729615743377E-2</v>
      </c>
      <c r="I546" s="297">
        <f>VLOOKUP(A546,'Dados para Ke Alternativo'!$W:$X,2,0)</f>
        <v>103618</v>
      </c>
      <c r="J546" s="294">
        <f t="shared" si="44"/>
        <v>-1.3828744372852642E-2</v>
      </c>
    </row>
    <row r="547" spans="1:10" x14ac:dyDescent="0.3">
      <c r="A547" s="168">
        <v>44998</v>
      </c>
      <c r="B547" s="219">
        <f>VLOOKUP('Ke Alternativo'!A547,'Dados para Ke Alternativo'!$A:$B,2,0)</f>
        <v>31.72</v>
      </c>
      <c r="C547" s="294">
        <f t="shared" si="41"/>
        <v>-4.3425814234016813E-2</v>
      </c>
      <c r="D547" s="296">
        <f>VLOOKUP(A547,'Dados para Ke Alternativo'!$P:$Q,2,0)</f>
        <v>5.2458999999999998</v>
      </c>
      <c r="E547" s="296">
        <f t="shared" si="40"/>
        <v>6.046626889570903</v>
      </c>
      <c r="F547" s="294">
        <f t="shared" si="42"/>
        <v>-4.8768581660567745E-2</v>
      </c>
      <c r="G547" s="296">
        <f>VLOOKUP($A547,'Dados para Ke Alternativo'!$I:$J,2,0)</f>
        <v>2643.64</v>
      </c>
      <c r="H547" s="294">
        <f t="shared" si="43"/>
        <v>-5.1817371049254213E-3</v>
      </c>
      <c r="I547" s="297">
        <f>VLOOKUP(A547,'Dados para Ke Alternativo'!$W:$X,2,0)</f>
        <v>103121</v>
      </c>
      <c r="J547" s="294">
        <f t="shared" si="44"/>
        <v>-4.7964639348375693E-3</v>
      </c>
    </row>
    <row r="548" spans="1:10" x14ac:dyDescent="0.3">
      <c r="A548" s="167">
        <v>44999</v>
      </c>
      <c r="B548" s="219">
        <f>VLOOKUP('Ke Alternativo'!A548,'Dados para Ke Alternativo'!$A:$B,2,0)</f>
        <v>32.159999999999997</v>
      </c>
      <c r="C548" s="294">
        <f t="shared" si="41"/>
        <v>1.3871374527112179E-2</v>
      </c>
      <c r="D548" s="296">
        <f>VLOOKUP(A548,'Dados para Ke Alternativo'!$P:$Q,2,0)</f>
        <v>5.2542999999999997</v>
      </c>
      <c r="E548" s="296">
        <f t="shared" si="40"/>
        <v>6.1207011400186513</v>
      </c>
      <c r="F548" s="294">
        <f t="shared" si="42"/>
        <v>1.2250507894824736E-2</v>
      </c>
      <c r="G548" s="296">
        <f>VLOOKUP($A548,'Dados para Ke Alternativo'!$I:$J,2,0)</f>
        <v>2674.36</v>
      </c>
      <c r="H548" s="294">
        <f t="shared" si="43"/>
        <v>1.1620341650149024E-2</v>
      </c>
      <c r="I548" s="297">
        <f>VLOOKUP(A548,'Dados para Ke Alternativo'!$W:$X,2,0)</f>
        <v>102932</v>
      </c>
      <c r="J548" s="294">
        <f t="shared" si="44"/>
        <v>-1.8327983630880285E-3</v>
      </c>
    </row>
    <row r="549" spans="1:10" x14ac:dyDescent="0.3">
      <c r="A549" s="168">
        <v>45000</v>
      </c>
      <c r="B549" s="219">
        <f>VLOOKUP('Ke Alternativo'!A549,'Dados para Ke Alternativo'!$A:$B,2,0)</f>
        <v>31.1</v>
      </c>
      <c r="C549" s="294">
        <f t="shared" si="41"/>
        <v>-3.2960199004974933E-2</v>
      </c>
      <c r="D549" s="296">
        <f>VLOOKUP(A549,'Dados para Ke Alternativo'!$P:$Q,2,0)</f>
        <v>5.2881999999999998</v>
      </c>
      <c r="E549" s="296">
        <f t="shared" si="40"/>
        <v>5.8810181158050003</v>
      </c>
      <c r="F549" s="294">
        <f t="shared" si="42"/>
        <v>-3.9159406533762042E-2</v>
      </c>
      <c r="G549" s="296">
        <f>VLOOKUP($A549,'Dados para Ke Alternativo'!$I:$J,2,0)</f>
        <v>2638.46</v>
      </c>
      <c r="H549" s="294">
        <f t="shared" si="43"/>
        <v>-1.3423772416578217E-2</v>
      </c>
      <c r="I549" s="297">
        <f>VLOOKUP(A549,'Dados para Ke Alternativo'!$W:$X,2,0)</f>
        <v>102675</v>
      </c>
      <c r="J549" s="294">
        <f t="shared" si="44"/>
        <v>-2.4967939999223088E-3</v>
      </c>
    </row>
    <row r="550" spans="1:10" x14ac:dyDescent="0.3">
      <c r="A550" s="167">
        <v>45001</v>
      </c>
      <c r="B550" s="219">
        <f>VLOOKUP('Ke Alternativo'!A550,'Dados para Ke Alternativo'!$A:$B,2,0)</f>
        <v>31.65</v>
      </c>
      <c r="C550" s="294">
        <f t="shared" si="41"/>
        <v>1.7684887459807008E-2</v>
      </c>
      <c r="D550" s="296">
        <f>VLOOKUP(A550,'Dados para Ke Alternativo'!$P:$Q,2,0)</f>
        <v>5.2285000000000004</v>
      </c>
      <c r="E550" s="296">
        <f t="shared" si="40"/>
        <v>6.0533613847183698</v>
      </c>
      <c r="F550" s="294">
        <f t="shared" si="42"/>
        <v>2.9305005616324209E-2</v>
      </c>
      <c r="G550" s="296">
        <f>VLOOKUP($A550,'Dados para Ke Alternativo'!$I:$J,2,0)</f>
        <v>2677.99</v>
      </c>
      <c r="H550" s="294">
        <f t="shared" si="43"/>
        <v>1.4982224479431094E-2</v>
      </c>
      <c r="I550" s="297">
        <f>VLOOKUP(A550,'Dados para Ke Alternativo'!$W:$X,2,0)</f>
        <v>103435</v>
      </c>
      <c r="J550" s="294">
        <f t="shared" si="44"/>
        <v>7.4019965911857888E-3</v>
      </c>
    </row>
    <row r="551" spans="1:10" x14ac:dyDescent="0.3">
      <c r="A551" s="168">
        <v>45002</v>
      </c>
      <c r="B551" s="219">
        <f>VLOOKUP('Ke Alternativo'!A551,'Dados para Ke Alternativo'!$A:$B,2,0)</f>
        <v>31.32</v>
      </c>
      <c r="C551" s="294">
        <f t="shared" si="41"/>
        <v>-1.0426540284360186E-2</v>
      </c>
      <c r="D551" s="296">
        <f>VLOOKUP(A551,'Dados para Ke Alternativo'!$P:$Q,2,0)</f>
        <v>5.2778</v>
      </c>
      <c r="E551" s="296">
        <f t="shared" si="40"/>
        <v>5.9342908029860926</v>
      </c>
      <c r="F551" s="294">
        <f t="shared" si="42"/>
        <v>-1.9670159133877152E-2</v>
      </c>
      <c r="G551" s="296">
        <f>VLOOKUP($A551,'Dados para Ke Alternativo'!$I:$J,2,0)</f>
        <v>2656.19</v>
      </c>
      <c r="H551" s="294">
        <f t="shared" si="43"/>
        <v>-8.1404336834715041E-3</v>
      </c>
      <c r="I551" s="297">
        <f>VLOOKUP(A551,'Dados para Ke Alternativo'!$W:$X,2,0)</f>
        <v>101982</v>
      </c>
      <c r="J551" s="294">
        <f t="shared" si="44"/>
        <v>-1.4047469425242931E-2</v>
      </c>
    </row>
    <row r="552" spans="1:10" x14ac:dyDescent="0.3">
      <c r="A552" s="167">
        <v>45005</v>
      </c>
      <c r="B552" s="219">
        <f>VLOOKUP('Ke Alternativo'!A552,'Dados para Ke Alternativo'!$A:$B,2,0)</f>
        <v>30.94</v>
      </c>
      <c r="C552" s="294">
        <f t="shared" si="41"/>
        <v>-1.2132822477650018E-2</v>
      </c>
      <c r="D552" s="296">
        <f>VLOOKUP(A552,'Dados para Ke Alternativo'!$P:$Q,2,0)</f>
        <v>5.2367999999999997</v>
      </c>
      <c r="E552" s="296">
        <f t="shared" si="40"/>
        <v>5.9081882065383446</v>
      </c>
      <c r="F552" s="294">
        <f t="shared" si="42"/>
        <v>-4.3986041996144642E-3</v>
      </c>
      <c r="G552" s="296">
        <f>VLOOKUP($A552,'Dados para Ke Alternativo'!$I:$J,2,0)</f>
        <v>2678.29</v>
      </c>
      <c r="H552" s="294">
        <f t="shared" si="43"/>
        <v>8.3201879383627553E-3</v>
      </c>
      <c r="I552" s="297">
        <f>VLOOKUP(A552,'Dados para Ke Alternativo'!$W:$X,2,0)</f>
        <v>100923</v>
      </c>
      <c r="J552" s="294">
        <f t="shared" si="44"/>
        <v>-1.0384185444490157E-2</v>
      </c>
    </row>
    <row r="553" spans="1:10" x14ac:dyDescent="0.3">
      <c r="A553" s="168">
        <v>45006</v>
      </c>
      <c r="B553" s="219">
        <f>VLOOKUP('Ke Alternativo'!A553,'Dados para Ke Alternativo'!$A:$B,2,0)</f>
        <v>31.67</v>
      </c>
      <c r="C553" s="294">
        <f t="shared" si="41"/>
        <v>2.3594053005817628E-2</v>
      </c>
      <c r="D553" s="296">
        <f>VLOOKUP(A553,'Dados para Ke Alternativo'!$P:$Q,2,0)</f>
        <v>5.2430000000000003</v>
      </c>
      <c r="E553" s="296">
        <f t="shared" si="40"/>
        <v>6.0404348655349986</v>
      </c>
      <c r="F553" s="294">
        <f t="shared" si="42"/>
        <v>2.2383623265471053E-2</v>
      </c>
      <c r="G553" s="296">
        <f>VLOOKUP($A553,'Dados para Ke Alternativo'!$I:$J,2,0)</f>
        <v>2711.84</v>
      </c>
      <c r="H553" s="294">
        <f t="shared" si="43"/>
        <v>1.2526649466637396E-2</v>
      </c>
      <c r="I553" s="297">
        <f>VLOOKUP(A553,'Dados para Ke Alternativo'!$W:$X,2,0)</f>
        <v>100998</v>
      </c>
      <c r="J553" s="294">
        <f t="shared" si="44"/>
        <v>7.4314081032067492E-4</v>
      </c>
    </row>
    <row r="554" spans="1:10" x14ac:dyDescent="0.3">
      <c r="A554" s="167">
        <v>45007</v>
      </c>
      <c r="B554" s="219">
        <f>VLOOKUP('Ke Alternativo'!A554,'Dados para Ke Alternativo'!$A:$B,2,0)</f>
        <v>31.3</v>
      </c>
      <c r="C554" s="294">
        <f t="shared" si="41"/>
        <v>-1.1682980738869642E-2</v>
      </c>
      <c r="D554" s="296">
        <f>VLOOKUP(A554,'Dados para Ke Alternativo'!$P:$Q,2,0)</f>
        <v>5.2369000000000003</v>
      </c>
      <c r="E554" s="296">
        <f t="shared" si="40"/>
        <v>5.9768183467318448</v>
      </c>
      <c r="F554" s="294">
        <f t="shared" si="42"/>
        <v>-1.0531777962896616E-2</v>
      </c>
      <c r="G554" s="296">
        <f>VLOOKUP($A554,'Dados para Ke Alternativo'!$I:$J,2,0)</f>
        <v>2686.13</v>
      </c>
      <c r="H554" s="294">
        <f t="shared" si="43"/>
        <v>-9.4806478258304683E-3</v>
      </c>
      <c r="I554" s="297">
        <f>VLOOKUP(A554,'Dados para Ke Alternativo'!$W:$X,2,0)</f>
        <v>100221</v>
      </c>
      <c r="J554" s="294">
        <f t="shared" si="44"/>
        <v>-7.6932216479533855E-3</v>
      </c>
    </row>
    <row r="555" spans="1:10" x14ac:dyDescent="0.3">
      <c r="A555" s="168">
        <v>45008</v>
      </c>
      <c r="B555" s="219">
        <f>VLOOKUP('Ke Alternativo'!A555,'Dados para Ke Alternativo'!$A:$B,2,0)</f>
        <v>29.88</v>
      </c>
      <c r="C555" s="294">
        <f t="shared" si="41"/>
        <v>-4.5367412140575158E-2</v>
      </c>
      <c r="D555" s="296">
        <f>VLOOKUP(A555,'Dados para Ke Alternativo'!$P:$Q,2,0)</f>
        <v>5.2972999999999999</v>
      </c>
      <c r="E555" s="296">
        <f t="shared" si="40"/>
        <v>5.6406093670360375</v>
      </c>
      <c r="F555" s="294">
        <f t="shared" si="42"/>
        <v>-5.6252166318497498E-2</v>
      </c>
      <c r="G555" s="296">
        <f>VLOOKUP($A555,'Dados para Ke Alternativo'!$I:$J,2,0)</f>
        <v>2696.85</v>
      </c>
      <c r="H555" s="294">
        <f t="shared" si="43"/>
        <v>3.9908716257217591E-3</v>
      </c>
      <c r="I555" s="297">
        <f>VLOOKUP(A555,'Dados para Ke Alternativo'!$W:$X,2,0)</f>
        <v>97926</v>
      </c>
      <c r="J555" s="294">
        <f t="shared" si="44"/>
        <v>-2.2899392342922154E-2</v>
      </c>
    </row>
    <row r="556" spans="1:10" x14ac:dyDescent="0.3">
      <c r="A556" s="167">
        <v>45009</v>
      </c>
      <c r="B556" s="219">
        <f>VLOOKUP('Ke Alternativo'!A556,'Dados para Ke Alternativo'!$A:$B,2,0)</f>
        <v>30.23</v>
      </c>
      <c r="C556" s="294">
        <f t="shared" si="41"/>
        <v>1.1713520749665474E-2</v>
      </c>
      <c r="D556" s="296">
        <f>VLOOKUP(A556,'Dados para Ke Alternativo'!$P:$Q,2,0)</f>
        <v>5.2462999999999997</v>
      </c>
      <c r="E556" s="296">
        <f t="shared" si="40"/>
        <v>5.7621561862646056</v>
      </c>
      <c r="F556" s="294">
        <f t="shared" si="42"/>
        <v>2.154852628847026E-2</v>
      </c>
      <c r="G556" s="296">
        <f>VLOOKUP($A556,'Dados para Ke Alternativo'!$I:$J,2,0)</f>
        <v>2692.55</v>
      </c>
      <c r="H556" s="294">
        <f t="shared" si="43"/>
        <v>-1.5944527875112469E-3</v>
      </c>
      <c r="I556" s="297">
        <f>VLOOKUP(A556,'Dados para Ke Alternativo'!$W:$X,2,0)</f>
        <v>98829</v>
      </c>
      <c r="J556" s="294">
        <f t="shared" si="44"/>
        <v>9.2212486979963426E-3</v>
      </c>
    </row>
    <row r="557" spans="1:10" x14ac:dyDescent="0.3">
      <c r="A557" s="168">
        <v>45012</v>
      </c>
      <c r="B557" s="219">
        <f>VLOOKUP('Ke Alternativo'!A557,'Dados para Ke Alternativo'!$A:$B,2,0)</f>
        <v>31.57</v>
      </c>
      <c r="C557" s="294">
        <f t="shared" si="41"/>
        <v>4.4326827654647794E-2</v>
      </c>
      <c r="D557" s="296">
        <f>VLOOKUP(A557,'Dados para Ke Alternativo'!$P:$Q,2,0)</f>
        <v>5.1982999999999997</v>
      </c>
      <c r="E557" s="296">
        <f t="shared" si="40"/>
        <v>6.073139295538927</v>
      </c>
      <c r="F557" s="294">
        <f t="shared" si="42"/>
        <v>5.3969920151699435E-2</v>
      </c>
      <c r="G557" s="296">
        <f>VLOOKUP($A557,'Dados para Ke Alternativo'!$I:$J,2,0)</f>
        <v>2702.42</v>
      </c>
      <c r="H557" s="294">
        <f t="shared" si="43"/>
        <v>3.6656700896919858E-3</v>
      </c>
      <c r="I557" s="297">
        <f>VLOOKUP(A557,'Dados para Ke Alternativo'!$W:$X,2,0)</f>
        <v>99670</v>
      </c>
      <c r="J557" s="294">
        <f t="shared" si="44"/>
        <v>8.5096479778201672E-3</v>
      </c>
    </row>
    <row r="558" spans="1:10" x14ac:dyDescent="0.3">
      <c r="A558" s="167">
        <v>45013</v>
      </c>
      <c r="B558" s="219">
        <f>VLOOKUP('Ke Alternativo'!A558,'Dados para Ke Alternativo'!$A:$B,2,0)</f>
        <v>31.83</v>
      </c>
      <c r="C558" s="294">
        <f t="shared" si="41"/>
        <v>8.2356667722520704E-3</v>
      </c>
      <c r="D558" s="296">
        <f>VLOOKUP(A558,'Dados para Ke Alternativo'!$P:$Q,2,0)</f>
        <v>5.1654999999999998</v>
      </c>
      <c r="E558" s="296">
        <f t="shared" si="40"/>
        <v>6.1620365889071724</v>
      </c>
      <c r="F558" s="294">
        <f t="shared" si="42"/>
        <v>1.4637782708778913E-2</v>
      </c>
      <c r="G558" s="296">
        <f>VLOOKUP($A558,'Dados para Ke Alternativo'!$I:$J,2,0)</f>
        <v>2704.76</v>
      </c>
      <c r="H558" s="294">
        <f t="shared" si="43"/>
        <v>8.6589057215391563E-4</v>
      </c>
      <c r="I558" s="297">
        <f>VLOOKUP(A558,'Dados para Ke Alternativo'!$W:$X,2,0)</f>
        <v>101185</v>
      </c>
      <c r="J558" s="294">
        <f t="shared" si="44"/>
        <v>1.5200160529748263E-2</v>
      </c>
    </row>
    <row r="559" spans="1:10" x14ac:dyDescent="0.3">
      <c r="A559" s="168">
        <v>45014</v>
      </c>
      <c r="B559" s="219">
        <f>VLOOKUP('Ke Alternativo'!A559,'Dados para Ke Alternativo'!$A:$B,2,0)</f>
        <v>31.89</v>
      </c>
      <c r="C559" s="294">
        <f t="shared" si="41"/>
        <v>1.8850141376061114E-3</v>
      </c>
      <c r="D559" s="296">
        <f>VLOOKUP(A559,'Dados para Ke Alternativo'!$P:$Q,2,0)</f>
        <v>5.1356000000000002</v>
      </c>
      <c r="E559" s="296">
        <f t="shared" si="40"/>
        <v>6.2095957629098839</v>
      </c>
      <c r="F559" s="294">
        <f t="shared" si="42"/>
        <v>7.7180934122214051E-3</v>
      </c>
      <c r="G559" s="296">
        <f>VLOOKUP($A559,'Dados para Ke Alternativo'!$I:$J,2,0)</f>
        <v>2739.42</v>
      </c>
      <c r="H559" s="294">
        <f t="shared" si="43"/>
        <v>1.2814445643975825E-2</v>
      </c>
      <c r="I559" s="297">
        <f>VLOOKUP(A559,'Dados para Ke Alternativo'!$W:$X,2,0)</f>
        <v>101793</v>
      </c>
      <c r="J559" s="294">
        <f t="shared" si="44"/>
        <v>6.0087957701240313E-3</v>
      </c>
    </row>
    <row r="560" spans="1:10" x14ac:dyDescent="0.3">
      <c r="A560" s="167">
        <v>45015</v>
      </c>
      <c r="B560" s="219">
        <f>VLOOKUP('Ke Alternativo'!A560,'Dados para Ke Alternativo'!$A:$B,2,0)</f>
        <v>32.299999999999997</v>
      </c>
      <c r="C560" s="294">
        <f t="shared" si="41"/>
        <v>1.2856694888679687E-2</v>
      </c>
      <c r="D560" s="296">
        <f>VLOOKUP(A560,'Dados para Ke Alternativo'!$P:$Q,2,0)</f>
        <v>5.0937999999999999</v>
      </c>
      <c r="E560" s="296">
        <f t="shared" si="40"/>
        <v>6.3410420511209704</v>
      </c>
      <c r="F560" s="294">
        <f t="shared" si="42"/>
        <v>2.1168252045683733E-2</v>
      </c>
      <c r="G560" s="296">
        <f>VLOOKUP($A560,'Dados para Ke Alternativo'!$I:$J,2,0)</f>
        <v>2759.7</v>
      </c>
      <c r="H560" s="294">
        <f t="shared" si="43"/>
        <v>7.403026918106681E-3</v>
      </c>
      <c r="I560" s="297">
        <f>VLOOKUP(A560,'Dados para Ke Alternativo'!$W:$X,2,0)</f>
        <v>103713</v>
      </c>
      <c r="J560" s="294">
        <f t="shared" si="44"/>
        <v>1.8861807786390017E-2</v>
      </c>
    </row>
    <row r="561" spans="1:10" x14ac:dyDescent="0.3">
      <c r="A561" s="168">
        <v>45016</v>
      </c>
      <c r="B561" s="219">
        <f>VLOOKUP('Ke Alternativo'!A561,'Dados para Ke Alternativo'!$A:$B,2,0)</f>
        <v>31.14</v>
      </c>
      <c r="C561" s="294">
        <f t="shared" si="41"/>
        <v>-3.59133126934984E-2</v>
      </c>
      <c r="D561" s="296">
        <f>VLOOKUP(A561,'Dados para Ke Alternativo'!$P:$Q,2,0)</f>
        <v>5.0631000000000004</v>
      </c>
      <c r="E561" s="296">
        <f t="shared" si="40"/>
        <v>6.1503821769271783</v>
      </c>
      <c r="F561" s="294">
        <f t="shared" si="42"/>
        <v>-3.0067593410784466E-2</v>
      </c>
      <c r="G561" s="296">
        <f>VLOOKUP($A561,'Dados para Ke Alternativo'!$I:$J,2,0)</f>
        <v>2791.44</v>
      </c>
      <c r="H561" s="294">
        <f t="shared" si="43"/>
        <v>1.1501250135884433E-2</v>
      </c>
      <c r="I561" s="297">
        <f>VLOOKUP(A561,'Dados para Ke Alternativo'!$W:$X,2,0)</f>
        <v>101882</v>
      </c>
      <c r="J561" s="294">
        <f t="shared" si="44"/>
        <v>-1.7654488829751291E-2</v>
      </c>
    </row>
    <row r="562" spans="1:10" x14ac:dyDescent="0.3">
      <c r="A562" s="167">
        <v>45019</v>
      </c>
      <c r="B562" s="219">
        <f>VLOOKUP('Ke Alternativo'!A562,'Dados para Ke Alternativo'!$A:$B,2,0)</f>
        <v>32.35</v>
      </c>
      <c r="C562" s="294">
        <f t="shared" si="41"/>
        <v>3.8856775850995451E-2</v>
      </c>
      <c r="D562" s="296">
        <f>VLOOKUP(A562,'Dados para Ke Alternativo'!$P:$Q,2,0)</f>
        <v>5.0632000000000001</v>
      </c>
      <c r="E562" s="296">
        <f t="shared" si="40"/>
        <v>6.3892400063201142</v>
      </c>
      <c r="F562" s="294">
        <f t="shared" si="42"/>
        <v>3.8836258060352513E-2</v>
      </c>
      <c r="G562" s="296">
        <f>VLOOKUP($A562,'Dados para Ke Alternativo'!$I:$J,2,0)</f>
        <v>2803.63</v>
      </c>
      <c r="H562" s="294">
        <f t="shared" si="43"/>
        <v>4.3669217321526954E-3</v>
      </c>
      <c r="I562" s="297">
        <f>VLOOKUP(A562,'Dados para Ke Alternativo'!$W:$X,2,0)</f>
        <v>101506</v>
      </c>
      <c r="J562" s="294">
        <f t="shared" si="44"/>
        <v>-3.6905439626234715E-3</v>
      </c>
    </row>
    <row r="563" spans="1:10" x14ac:dyDescent="0.3">
      <c r="A563" s="168">
        <v>45020</v>
      </c>
      <c r="B563" s="219">
        <f>VLOOKUP('Ke Alternativo'!A563,'Dados para Ke Alternativo'!$A:$B,2,0)</f>
        <v>33.799999999999997</v>
      </c>
      <c r="C563" s="294">
        <f t="shared" si="41"/>
        <v>4.4822256568778807E-2</v>
      </c>
      <c r="D563" s="296">
        <f>VLOOKUP(A563,'Dados para Ke Alternativo'!$P:$Q,2,0)</f>
        <v>5.0716000000000001</v>
      </c>
      <c r="E563" s="296">
        <f t="shared" si="40"/>
        <v>6.6645634513762904</v>
      </c>
      <c r="F563" s="294">
        <f t="shared" si="42"/>
        <v>4.3091736229008637E-2</v>
      </c>
      <c r="G563" s="296">
        <f>VLOOKUP($A563,'Dados para Ke Alternativo'!$I:$J,2,0)</f>
        <v>2796.78</v>
      </c>
      <c r="H563" s="294">
        <f t="shared" si="43"/>
        <v>-2.4432610579855352E-3</v>
      </c>
      <c r="I563" s="297">
        <f>VLOOKUP(A563,'Dados para Ke Alternativo'!$W:$X,2,0)</f>
        <v>101869</v>
      </c>
      <c r="J563" s="294">
        <f t="shared" si="44"/>
        <v>3.5761432821705963E-3</v>
      </c>
    </row>
    <row r="564" spans="1:10" x14ac:dyDescent="0.3">
      <c r="A564" s="167">
        <v>45021</v>
      </c>
      <c r="B564" s="219">
        <f>VLOOKUP('Ke Alternativo'!A564,'Dados para Ke Alternativo'!$A:$B,2,0)</f>
        <v>33.450000000000003</v>
      </c>
      <c r="C564" s="294">
        <f t="shared" si="41"/>
        <v>-1.0355029585798703E-2</v>
      </c>
      <c r="D564" s="296">
        <f>VLOOKUP(A564,'Dados para Ke Alternativo'!$P:$Q,2,0)</f>
        <v>5.0339999999999998</v>
      </c>
      <c r="E564" s="296">
        <f t="shared" si="40"/>
        <v>6.6448152562574503</v>
      </c>
      <c r="F564" s="294">
        <f t="shared" si="42"/>
        <v>-2.9631640936303993E-3</v>
      </c>
      <c r="G564" s="296">
        <f>VLOOKUP($A564,'Dados para Ke Alternativo'!$I:$J,2,0)</f>
        <v>2784.05</v>
      </c>
      <c r="H564" s="294">
        <f t="shared" si="43"/>
        <v>-4.5516629838600053E-3</v>
      </c>
      <c r="I564" s="297">
        <f>VLOOKUP(A564,'Dados para Ke Alternativo'!$W:$X,2,0)</f>
        <v>100978</v>
      </c>
      <c r="J564" s="294">
        <f t="shared" si="44"/>
        <v>-8.7465274028408757E-3</v>
      </c>
    </row>
    <row r="565" spans="1:10" x14ac:dyDescent="0.3">
      <c r="A565" s="168">
        <v>45022</v>
      </c>
      <c r="B565" s="219">
        <f>VLOOKUP('Ke Alternativo'!A565,'Dados para Ke Alternativo'!$A:$B,2,0)</f>
        <v>34.799999999999997</v>
      </c>
      <c r="C565" s="294">
        <f t="shared" si="41"/>
        <v>4.0358744394618729E-2</v>
      </c>
      <c r="D565" s="296">
        <f>VLOOKUP(A565,'Dados para Ke Alternativo'!$P:$Q,2,0)</f>
        <v>5.0570000000000004</v>
      </c>
      <c r="E565" s="296">
        <f t="shared" si="40"/>
        <v>6.8815503262804025</v>
      </c>
      <c r="F565" s="294">
        <f t="shared" si="42"/>
        <v>3.5627035650090955E-2</v>
      </c>
      <c r="G565" s="296">
        <f>VLOOKUP($A565,'Dados para Ke Alternativo'!$I:$J,2,0)</f>
        <v>2790.1</v>
      </c>
      <c r="H565" s="294">
        <f t="shared" si="43"/>
        <v>2.1730931556545041E-3</v>
      </c>
      <c r="I565" s="297">
        <f>VLOOKUP(A565,'Dados para Ke Alternativo'!$W:$X,2,0)</f>
        <v>100822</v>
      </c>
      <c r="J565" s="294">
        <f t="shared" si="44"/>
        <v>-1.5448909663491328E-3</v>
      </c>
    </row>
    <row r="566" spans="1:10" x14ac:dyDescent="0.3">
      <c r="A566" s="167">
        <v>45026</v>
      </c>
      <c r="B566" s="219">
        <f>VLOOKUP('Ke Alternativo'!A566,'Dados para Ke Alternativo'!$A:$B,2,0)</f>
        <v>34.86</v>
      </c>
      <c r="C566" s="294">
        <f t="shared" si="41"/>
        <v>1.7241379310346527E-3</v>
      </c>
      <c r="D566" s="296">
        <f>VLOOKUP(A566,'Dados para Ke Alternativo'!$P:$Q,2,0)</f>
        <v>5.0655000000000001</v>
      </c>
      <c r="E566" s="296">
        <f t="shared" si="40"/>
        <v>6.8818477938999107</v>
      </c>
      <c r="F566" s="294">
        <f t="shared" si="42"/>
        <v>4.3226831949905176E-5</v>
      </c>
      <c r="G566" s="296">
        <f>VLOOKUP($A566,'Dados para Ke Alternativo'!$I:$J,2,0)</f>
        <v>2786.2</v>
      </c>
      <c r="H566" s="294">
        <f t="shared" si="43"/>
        <v>-1.3977993620301055E-3</v>
      </c>
      <c r="I566" s="297">
        <f>VLOOKUP(A566,'Dados para Ke Alternativo'!$W:$X,2,0)</f>
        <v>101847</v>
      </c>
      <c r="J566" s="294">
        <f t="shared" si="44"/>
        <v>1.0166431929539144E-2</v>
      </c>
    </row>
    <row r="567" spans="1:10" x14ac:dyDescent="0.3">
      <c r="A567" s="168">
        <v>45027</v>
      </c>
      <c r="B567" s="219">
        <f>VLOOKUP('Ke Alternativo'!A567,'Dados para Ke Alternativo'!$A:$B,2,0)</f>
        <v>35.67</v>
      </c>
      <c r="C567" s="294">
        <f t="shared" si="41"/>
        <v>2.3235800344234114E-2</v>
      </c>
      <c r="D567" s="296">
        <f>VLOOKUP(A567,'Dados para Ke Alternativo'!$P:$Q,2,0)</f>
        <v>5.0053999999999998</v>
      </c>
      <c r="E567" s="296">
        <f t="shared" si="40"/>
        <v>7.12630359212051</v>
      </c>
      <c r="F567" s="294">
        <f t="shared" si="42"/>
        <v>3.5521825756926084E-2</v>
      </c>
      <c r="G567" s="296">
        <f>VLOOKUP($A567,'Dados para Ke Alternativo'!$I:$J,2,0)</f>
        <v>2797.07</v>
      </c>
      <c r="H567" s="294">
        <f t="shared" si="43"/>
        <v>3.9013710429978143E-3</v>
      </c>
      <c r="I567" s="297">
        <f>VLOOKUP(A567,'Dados para Ke Alternativo'!$W:$X,2,0)</f>
        <v>106214</v>
      </c>
      <c r="J567" s="294">
        <f t="shared" si="44"/>
        <v>4.2878042554027163E-2</v>
      </c>
    </row>
    <row r="568" spans="1:10" x14ac:dyDescent="0.3">
      <c r="A568" s="167">
        <v>45028</v>
      </c>
      <c r="B568" s="219">
        <f>VLOOKUP('Ke Alternativo'!A568,'Dados para Ke Alternativo'!$A:$B,2,0)</f>
        <v>36.369999999999997</v>
      </c>
      <c r="C568" s="294">
        <f t="shared" si="41"/>
        <v>1.9624334174376035E-2</v>
      </c>
      <c r="D568" s="296">
        <f>VLOOKUP(A568,'Dados para Ke Alternativo'!$P:$Q,2,0)</f>
        <v>4.9180999999999999</v>
      </c>
      <c r="E568" s="296">
        <f t="shared" si="40"/>
        <v>7.3951322665256907</v>
      </c>
      <c r="F568" s="294">
        <f t="shared" si="42"/>
        <v>3.7723438375881546E-2</v>
      </c>
      <c r="G568" s="296">
        <f>VLOOKUP($A568,'Dados para Ke Alternativo'!$I:$J,2,0)</f>
        <v>2795.48</v>
      </c>
      <c r="H568" s="294">
        <f t="shared" si="43"/>
        <v>-5.6845198725818946E-4</v>
      </c>
      <c r="I568" s="297">
        <f>VLOOKUP(A568,'Dados para Ke Alternativo'!$W:$X,2,0)</f>
        <v>106890</v>
      </c>
      <c r="J568" s="294">
        <f t="shared" si="44"/>
        <v>6.36450938670996E-3</v>
      </c>
    </row>
    <row r="569" spans="1:10" x14ac:dyDescent="0.3">
      <c r="A569" s="168">
        <v>45029</v>
      </c>
      <c r="B569" s="219">
        <f>VLOOKUP('Ke Alternativo'!A569,'Dados para Ke Alternativo'!$A:$B,2,0)</f>
        <v>36.450000000000003</v>
      </c>
      <c r="C569" s="294">
        <f t="shared" si="41"/>
        <v>2.1996150673633252E-3</v>
      </c>
      <c r="D569" s="296">
        <f>VLOOKUP(A569,'Dados para Ke Alternativo'!$P:$Q,2,0)</f>
        <v>4.9272</v>
      </c>
      <c r="E569" s="296">
        <f t="shared" si="40"/>
        <v>7.3977106673161233</v>
      </c>
      <c r="F569" s="294">
        <f t="shared" si="42"/>
        <v>3.486618896735294E-4</v>
      </c>
      <c r="G569" s="296">
        <f>VLOOKUP($A569,'Dados para Ke Alternativo'!$I:$J,2,0)</f>
        <v>2829.2</v>
      </c>
      <c r="H569" s="294">
        <f t="shared" si="43"/>
        <v>1.2062329188547105E-2</v>
      </c>
      <c r="I569" s="297">
        <f>VLOOKUP(A569,'Dados para Ke Alternativo'!$W:$X,2,0)</f>
        <v>106458</v>
      </c>
      <c r="J569" s="294">
        <f t="shared" si="44"/>
        <v>-4.041538029750158E-3</v>
      </c>
    </row>
    <row r="570" spans="1:10" x14ac:dyDescent="0.3">
      <c r="A570" s="167">
        <v>45030</v>
      </c>
      <c r="B570" s="219">
        <f>VLOOKUP('Ke Alternativo'!A570,'Dados para Ke Alternativo'!$A:$B,2,0)</f>
        <v>36.619999999999997</v>
      </c>
      <c r="C570" s="294">
        <f t="shared" si="41"/>
        <v>4.6639231824414651E-3</v>
      </c>
      <c r="D570" s="296">
        <f>VLOOKUP(A570,'Dados para Ke Alternativo'!$P:$Q,2,0)</f>
        <v>4.9096000000000002</v>
      </c>
      <c r="E570" s="296">
        <f t="shared" si="40"/>
        <v>7.458856118624734</v>
      </c>
      <c r="F570" s="294">
        <f t="shared" si="42"/>
        <v>8.2654559036430264E-3</v>
      </c>
      <c r="G570" s="296">
        <f>VLOOKUP($A570,'Dados para Ke Alternativo'!$I:$J,2,0)</f>
        <v>2825.75</v>
      </c>
      <c r="H570" s="294">
        <f t="shared" si="43"/>
        <v>-1.2194259861444401E-3</v>
      </c>
      <c r="I570" s="297">
        <f>VLOOKUP(A570,'Dados para Ke Alternativo'!$W:$X,2,0)</f>
        <v>106279</v>
      </c>
      <c r="J570" s="294">
        <f t="shared" si="44"/>
        <v>-1.6814142666591314E-3</v>
      </c>
    </row>
    <row r="571" spans="1:10" x14ac:dyDescent="0.3">
      <c r="A571" s="168">
        <v>45033</v>
      </c>
      <c r="B571" s="219">
        <f>VLOOKUP('Ke Alternativo'!A571,'Dados para Ke Alternativo'!$A:$B,2,0)</f>
        <v>36.090000000000003</v>
      </c>
      <c r="C571" s="294">
        <f t="shared" si="41"/>
        <v>-1.4472965592572162E-2</v>
      </c>
      <c r="D571" s="296">
        <f>VLOOKUP(A571,'Dados para Ke Alternativo'!$P:$Q,2,0)</f>
        <v>4.9413</v>
      </c>
      <c r="E571" s="296">
        <f t="shared" si="40"/>
        <v>7.303745977779128</v>
      </c>
      <c r="F571" s="294">
        <f t="shared" si="42"/>
        <v>-2.0795432755204457E-2</v>
      </c>
      <c r="G571" s="296">
        <f>VLOOKUP($A571,'Dados para Ke Alternativo'!$I:$J,2,0)</f>
        <v>2827.24</v>
      </c>
      <c r="H571" s="294">
        <f t="shared" si="43"/>
        <v>5.2729363885695157E-4</v>
      </c>
      <c r="I571" s="297">
        <f>VLOOKUP(A571,'Dados para Ke Alternativo'!$W:$X,2,0)</f>
        <v>106016</v>
      </c>
      <c r="J571" s="294">
        <f t="shared" si="44"/>
        <v>-2.4746186923099156E-3</v>
      </c>
    </row>
    <row r="572" spans="1:10" x14ac:dyDescent="0.3">
      <c r="A572" s="167">
        <v>45034</v>
      </c>
      <c r="B572" s="219">
        <f>VLOOKUP('Ke Alternativo'!A572,'Dados para Ke Alternativo'!$A:$B,2,0)</f>
        <v>35.24</v>
      </c>
      <c r="C572" s="294">
        <f t="shared" si="41"/>
        <v>-2.3552230534774177E-2</v>
      </c>
      <c r="D572" s="296">
        <f>VLOOKUP(A572,'Dados para Ke Alternativo'!$P:$Q,2,0)</f>
        <v>4.984</v>
      </c>
      <c r="E572" s="296">
        <f t="shared" si="40"/>
        <v>7.0706260032102737</v>
      </c>
      <c r="F572" s="294">
        <f t="shared" si="42"/>
        <v>-3.1917864514743099E-2</v>
      </c>
      <c r="G572" s="296">
        <f>VLOOKUP($A572,'Dados para Ke Alternativo'!$I:$J,2,0)</f>
        <v>2835.89</v>
      </c>
      <c r="H572" s="294">
        <f t="shared" si="43"/>
        <v>3.0595209462231931E-3</v>
      </c>
      <c r="I572" s="297">
        <f>VLOOKUP(A572,'Dados para Ke Alternativo'!$W:$X,2,0)</f>
        <v>106163</v>
      </c>
      <c r="J572" s="294">
        <f t="shared" si="44"/>
        <v>1.386583157259258E-3</v>
      </c>
    </row>
    <row r="573" spans="1:10" x14ac:dyDescent="0.3">
      <c r="A573" s="168">
        <v>45035</v>
      </c>
      <c r="B573" s="219">
        <f>VLOOKUP('Ke Alternativo'!A573,'Dados para Ke Alternativo'!$A:$B,2,0)</f>
        <v>34.24</v>
      </c>
      <c r="C573" s="294">
        <f t="shared" si="41"/>
        <v>-2.8376844494892195E-2</v>
      </c>
      <c r="D573" s="296">
        <f>VLOOKUP(A573,'Dados para Ke Alternativo'!$P:$Q,2,0)</f>
        <v>5.0753000000000004</v>
      </c>
      <c r="E573" s="296">
        <f t="shared" si="40"/>
        <v>6.7463992276318638</v>
      </c>
      <c r="F573" s="294">
        <f t="shared" si="42"/>
        <v>-4.5855455433677528E-2</v>
      </c>
      <c r="G573" s="296">
        <f>VLOOKUP($A573,'Dados para Ke Alternativo'!$I:$J,2,0)</f>
        <v>2833.39</v>
      </c>
      <c r="H573" s="294">
        <f t="shared" si="43"/>
        <v>-8.8155746520490741E-4</v>
      </c>
      <c r="I573" s="297">
        <f>VLOOKUP(A573,'Dados para Ke Alternativo'!$W:$X,2,0)</f>
        <v>103913</v>
      </c>
      <c r="J573" s="294">
        <f t="shared" si="44"/>
        <v>-2.1193824590488242E-2</v>
      </c>
    </row>
    <row r="574" spans="1:10" x14ac:dyDescent="0.3">
      <c r="A574" s="167">
        <v>45036</v>
      </c>
      <c r="B574" s="219">
        <f>VLOOKUP('Ke Alternativo'!A574,'Dados para Ke Alternativo'!$A:$B,2,0)</f>
        <v>33.950000000000003</v>
      </c>
      <c r="C574" s="294">
        <f t="shared" si="41"/>
        <v>-8.4696261682242202E-3</v>
      </c>
      <c r="D574" s="296">
        <f>VLOOKUP(A574,'Dados para Ke Alternativo'!$P:$Q,2,0)</f>
        <v>5.0486000000000004</v>
      </c>
      <c r="E574" s="296">
        <f t="shared" si="40"/>
        <v>6.7246365329002096</v>
      </c>
      <c r="F574" s="294">
        <f t="shared" si="42"/>
        <v>-3.2258237316461491E-3</v>
      </c>
      <c r="G574" s="296">
        <f>VLOOKUP($A574,'Dados para Ke Alternativo'!$I:$J,2,0)</f>
        <v>2822.54</v>
      </c>
      <c r="H574" s="294">
        <f t="shared" si="43"/>
        <v>-3.8293351780023244E-3</v>
      </c>
      <c r="I574" s="297">
        <f>VLOOKUP(A574,'Dados para Ke Alternativo'!$W:$X,2,0)</f>
        <v>104367</v>
      </c>
      <c r="J574" s="294">
        <f t="shared" si="44"/>
        <v>4.3690394849538183E-3</v>
      </c>
    </row>
    <row r="575" spans="1:10" x14ac:dyDescent="0.3">
      <c r="A575" s="168">
        <v>45040</v>
      </c>
      <c r="B575" s="219">
        <f>VLOOKUP('Ke Alternativo'!A575,'Dados para Ke Alternativo'!$A:$B,2,0)</f>
        <v>34.97</v>
      </c>
      <c r="C575" s="294">
        <f t="shared" si="41"/>
        <v>3.0044182621502102E-2</v>
      </c>
      <c r="D575" s="296">
        <f>VLOOKUP(A575,'Dados para Ke Alternativo'!$P:$Q,2,0)</f>
        <v>5.0336999999999996</v>
      </c>
      <c r="E575" s="296">
        <f t="shared" si="40"/>
        <v>6.9471760335339816</v>
      </c>
      <c r="F575" s="294">
        <f t="shared" si="42"/>
        <v>3.3093164150211019E-2</v>
      </c>
      <c r="G575" s="296">
        <f>VLOOKUP($A575,'Dados para Ke Alternativo'!$I:$J,2,0)</f>
        <v>2826.85</v>
      </c>
      <c r="H575" s="294">
        <f t="shared" si="43"/>
        <v>1.5269934172765787E-3</v>
      </c>
      <c r="I575" s="297">
        <f>VLOOKUP(A575,'Dados para Ke Alternativo'!$W:$X,2,0)</f>
        <v>103947</v>
      </c>
      <c r="J575" s="294">
        <f t="shared" si="44"/>
        <v>-4.0242605421253463E-3</v>
      </c>
    </row>
    <row r="576" spans="1:10" x14ac:dyDescent="0.3">
      <c r="A576" s="167">
        <v>45041</v>
      </c>
      <c r="B576" s="219">
        <f>VLOOKUP('Ke Alternativo'!A576,'Dados para Ke Alternativo'!$A:$B,2,0)</f>
        <v>34.590000000000003</v>
      </c>
      <c r="C576" s="294">
        <f t="shared" si="41"/>
        <v>-1.086645696311106E-2</v>
      </c>
      <c r="D576" s="296">
        <f>VLOOKUP(A576,'Dados para Ke Alternativo'!$P:$Q,2,0)</f>
        <v>5.0496999999999996</v>
      </c>
      <c r="E576" s="296">
        <f t="shared" si="40"/>
        <v>6.849911875953028</v>
      </c>
      <c r="F576" s="294">
        <f t="shared" si="42"/>
        <v>-1.4000531598948984E-2</v>
      </c>
      <c r="G576" s="296">
        <f>VLOOKUP($A576,'Dados para Ke Alternativo'!$I:$J,2,0)</f>
        <v>2789.54</v>
      </c>
      <c r="H576" s="294">
        <f t="shared" si="43"/>
        <v>-1.3198436422166004E-2</v>
      </c>
      <c r="I576" s="297">
        <f>VLOOKUP(A576,'Dados para Ke Alternativo'!$W:$X,2,0)</f>
        <v>103220</v>
      </c>
      <c r="J576" s="294">
        <f t="shared" si="44"/>
        <v>-6.9939488393123694E-3</v>
      </c>
    </row>
    <row r="577" spans="1:10" x14ac:dyDescent="0.3">
      <c r="A577" s="168">
        <v>45042</v>
      </c>
      <c r="B577" s="219">
        <f>VLOOKUP('Ke Alternativo'!A577,'Dados para Ke Alternativo'!$A:$B,2,0)</f>
        <v>33.450000000000003</v>
      </c>
      <c r="C577" s="294">
        <f t="shared" si="41"/>
        <v>-3.2957502168256769E-2</v>
      </c>
      <c r="D577" s="296">
        <f>VLOOKUP(A577,'Dados para Ke Alternativo'!$P:$Q,2,0)</f>
        <v>5.0434999999999999</v>
      </c>
      <c r="E577" s="296">
        <f t="shared" si="40"/>
        <v>6.6322989987112129</v>
      </c>
      <c r="F577" s="294">
        <f t="shared" si="42"/>
        <v>-3.1768711945880157E-2</v>
      </c>
      <c r="G577" s="296">
        <f>VLOOKUP($A577,'Dados para Ke Alternativo'!$I:$J,2,0)</f>
        <v>2779.71</v>
      </c>
      <c r="H577" s="294">
        <f t="shared" si="43"/>
        <v>-3.5238784889264352E-3</v>
      </c>
      <c r="I577" s="297">
        <f>VLOOKUP(A577,'Dados para Ke Alternativo'!$W:$X,2,0)</f>
        <v>102312</v>
      </c>
      <c r="J577" s="294">
        <f t="shared" si="44"/>
        <v>-8.7967448168959628E-3</v>
      </c>
    </row>
    <row r="578" spans="1:10" x14ac:dyDescent="0.3">
      <c r="A578" s="167">
        <v>45043</v>
      </c>
      <c r="B578" s="219">
        <f>VLOOKUP('Ke Alternativo'!A578,'Dados para Ke Alternativo'!$A:$B,2,0)</f>
        <v>33.590000000000003</v>
      </c>
      <c r="C578" s="294">
        <f t="shared" si="41"/>
        <v>4.1853512705529727E-3</v>
      </c>
      <c r="D578" s="296">
        <f>VLOOKUP(A578,'Dados para Ke Alternativo'!$P:$Q,2,0)</f>
        <v>4.9771000000000001</v>
      </c>
      <c r="E578" s="296">
        <f t="shared" ref="E578:E641" si="45">B578/D578</f>
        <v>6.7489100078358888</v>
      </c>
      <c r="F578" s="294">
        <f t="shared" si="42"/>
        <v>1.7582290718095805E-2</v>
      </c>
      <c r="G578" s="296">
        <f>VLOOKUP($A578,'Dados para Ke Alternativo'!$I:$J,2,0)</f>
        <v>2815.77</v>
      </c>
      <c r="H578" s="294">
        <f t="shared" si="43"/>
        <v>1.2972576275942505E-2</v>
      </c>
      <c r="I578" s="297">
        <f>VLOOKUP(A578,'Dados para Ke Alternativo'!$W:$X,2,0)</f>
        <v>102923</v>
      </c>
      <c r="J578" s="294">
        <f t="shared" si="44"/>
        <v>5.9719290014856874E-3</v>
      </c>
    </row>
    <row r="579" spans="1:10" x14ac:dyDescent="0.3">
      <c r="A579" s="168">
        <v>45044</v>
      </c>
      <c r="B579" s="219">
        <f>VLOOKUP('Ke Alternativo'!A579,'Dados para Ke Alternativo'!$A:$B,2,0)</f>
        <v>34.69</v>
      </c>
      <c r="C579" s="294">
        <f t="shared" ref="C579:C642" si="46">B579/B578-1</f>
        <v>3.2747841619529483E-2</v>
      </c>
      <c r="D579" s="296">
        <f>VLOOKUP(A579,'Dados para Ke Alternativo'!$P:$Q,2,0)</f>
        <v>4.9865000000000004</v>
      </c>
      <c r="E579" s="296">
        <f t="shared" si="45"/>
        <v>6.9567833149503651</v>
      </c>
      <c r="F579" s="294">
        <f t="shared" ref="F579:F642" si="47">E579/E578-1</f>
        <v>3.0801019256905704E-2</v>
      </c>
      <c r="G579" s="296">
        <f>VLOOKUP($A579,'Dados para Ke Alternativo'!$I:$J,2,0)</f>
        <v>2835.93</v>
      </c>
      <c r="H579" s="294">
        <f t="shared" ref="H579:H642" si="48">G579/G578-1</f>
        <v>7.1596756837384312E-3</v>
      </c>
      <c r="I579" s="297">
        <f>VLOOKUP(A579,'Dados para Ke Alternativo'!$W:$X,2,0)</f>
        <v>104432</v>
      </c>
      <c r="J579" s="294">
        <f t="shared" ref="J579:J642" si="49">I579/I578-1</f>
        <v>1.4661445935310935E-2</v>
      </c>
    </row>
    <row r="580" spans="1:10" x14ac:dyDescent="0.3">
      <c r="A580" s="167">
        <v>45048</v>
      </c>
      <c r="B580" s="219">
        <f>VLOOKUP('Ke Alternativo'!A580,'Dados para Ke Alternativo'!$A:$B,2,0)</f>
        <v>33.47</v>
      </c>
      <c r="C580" s="294">
        <f t="shared" si="46"/>
        <v>-3.516863649466706E-2</v>
      </c>
      <c r="D580" s="296">
        <f>VLOOKUP(A580,'Dados para Ke Alternativo'!$P:$Q,2,0)</f>
        <v>5.0387000000000004</v>
      </c>
      <c r="E580" s="296">
        <f t="shared" si="45"/>
        <v>6.6425863814079023</v>
      </c>
      <c r="F580" s="294">
        <f t="shared" si="47"/>
        <v>-4.5164110957321757E-2</v>
      </c>
      <c r="G580" s="296">
        <f>VLOOKUP($A580,'Dados para Ke Alternativo'!$I:$J,2,0)</f>
        <v>2803.07</v>
      </c>
      <c r="H580" s="294">
        <f t="shared" si="48"/>
        <v>-1.1587027888558477E-2</v>
      </c>
      <c r="I580" s="297">
        <f>VLOOKUP(A580,'Dados para Ke Alternativo'!$W:$X,2,0)</f>
        <v>101927</v>
      </c>
      <c r="J580" s="294">
        <f t="shared" si="49"/>
        <v>-2.3986900566876024E-2</v>
      </c>
    </row>
    <row r="581" spans="1:10" x14ac:dyDescent="0.3">
      <c r="A581" s="168">
        <v>45049</v>
      </c>
      <c r="B581" s="219">
        <f>VLOOKUP('Ke Alternativo'!A581,'Dados para Ke Alternativo'!$A:$B,2,0)</f>
        <v>34.049999999999997</v>
      </c>
      <c r="C581" s="294">
        <f t="shared" si="46"/>
        <v>1.7328951299671269E-2</v>
      </c>
      <c r="D581" s="296">
        <f>VLOOKUP(A581,'Dados para Ke Alternativo'!$P:$Q,2,0)</f>
        <v>4.9949000000000003</v>
      </c>
      <c r="E581" s="296">
        <f t="shared" si="45"/>
        <v>6.8169532923582041</v>
      </c>
      <c r="F581" s="294">
        <f t="shared" si="47"/>
        <v>2.6249852232007376E-2</v>
      </c>
      <c r="G581" s="296">
        <f>VLOOKUP($A581,'Dados para Ke Alternativo'!$I:$J,2,0)</f>
        <v>2796.31</v>
      </c>
      <c r="H581" s="294">
        <f t="shared" si="48"/>
        <v>-2.4116415216174358E-3</v>
      </c>
      <c r="I581" s="297">
        <f>VLOOKUP(A581,'Dados para Ke Alternativo'!$W:$X,2,0)</f>
        <v>101797</v>
      </c>
      <c r="J581" s="294">
        <f t="shared" si="49"/>
        <v>-1.2754226063751428E-3</v>
      </c>
    </row>
    <row r="582" spans="1:10" x14ac:dyDescent="0.3">
      <c r="A582" s="167">
        <v>45050</v>
      </c>
      <c r="B582" s="219">
        <f>VLOOKUP('Ke Alternativo'!A582,'Dados para Ke Alternativo'!$A:$B,2,0)</f>
        <v>32.65</v>
      </c>
      <c r="C582" s="294">
        <f t="shared" si="46"/>
        <v>-4.1116005873715111E-2</v>
      </c>
      <c r="D582" s="296">
        <f>VLOOKUP(A582,'Dados para Ke Alternativo'!$P:$Q,2,0)</f>
        <v>4.9821999999999997</v>
      </c>
      <c r="E582" s="296">
        <f t="shared" si="45"/>
        <v>6.553329854281241</v>
      </c>
      <c r="F582" s="294">
        <f t="shared" si="47"/>
        <v>-3.8671738938344302E-2</v>
      </c>
      <c r="G582" s="296">
        <f>VLOOKUP($A582,'Dados para Ke Alternativo'!$I:$J,2,0)</f>
        <v>2779.26</v>
      </c>
      <c r="H582" s="294">
        <f t="shared" si="48"/>
        <v>-6.0973211124659699E-3</v>
      </c>
      <c r="I582" s="297">
        <f>VLOOKUP(A582,'Dados para Ke Alternativo'!$W:$X,2,0)</f>
        <v>102174</v>
      </c>
      <c r="J582" s="294">
        <f t="shared" si="49"/>
        <v>3.7034490210909876E-3</v>
      </c>
    </row>
    <row r="583" spans="1:10" x14ac:dyDescent="0.3">
      <c r="A583" s="168">
        <v>45051</v>
      </c>
      <c r="B583" s="219">
        <f>VLOOKUP('Ke Alternativo'!A583,'Dados para Ke Alternativo'!$A:$B,2,0)</f>
        <v>34.24</v>
      </c>
      <c r="C583" s="294">
        <f t="shared" si="46"/>
        <v>4.8698315467075037E-2</v>
      </c>
      <c r="D583" s="296">
        <f>VLOOKUP(A583,'Dados para Ke Alternativo'!$P:$Q,2,0)</f>
        <v>4.9518000000000004</v>
      </c>
      <c r="E583" s="296">
        <f t="shared" si="45"/>
        <v>6.914657296336685</v>
      </c>
      <c r="F583" s="294">
        <f t="shared" si="47"/>
        <v>5.5136464986481837E-2</v>
      </c>
      <c r="G583" s="296">
        <f>VLOOKUP($A583,'Dados para Ke Alternativo'!$I:$J,2,0)</f>
        <v>2821.99</v>
      </c>
      <c r="H583" s="294">
        <f t="shared" si="48"/>
        <v>1.5374596115512507E-2</v>
      </c>
      <c r="I583" s="297">
        <f>VLOOKUP(A583,'Dados para Ke Alternativo'!$W:$X,2,0)</f>
        <v>105148</v>
      </c>
      <c r="J583" s="294">
        <f t="shared" si="49"/>
        <v>2.9107209270460288E-2</v>
      </c>
    </row>
    <row r="584" spans="1:10" x14ac:dyDescent="0.3">
      <c r="A584" s="167">
        <v>45055</v>
      </c>
      <c r="B584" s="219">
        <f>VLOOKUP('Ke Alternativo'!A584,'Dados para Ke Alternativo'!$A:$B,2,0)</f>
        <v>34.549999999999997</v>
      </c>
      <c r="C584" s="294">
        <f t="shared" si="46"/>
        <v>9.0537383177569097E-3</v>
      </c>
      <c r="D584" s="296">
        <f>VLOOKUP(A584,'Dados para Ke Alternativo'!$P:$Q,2,0)</f>
        <v>4.9862000000000002</v>
      </c>
      <c r="E584" s="296">
        <f t="shared" si="45"/>
        <v>6.9291243832979017</v>
      </c>
      <c r="F584" s="294">
        <f t="shared" si="47"/>
        <v>2.0922348485559183E-3</v>
      </c>
      <c r="G584" s="296">
        <f>VLOOKUP($A584,'Dados para Ke Alternativo'!$I:$J,2,0)</f>
        <v>2815.29</v>
      </c>
      <c r="H584" s="294">
        <f t="shared" si="48"/>
        <v>-2.3742111063468352E-3</v>
      </c>
      <c r="I584" s="297">
        <f>VLOOKUP(A584,'Dados para Ke Alternativo'!$W:$X,2,0)</f>
        <v>107114</v>
      </c>
      <c r="J584" s="294">
        <f t="shared" si="49"/>
        <v>1.8697455015787234E-2</v>
      </c>
    </row>
    <row r="585" spans="1:10" x14ac:dyDescent="0.3">
      <c r="A585" s="168">
        <v>45056</v>
      </c>
      <c r="B585" s="219">
        <f>VLOOKUP('Ke Alternativo'!A585,'Dados para Ke Alternativo'!$A:$B,2,0)</f>
        <v>34.590000000000003</v>
      </c>
      <c r="C585" s="294">
        <f t="shared" si="46"/>
        <v>1.1577424023156979E-3</v>
      </c>
      <c r="D585" s="296">
        <f>VLOOKUP(A585,'Dados para Ke Alternativo'!$P:$Q,2,0)</f>
        <v>4.9424000000000001</v>
      </c>
      <c r="E585" s="296">
        <f t="shared" si="45"/>
        <v>6.9986241502104249</v>
      </c>
      <c r="F585" s="294">
        <f t="shared" si="47"/>
        <v>1.0030093712857457E-2</v>
      </c>
      <c r="G585" s="296">
        <f>VLOOKUP($A585,'Dados para Ke Alternativo'!$I:$J,2,0)</f>
        <v>2822.6</v>
      </c>
      <c r="H585" s="294">
        <f t="shared" si="48"/>
        <v>2.5965353480459363E-3</v>
      </c>
      <c r="I585" s="297">
        <f>VLOOKUP(A585,'Dados para Ke Alternativo'!$W:$X,2,0)</f>
        <v>107448</v>
      </c>
      <c r="J585" s="294">
        <f t="shared" si="49"/>
        <v>3.1181731613048047E-3</v>
      </c>
    </row>
    <row r="586" spans="1:10" x14ac:dyDescent="0.3">
      <c r="A586" s="167">
        <v>45057</v>
      </c>
      <c r="B586" s="219">
        <f>VLOOKUP('Ke Alternativo'!A586,'Dados para Ke Alternativo'!$A:$B,2,0)</f>
        <v>34.76</v>
      </c>
      <c r="C586" s="294">
        <f t="shared" si="46"/>
        <v>4.9147152356170398E-3</v>
      </c>
      <c r="D586" s="296">
        <f>VLOOKUP(A586,'Dados para Ke Alternativo'!$P:$Q,2,0)</f>
        <v>4.9295</v>
      </c>
      <c r="E586" s="296">
        <f t="shared" si="45"/>
        <v>7.0514250938229024</v>
      </c>
      <c r="F586" s="294">
        <f t="shared" si="47"/>
        <v>7.5444748109370074E-3</v>
      </c>
      <c r="G586" s="296">
        <f>VLOOKUP($A586,'Dados para Ke Alternativo'!$I:$J,2,0)</f>
        <v>2814.86</v>
      </c>
      <c r="H586" s="294">
        <f t="shared" si="48"/>
        <v>-2.7421526252390249E-3</v>
      </c>
      <c r="I586" s="297">
        <f>VLOOKUP(A586,'Dados para Ke Alternativo'!$W:$X,2,0)</f>
        <v>108256</v>
      </c>
      <c r="J586" s="294">
        <f t="shared" si="49"/>
        <v>7.5199166108257387E-3</v>
      </c>
    </row>
    <row r="587" spans="1:10" x14ac:dyDescent="0.3">
      <c r="A587" s="168">
        <v>45058</v>
      </c>
      <c r="B587" s="219">
        <f>VLOOKUP('Ke Alternativo'!A587,'Dados para Ke Alternativo'!$A:$B,2,0)</f>
        <v>34.44</v>
      </c>
      <c r="C587" s="294">
        <f t="shared" si="46"/>
        <v>-9.205983889528202E-3</v>
      </c>
      <c r="D587" s="296">
        <f>VLOOKUP(A587,'Dados para Ke Alternativo'!$P:$Q,2,0)</f>
        <v>4.9195000000000002</v>
      </c>
      <c r="E587" s="296">
        <f t="shared" si="45"/>
        <v>7.0007114544160984</v>
      </c>
      <c r="F587" s="294">
        <f t="shared" si="47"/>
        <v>-7.1919702375098371E-3</v>
      </c>
      <c r="G587" s="296">
        <f>VLOOKUP($A587,'Dados para Ke Alternativo'!$I:$J,2,0)</f>
        <v>2809.35</v>
      </c>
      <c r="H587" s="294">
        <f t="shared" si="48"/>
        <v>-1.9574685774781386E-3</v>
      </c>
      <c r="I587" s="297">
        <f>VLOOKUP(A587,'Dados para Ke Alternativo'!$W:$X,2,0)</f>
        <v>108464</v>
      </c>
      <c r="J587" s="294">
        <f t="shared" si="49"/>
        <v>1.9213715637007578E-3</v>
      </c>
    </row>
    <row r="588" spans="1:10" x14ac:dyDescent="0.3">
      <c r="A588" s="167">
        <v>45061</v>
      </c>
      <c r="B588" s="219">
        <f>VLOOKUP('Ke Alternativo'!A588,'Dados para Ke Alternativo'!$A:$B,2,0)</f>
        <v>34.409999999999997</v>
      </c>
      <c r="C588" s="294">
        <f t="shared" si="46"/>
        <v>-8.7108013937287065E-4</v>
      </c>
      <c r="D588" s="296">
        <f>VLOOKUP(A588,'Dados para Ke Alternativo'!$P:$Q,2,0)</f>
        <v>4.8903999999999996</v>
      </c>
      <c r="E588" s="296">
        <f t="shared" si="45"/>
        <v>7.0362342548666774</v>
      </c>
      <c r="F588" s="294">
        <f t="shared" si="47"/>
        <v>5.0741700585545946E-3</v>
      </c>
      <c r="G588" s="296">
        <f>VLOOKUP($A588,'Dados para Ke Alternativo'!$I:$J,2,0)</f>
        <v>2819.47</v>
      </c>
      <c r="H588" s="294">
        <f t="shared" si="48"/>
        <v>3.6022567497819846E-3</v>
      </c>
      <c r="I588" s="297">
        <f>VLOOKUP(A588,'Dados para Ke Alternativo'!$W:$X,2,0)</f>
        <v>109029</v>
      </c>
      <c r="J588" s="294">
        <f t="shared" si="49"/>
        <v>5.2091016374096188E-3</v>
      </c>
    </row>
    <row r="589" spans="1:10" x14ac:dyDescent="0.3">
      <c r="A589" s="168">
        <v>45062</v>
      </c>
      <c r="B589" s="219">
        <f>VLOOKUP('Ke Alternativo'!A589,'Dados para Ke Alternativo'!$A:$B,2,0)</f>
        <v>34.44</v>
      </c>
      <c r="C589" s="294">
        <f t="shared" si="46"/>
        <v>8.7183958151704211E-4</v>
      </c>
      <c r="D589" s="296">
        <f>VLOOKUP(A589,'Dados para Ke Alternativo'!$P:$Q,2,0)</f>
        <v>4.9401999999999999</v>
      </c>
      <c r="E589" s="296">
        <f t="shared" si="45"/>
        <v>6.9713776770171245</v>
      </c>
      <c r="F589" s="294">
        <f t="shared" si="47"/>
        <v>-9.2175125927187462E-3</v>
      </c>
      <c r="G589" s="296">
        <f>VLOOKUP($A589,'Dados para Ke Alternativo'!$I:$J,2,0)</f>
        <v>2802.39</v>
      </c>
      <c r="H589" s="294">
        <f t="shared" si="48"/>
        <v>-6.057876125654782E-3</v>
      </c>
      <c r="I589" s="297">
        <f>VLOOKUP(A589,'Dados para Ke Alternativo'!$W:$X,2,0)</f>
        <v>108194</v>
      </c>
      <c r="J589" s="294">
        <f t="shared" si="49"/>
        <v>-7.658512872721901E-3</v>
      </c>
    </row>
    <row r="590" spans="1:10" x14ac:dyDescent="0.3">
      <c r="A590" s="167">
        <v>45063</v>
      </c>
      <c r="B590" s="219">
        <f>VLOOKUP('Ke Alternativo'!A590,'Dados para Ke Alternativo'!$A:$B,2,0)</f>
        <v>36.44</v>
      </c>
      <c r="C590" s="294">
        <f t="shared" si="46"/>
        <v>5.8072009291521454E-2</v>
      </c>
      <c r="D590" s="296">
        <f>VLOOKUP(A590,'Dados para Ke Alternativo'!$P:$Q,2,0)</f>
        <v>4.9396000000000004</v>
      </c>
      <c r="E590" s="296">
        <f t="shared" si="45"/>
        <v>7.3771155559154575</v>
      </c>
      <c r="F590" s="294">
        <f t="shared" si="47"/>
        <v>5.8200530468453637E-2</v>
      </c>
      <c r="G590" s="296">
        <f>VLOOKUP($A590,'Dados para Ke Alternativo'!$I:$J,2,0)</f>
        <v>2820.92</v>
      </c>
      <c r="H590" s="294">
        <f t="shared" si="48"/>
        <v>6.612213146635515E-3</v>
      </c>
      <c r="I590" s="297">
        <f>VLOOKUP(A590,'Dados para Ke Alternativo'!$W:$X,2,0)</f>
        <v>109460</v>
      </c>
      <c r="J590" s="294">
        <f t="shared" si="49"/>
        <v>1.1701203393903459E-2</v>
      </c>
    </row>
    <row r="591" spans="1:10" x14ac:dyDescent="0.3">
      <c r="A591" s="168">
        <v>45064</v>
      </c>
      <c r="B591" s="219">
        <f>VLOOKUP('Ke Alternativo'!A591,'Dados para Ke Alternativo'!$A:$B,2,0)</f>
        <v>36.29</v>
      </c>
      <c r="C591" s="294">
        <f t="shared" si="46"/>
        <v>-4.1163556531284007E-3</v>
      </c>
      <c r="D591" s="296">
        <f>VLOOKUP(A591,'Dados para Ke Alternativo'!$P:$Q,2,0)</f>
        <v>4.9652000000000003</v>
      </c>
      <c r="E591" s="296">
        <f t="shared" si="45"/>
        <v>7.308869733344074</v>
      </c>
      <c r="F591" s="294">
        <f t="shared" si="47"/>
        <v>-9.2510171562460997E-3</v>
      </c>
      <c r="G591" s="296">
        <f>VLOOKUP($A591,'Dados para Ke Alternativo'!$I:$J,2,0)</f>
        <v>2840.12</v>
      </c>
      <c r="H591" s="294">
        <f t="shared" si="48"/>
        <v>6.8062901464769343E-3</v>
      </c>
      <c r="I591" s="297">
        <f>VLOOKUP(A591,'Dados para Ke Alternativo'!$W:$X,2,0)</f>
        <v>110108</v>
      </c>
      <c r="J591" s="294">
        <f t="shared" si="49"/>
        <v>5.9199707655763767E-3</v>
      </c>
    </row>
    <row r="592" spans="1:10" x14ac:dyDescent="0.3">
      <c r="A592" s="167">
        <v>45065</v>
      </c>
      <c r="B592" s="219">
        <f>VLOOKUP('Ke Alternativo'!A592,'Dados para Ke Alternativo'!$A:$B,2,0)</f>
        <v>36.909999999999997</v>
      </c>
      <c r="C592" s="294">
        <f t="shared" si="46"/>
        <v>1.708459630752257E-2</v>
      </c>
      <c r="D592" s="296">
        <f>VLOOKUP(A592,'Dados para Ke Alternativo'!$P:$Q,2,0)</f>
        <v>4.9981</v>
      </c>
      <c r="E592" s="296">
        <f t="shared" si="45"/>
        <v>7.3848062263660186</v>
      </c>
      <c r="F592" s="294">
        <f t="shared" si="47"/>
        <v>1.0389635578742284E-2</v>
      </c>
      <c r="G592" s="296">
        <f>VLOOKUP($A592,'Dados para Ke Alternativo'!$I:$J,2,0)</f>
        <v>2842.76</v>
      </c>
      <c r="H592" s="294">
        <f t="shared" si="48"/>
        <v>9.2953818852725689E-4</v>
      </c>
      <c r="I592" s="297">
        <f>VLOOKUP(A592,'Dados para Ke Alternativo'!$W:$X,2,0)</f>
        <v>110745</v>
      </c>
      <c r="J592" s="294">
        <f t="shared" si="49"/>
        <v>5.7852290478439539E-3</v>
      </c>
    </row>
    <row r="593" spans="1:10" x14ac:dyDescent="0.3">
      <c r="A593" s="168">
        <v>45068</v>
      </c>
      <c r="B593" s="219">
        <f>VLOOKUP('Ke Alternativo'!A593,'Dados para Ke Alternativo'!$A:$B,2,0)</f>
        <v>36.130000000000003</v>
      </c>
      <c r="C593" s="294">
        <f t="shared" si="46"/>
        <v>-2.1132484421565789E-2</v>
      </c>
      <c r="D593" s="296">
        <f>VLOOKUP(A593,'Dados para Ke Alternativo'!$P:$Q,2,0)</f>
        <v>4.9667000000000003</v>
      </c>
      <c r="E593" s="296">
        <f t="shared" si="45"/>
        <v>7.2744478224978355</v>
      </c>
      <c r="F593" s="294">
        <f t="shared" si="47"/>
        <v>-1.4943980990885009E-2</v>
      </c>
      <c r="G593" s="296">
        <f>VLOOKUP($A593,'Dados para Ke Alternativo'!$I:$J,2,0)</f>
        <v>2845.71</v>
      </c>
      <c r="H593" s="294">
        <f t="shared" si="48"/>
        <v>1.0377239021233109E-3</v>
      </c>
      <c r="I593" s="297">
        <f>VLOOKUP(A593,'Dados para Ke Alternativo'!$W:$X,2,0)</f>
        <v>110213</v>
      </c>
      <c r="J593" s="294">
        <f t="shared" si="49"/>
        <v>-4.8038286152873866E-3</v>
      </c>
    </row>
    <row r="594" spans="1:10" x14ac:dyDescent="0.3">
      <c r="A594" s="167">
        <v>45069</v>
      </c>
      <c r="B594" s="219">
        <f>VLOOKUP('Ke Alternativo'!A594,'Dados para Ke Alternativo'!$A:$B,2,0)</f>
        <v>36.1</v>
      </c>
      <c r="C594" s="294">
        <f t="shared" si="46"/>
        <v>-8.3033490174377889E-4</v>
      </c>
      <c r="D594" s="296">
        <f>VLOOKUP(A594,'Dados para Ke Alternativo'!$P:$Q,2,0)</f>
        <v>4.9714</v>
      </c>
      <c r="E594" s="296">
        <f t="shared" si="45"/>
        <v>7.2615359858389992</v>
      </c>
      <c r="F594" s="294">
        <f t="shared" si="47"/>
        <v>-1.7749576289355362E-3</v>
      </c>
      <c r="G594" s="296">
        <f>VLOOKUP($A594,'Dados para Ke Alternativo'!$I:$J,2,0)</f>
        <v>2816.85</v>
      </c>
      <c r="H594" s="294">
        <f t="shared" si="48"/>
        <v>-1.0141581538526512E-2</v>
      </c>
      <c r="I594" s="297">
        <f>VLOOKUP(A594,'Dados para Ke Alternativo'!$W:$X,2,0)</f>
        <v>109929</v>
      </c>
      <c r="J594" s="294">
        <f t="shared" si="49"/>
        <v>-2.5768285048043404E-3</v>
      </c>
    </row>
    <row r="595" spans="1:10" x14ac:dyDescent="0.3">
      <c r="A595" s="168">
        <v>45070</v>
      </c>
      <c r="B595" s="219">
        <f>VLOOKUP('Ke Alternativo'!A595,'Dados para Ke Alternativo'!$A:$B,2,0)</f>
        <v>35.89</v>
      </c>
      <c r="C595" s="294">
        <f t="shared" si="46"/>
        <v>-5.8171745152354459E-3</v>
      </c>
      <c r="D595" s="296">
        <f>VLOOKUP(A595,'Dados para Ke Alternativo'!$P:$Q,2,0)</f>
        <v>4.9619</v>
      </c>
      <c r="E595" s="296">
        <f t="shared" si="45"/>
        <v>7.2331163465607933</v>
      </c>
      <c r="F595" s="294">
        <f t="shared" si="47"/>
        <v>-3.9137228450878414E-3</v>
      </c>
      <c r="G595" s="296">
        <f>VLOOKUP($A595,'Dados para Ke Alternativo'!$I:$J,2,0)</f>
        <v>2788.82</v>
      </c>
      <c r="H595" s="294">
        <f t="shared" si="48"/>
        <v>-9.9508316026766241E-3</v>
      </c>
      <c r="I595" s="297">
        <f>VLOOKUP(A595,'Dados para Ke Alternativo'!$W:$X,2,0)</f>
        <v>108800</v>
      </c>
      <c r="J595" s="294">
        <f t="shared" si="49"/>
        <v>-1.0270265353091501E-2</v>
      </c>
    </row>
    <row r="596" spans="1:10" x14ac:dyDescent="0.3">
      <c r="A596" s="167">
        <v>45071</v>
      </c>
      <c r="B596" s="219">
        <f>VLOOKUP('Ke Alternativo'!A596,'Dados para Ke Alternativo'!$A:$B,2,0)</f>
        <v>35.57</v>
      </c>
      <c r="C596" s="294">
        <f t="shared" si="46"/>
        <v>-8.916132627472817E-3</v>
      </c>
      <c r="D596" s="296">
        <f>VLOOKUP(A596,'Dados para Ke Alternativo'!$P:$Q,2,0)</f>
        <v>5.0355999999999996</v>
      </c>
      <c r="E596" s="296">
        <f t="shared" si="45"/>
        <v>7.0637064103582494</v>
      </c>
      <c r="F596" s="294">
        <f t="shared" si="47"/>
        <v>-2.3421431107367052E-2</v>
      </c>
      <c r="G596" s="296">
        <f>VLOOKUP($A596,'Dados para Ke Alternativo'!$I:$J,2,0)</f>
        <v>2796.86</v>
      </c>
      <c r="H596" s="294">
        <f t="shared" si="48"/>
        <v>2.8829397379537269E-3</v>
      </c>
      <c r="I596" s="297">
        <f>VLOOKUP(A596,'Dados para Ke Alternativo'!$W:$X,2,0)</f>
        <v>110054</v>
      </c>
      <c r="J596" s="294">
        <f t="shared" si="49"/>
        <v>1.1525735294117601E-2</v>
      </c>
    </row>
    <row r="597" spans="1:10" x14ac:dyDescent="0.3">
      <c r="A597" s="168">
        <v>45072</v>
      </c>
      <c r="B597" s="219">
        <f>VLOOKUP('Ke Alternativo'!A597,'Dados para Ke Alternativo'!$A:$B,2,0)</f>
        <v>35.29</v>
      </c>
      <c r="C597" s="294">
        <f t="shared" si="46"/>
        <v>-7.8718020804048328E-3</v>
      </c>
      <c r="D597" s="296">
        <f>VLOOKUP(A597,'Dados para Ke Alternativo'!$P:$Q,2,0)</f>
        <v>4.9939</v>
      </c>
      <c r="E597" s="296">
        <f t="shared" si="45"/>
        <v>7.0666212779591095</v>
      </c>
      <c r="F597" s="294">
        <f t="shared" si="47"/>
        <v>4.1265412681723568E-4</v>
      </c>
      <c r="G597" s="296">
        <f>VLOOKUP($A597,'Dados para Ke Alternativo'!$I:$J,2,0)</f>
        <v>2827.93</v>
      </c>
      <c r="H597" s="294">
        <f t="shared" si="48"/>
        <v>1.1108886394027406E-2</v>
      </c>
      <c r="I597" s="297">
        <f>VLOOKUP(A597,'Dados para Ke Alternativo'!$W:$X,2,0)</f>
        <v>110906</v>
      </c>
      <c r="J597" s="294">
        <f t="shared" si="49"/>
        <v>7.7416540970796088E-3</v>
      </c>
    </row>
    <row r="598" spans="1:10" x14ac:dyDescent="0.3">
      <c r="A598" s="167">
        <v>45075</v>
      </c>
      <c r="B598" s="219">
        <f>VLOOKUP('Ke Alternativo'!A598,'Dados para Ke Alternativo'!$A:$B,2,0)</f>
        <v>35.06</v>
      </c>
      <c r="C598" s="294">
        <f t="shared" si="46"/>
        <v>-6.5174270331538331E-3</v>
      </c>
      <c r="D598" s="296">
        <f>VLOOKUP(A598,'Dados para Ke Alternativo'!$P:$Q,2,0)</f>
        <v>5.0171000000000001</v>
      </c>
      <c r="E598" s="296">
        <f t="shared" si="45"/>
        <v>6.9881006956209761</v>
      </c>
      <c r="F598" s="294">
        <f t="shared" si="47"/>
        <v>-1.1111474529283183E-2</v>
      </c>
      <c r="G598" s="296">
        <f>VLOOKUP($A598,'Dados para Ke Alternativo'!$I:$J,2,0)</f>
        <v>2830.43</v>
      </c>
      <c r="H598" s="294">
        <f t="shared" si="48"/>
        <v>8.8403885527577053E-4</v>
      </c>
      <c r="I598" s="297">
        <f>VLOOKUP(A598,'Dados para Ke Alternativo'!$W:$X,2,0)</f>
        <v>110333</v>
      </c>
      <c r="J598" s="294">
        <f t="shared" si="49"/>
        <v>-5.1665374280922549E-3</v>
      </c>
    </row>
    <row r="599" spans="1:10" x14ac:dyDescent="0.3">
      <c r="A599" s="168">
        <v>45076</v>
      </c>
      <c r="B599" s="219">
        <f>VLOOKUP('Ke Alternativo'!A599,'Dados para Ke Alternativo'!$A:$B,2,0)</f>
        <v>34.08</v>
      </c>
      <c r="C599" s="294">
        <f t="shared" si="46"/>
        <v>-2.795208214489453E-2</v>
      </c>
      <c r="D599" s="296">
        <f>VLOOKUP(A599,'Dados para Ke Alternativo'!$P:$Q,2,0)</f>
        <v>5.0357000000000003</v>
      </c>
      <c r="E599" s="296">
        <f t="shared" si="45"/>
        <v>6.7676787735568036</v>
      </c>
      <c r="F599" s="294">
        <f t="shared" si="47"/>
        <v>-3.1542465065264147E-2</v>
      </c>
      <c r="G599" s="296">
        <f>VLOOKUP($A599,'Dados para Ke Alternativo'!$I:$J,2,0)</f>
        <v>2825.6</v>
      </c>
      <c r="H599" s="294">
        <f t="shared" si="48"/>
        <v>-1.7064544963132366E-3</v>
      </c>
      <c r="I599" s="297">
        <f>VLOOKUP(A599,'Dados para Ke Alternativo'!$W:$X,2,0)</f>
        <v>108967</v>
      </c>
      <c r="J599" s="294">
        <f t="shared" si="49"/>
        <v>-1.2380702056501658E-2</v>
      </c>
    </row>
    <row r="600" spans="1:10" x14ac:dyDescent="0.3">
      <c r="A600" s="167">
        <v>45077</v>
      </c>
      <c r="B600" s="219">
        <f>VLOOKUP('Ke Alternativo'!A600,'Dados para Ke Alternativo'!$A:$B,2,0)</f>
        <v>34.14</v>
      </c>
      <c r="C600" s="294">
        <f t="shared" si="46"/>
        <v>1.7605633802817433E-3</v>
      </c>
      <c r="D600" s="296">
        <f>VLOOKUP(A600,'Dados para Ke Alternativo'!$P:$Q,2,0)</f>
        <v>5.0574000000000003</v>
      </c>
      <c r="E600" s="296">
        <f t="shared" si="45"/>
        <v>6.7505042116502549</v>
      </c>
      <c r="F600" s="294">
        <f t="shared" si="47"/>
        <v>-2.5377330220893723E-3</v>
      </c>
      <c r="G600" s="296">
        <f>VLOOKUP($A600,'Dados para Ke Alternativo'!$I:$J,2,0)</f>
        <v>2800.56</v>
      </c>
      <c r="H600" s="294">
        <f t="shared" si="48"/>
        <v>-8.8618346545866755E-3</v>
      </c>
      <c r="I600" s="297">
        <f>VLOOKUP(A600,'Dados para Ke Alternativo'!$W:$X,2,0)</f>
        <v>108335</v>
      </c>
      <c r="J600" s="294">
        <f t="shared" si="49"/>
        <v>-5.7999210770233178E-3</v>
      </c>
    </row>
    <row r="601" spans="1:10" x14ac:dyDescent="0.3">
      <c r="A601" s="168">
        <v>45078</v>
      </c>
      <c r="B601" s="219">
        <f>VLOOKUP('Ke Alternativo'!A601,'Dados para Ke Alternativo'!$A:$B,2,0)</f>
        <v>34.119999999999997</v>
      </c>
      <c r="C601" s="294">
        <f t="shared" si="46"/>
        <v>-5.8582308142951511E-4</v>
      </c>
      <c r="D601" s="296">
        <f>VLOOKUP(A601,'Dados para Ke Alternativo'!$P:$Q,2,0)</f>
        <v>5.0140000000000002</v>
      </c>
      <c r="E601" s="296">
        <f t="shared" si="45"/>
        <v>6.8049461507778215</v>
      </c>
      <c r="F601" s="294">
        <f t="shared" si="47"/>
        <v>8.0648700335019807E-3</v>
      </c>
      <c r="G601" s="296">
        <f>VLOOKUP($A601,'Dados para Ke Alternativo'!$I:$J,2,0)</f>
        <v>2831.66</v>
      </c>
      <c r="H601" s="294">
        <f t="shared" si="48"/>
        <v>1.1104921872768347E-2</v>
      </c>
      <c r="I601" s="297">
        <f>VLOOKUP(A601,'Dados para Ke Alternativo'!$W:$X,2,0)</f>
        <v>110565</v>
      </c>
      <c r="J601" s="294">
        <f t="shared" si="49"/>
        <v>2.0584298703096859E-2</v>
      </c>
    </row>
    <row r="602" spans="1:10" x14ac:dyDescent="0.3">
      <c r="A602" s="167">
        <v>45079</v>
      </c>
      <c r="B602" s="219">
        <f>VLOOKUP('Ke Alternativo'!A602,'Dados para Ke Alternativo'!$A:$B,2,0)</f>
        <v>35.26</v>
      </c>
      <c r="C602" s="294">
        <f t="shared" si="46"/>
        <v>3.3411488862836958E-2</v>
      </c>
      <c r="D602" s="296">
        <f>VLOOKUP(A602,'Dados para Ke Alternativo'!$P:$Q,2,0)</f>
        <v>4.9570999999999996</v>
      </c>
      <c r="E602" s="296">
        <f t="shared" si="45"/>
        <v>7.1130297956466482</v>
      </c>
      <c r="F602" s="294">
        <f t="shared" si="47"/>
        <v>4.5273487554873926E-2</v>
      </c>
      <c r="G602" s="296">
        <f>VLOOKUP($A602,'Dados para Ke Alternativo'!$I:$J,2,0)</f>
        <v>2873.37</v>
      </c>
      <c r="H602" s="294">
        <f t="shared" si="48"/>
        <v>1.472987576192053E-2</v>
      </c>
      <c r="I602" s="297">
        <f>VLOOKUP(A602,'Dados para Ke Alternativo'!$W:$X,2,0)</f>
        <v>112558</v>
      </c>
      <c r="J602" s="294">
        <f t="shared" si="49"/>
        <v>1.8025595803373484E-2</v>
      </c>
    </row>
    <row r="603" spans="1:10" x14ac:dyDescent="0.3">
      <c r="A603" s="168">
        <v>45082</v>
      </c>
      <c r="B603" s="219">
        <f>VLOOKUP('Ke Alternativo'!A603,'Dados para Ke Alternativo'!$A:$B,2,0)</f>
        <v>35.29</v>
      </c>
      <c r="C603" s="294">
        <f t="shared" si="46"/>
        <v>8.5082246171297449E-4</v>
      </c>
      <c r="D603" s="296">
        <f>VLOOKUP(A603,'Dados para Ke Alternativo'!$P:$Q,2,0)</f>
        <v>4.9288999999999996</v>
      </c>
      <c r="E603" s="296">
        <f t="shared" si="45"/>
        <v>7.1598125342368482</v>
      </c>
      <c r="F603" s="294">
        <f t="shared" si="47"/>
        <v>6.5770480279490062E-3</v>
      </c>
      <c r="G603" s="296">
        <f>VLOOKUP($A603,'Dados para Ke Alternativo'!$I:$J,2,0)</f>
        <v>2870.27</v>
      </c>
      <c r="H603" s="294">
        <f t="shared" si="48"/>
        <v>-1.0788725433897861E-3</v>
      </c>
      <c r="I603" s="297">
        <f>VLOOKUP(A603,'Dados para Ke Alternativo'!$W:$X,2,0)</f>
        <v>112696</v>
      </c>
      <c r="J603" s="294">
        <f t="shared" si="49"/>
        <v>1.2260345777288517E-3</v>
      </c>
    </row>
    <row r="604" spans="1:10" x14ac:dyDescent="0.3">
      <c r="A604" s="167">
        <v>45083</v>
      </c>
      <c r="B604" s="219">
        <f>VLOOKUP('Ke Alternativo'!A604,'Dados para Ke Alternativo'!$A:$B,2,0)</f>
        <v>34.229999999999997</v>
      </c>
      <c r="C604" s="294">
        <f t="shared" si="46"/>
        <v>-3.0036837631057023E-2</v>
      </c>
      <c r="D604" s="296">
        <f>VLOOKUP(A604,'Dados para Ke Alternativo'!$P:$Q,2,0)</f>
        <v>4.9124999999999996</v>
      </c>
      <c r="E604" s="296">
        <f t="shared" si="45"/>
        <v>6.9679389312977094</v>
      </c>
      <c r="F604" s="294">
        <f t="shared" si="47"/>
        <v>-2.6798690890527666E-2</v>
      </c>
      <c r="G604" s="296">
        <f>VLOOKUP($A604,'Dados para Ke Alternativo'!$I:$J,2,0)</f>
        <v>2877.97</v>
      </c>
      <c r="H604" s="294">
        <f t="shared" si="48"/>
        <v>2.6826744522292501E-3</v>
      </c>
      <c r="I604" s="297">
        <f>VLOOKUP(A604,'Dados para Ke Alternativo'!$W:$X,2,0)</f>
        <v>114610</v>
      </c>
      <c r="J604" s="294">
        <f t="shared" si="49"/>
        <v>1.6983743877333701E-2</v>
      </c>
    </row>
    <row r="605" spans="1:10" x14ac:dyDescent="0.3">
      <c r="A605" s="168">
        <v>45084</v>
      </c>
      <c r="B605" s="219">
        <f>VLOOKUP('Ke Alternativo'!A605,'Dados para Ke Alternativo'!$A:$B,2,0)</f>
        <v>34.729999999999997</v>
      </c>
      <c r="C605" s="294">
        <f t="shared" si="46"/>
        <v>1.4607069821793717E-2</v>
      </c>
      <c r="D605" s="296">
        <f>VLOOKUP(A605,'Dados para Ke Alternativo'!$P:$Q,2,0)</f>
        <v>4.9234999999999998</v>
      </c>
      <c r="E605" s="296">
        <f t="shared" si="45"/>
        <v>7.0539250533157301</v>
      </c>
      <c r="F605" s="294">
        <f t="shared" si="47"/>
        <v>1.2340251954821024E-2</v>
      </c>
      <c r="G605" s="296">
        <f>VLOOKUP($A605,'Dados para Ke Alternativo'!$I:$J,2,0)</f>
        <v>2866.59</v>
      </c>
      <c r="H605" s="294">
        <f t="shared" si="48"/>
        <v>-3.9541760338014376E-3</v>
      </c>
      <c r="I605" s="297">
        <f>VLOOKUP(A605,'Dados para Ke Alternativo'!$W:$X,2,0)</f>
        <v>115488</v>
      </c>
      <c r="J605" s="294">
        <f t="shared" si="49"/>
        <v>7.6607625861617734E-3</v>
      </c>
    </row>
    <row r="606" spans="1:10" x14ac:dyDescent="0.3">
      <c r="A606" s="167">
        <v>45086</v>
      </c>
      <c r="B606" s="219">
        <f>VLOOKUP('Ke Alternativo'!A606,'Dados para Ke Alternativo'!$A:$B,2,0)</f>
        <v>34.42</v>
      </c>
      <c r="C606" s="294">
        <f t="shared" si="46"/>
        <v>-8.926000575870896E-3</v>
      </c>
      <c r="D606" s="296">
        <f>VLOOKUP(A606,'Dados para Ke Alternativo'!$P:$Q,2,0)</f>
        <v>4.8791000000000002</v>
      </c>
      <c r="E606" s="296">
        <f t="shared" si="45"/>
        <v>7.0545797380664466</v>
      </c>
      <c r="F606" s="294">
        <f t="shared" si="47"/>
        <v>9.2811412903959223E-5</v>
      </c>
      <c r="G606" s="296">
        <f>VLOOKUP($A606,'Dados para Ke Alternativo'!$I:$J,2,0)</f>
        <v>2885.63</v>
      </c>
      <c r="H606" s="294">
        <f t="shared" si="48"/>
        <v>6.6420381010190432E-3</v>
      </c>
      <c r="I606" s="297">
        <f>VLOOKUP(A606,'Dados para Ke Alternativo'!$W:$X,2,0)</f>
        <v>117019</v>
      </c>
      <c r="J606" s="294">
        <f t="shared" si="49"/>
        <v>1.3256788584095291E-2</v>
      </c>
    </row>
    <row r="607" spans="1:10" x14ac:dyDescent="0.3">
      <c r="A607" s="168">
        <v>45089</v>
      </c>
      <c r="B607" s="219">
        <f>VLOOKUP('Ke Alternativo'!A607,'Dados para Ke Alternativo'!$A:$B,2,0)</f>
        <v>33.090000000000003</v>
      </c>
      <c r="C607" s="294">
        <f t="shared" si="46"/>
        <v>-3.8640325392213737E-2</v>
      </c>
      <c r="D607" s="296">
        <f>VLOOKUP(A607,'Dados para Ke Alternativo'!$P:$Q,2,0)</f>
        <v>4.8613</v>
      </c>
      <c r="E607" s="296">
        <f t="shared" si="45"/>
        <v>6.8068212206611411</v>
      </c>
      <c r="F607" s="294">
        <f t="shared" si="47"/>
        <v>-3.5120237718542335E-2</v>
      </c>
      <c r="G607" s="296">
        <f>VLOOKUP($A607,'Dados para Ke Alternativo'!$I:$J,2,0)</f>
        <v>2906.01</v>
      </c>
      <c r="H607" s="294">
        <f t="shared" si="48"/>
        <v>7.0625825209746917E-3</v>
      </c>
      <c r="I607" s="297">
        <f>VLOOKUP(A607,'Dados para Ke Alternativo'!$W:$X,2,0)</f>
        <v>117336</v>
      </c>
      <c r="J607" s="294">
        <f t="shared" si="49"/>
        <v>2.7089617925293297E-3</v>
      </c>
    </row>
    <row r="608" spans="1:10" x14ac:dyDescent="0.3">
      <c r="A608" s="167">
        <v>45090</v>
      </c>
      <c r="B608" s="219">
        <f>VLOOKUP('Ke Alternativo'!A608,'Dados para Ke Alternativo'!$A:$B,2,0)</f>
        <v>34.28</v>
      </c>
      <c r="C608" s="294">
        <f t="shared" si="46"/>
        <v>3.5962526443034104E-2</v>
      </c>
      <c r="D608" s="296">
        <f>VLOOKUP(A608,'Dados para Ke Alternativo'!$P:$Q,2,0)</f>
        <v>4.8621999999999996</v>
      </c>
      <c r="E608" s="296">
        <f t="shared" si="45"/>
        <v>7.0503064456418914</v>
      </c>
      <c r="F608" s="294">
        <f t="shared" si="47"/>
        <v>3.5770768334811853E-2</v>
      </c>
      <c r="G608" s="296">
        <f>VLOOKUP($A608,'Dados para Ke Alternativo'!$I:$J,2,0)</f>
        <v>2929.68</v>
      </c>
      <c r="H608" s="294">
        <f t="shared" si="48"/>
        <v>8.1451887639751863E-3</v>
      </c>
      <c r="I608" s="297">
        <f>VLOOKUP(A608,'Dados para Ke Alternativo'!$W:$X,2,0)</f>
        <v>116743</v>
      </c>
      <c r="J608" s="294">
        <f t="shared" si="49"/>
        <v>-5.0538624122179465E-3</v>
      </c>
    </row>
    <row r="609" spans="1:10" x14ac:dyDescent="0.3">
      <c r="A609" s="168">
        <v>45091</v>
      </c>
      <c r="B609" s="219">
        <f>VLOOKUP('Ke Alternativo'!A609,'Dados para Ke Alternativo'!$A:$B,2,0)</f>
        <v>35.340000000000003</v>
      </c>
      <c r="C609" s="294">
        <f t="shared" si="46"/>
        <v>3.0921820303383862E-2</v>
      </c>
      <c r="D609" s="296">
        <f>VLOOKUP(A609,'Dados para Ke Alternativo'!$P:$Q,2,0)</f>
        <v>4.8146000000000004</v>
      </c>
      <c r="E609" s="296">
        <f t="shared" si="45"/>
        <v>7.3401736385161804</v>
      </c>
      <c r="F609" s="294">
        <f t="shared" si="47"/>
        <v>4.1114126755932512E-2</v>
      </c>
      <c r="G609" s="296">
        <f>VLOOKUP($A609,'Dados para Ke Alternativo'!$I:$J,2,0)</f>
        <v>2939.59</v>
      </c>
      <c r="H609" s="294">
        <f t="shared" si="48"/>
        <v>3.3826219928456691E-3</v>
      </c>
      <c r="I609" s="297">
        <f>VLOOKUP(A609,'Dados para Ke Alternativo'!$W:$X,2,0)</f>
        <v>119069</v>
      </c>
      <c r="J609" s="294">
        <f t="shared" si="49"/>
        <v>1.9924106798694607E-2</v>
      </c>
    </row>
    <row r="610" spans="1:10" x14ac:dyDescent="0.3">
      <c r="A610" s="167">
        <v>45092</v>
      </c>
      <c r="B610" s="219">
        <f>VLOOKUP('Ke Alternativo'!A610,'Dados para Ke Alternativo'!$A:$B,2,0)</f>
        <v>35.54</v>
      </c>
      <c r="C610" s="294">
        <f t="shared" si="46"/>
        <v>5.6593095642329949E-3</v>
      </c>
      <c r="D610" s="296">
        <f>VLOOKUP(A610,'Dados para Ke Alternativo'!$P:$Q,2,0)</f>
        <v>4.8102</v>
      </c>
      <c r="E610" s="296">
        <f t="shared" si="45"/>
        <v>7.3884661760425763</v>
      </c>
      <c r="F610" s="294">
        <f t="shared" si="47"/>
        <v>6.5792091447252066E-3</v>
      </c>
      <c r="G610" s="296">
        <f>VLOOKUP($A610,'Dados para Ke Alternativo'!$I:$J,2,0)</f>
        <v>2966.43</v>
      </c>
      <c r="H610" s="294">
        <f t="shared" si="48"/>
        <v>9.1305250051876286E-3</v>
      </c>
      <c r="I610" s="297">
        <f>VLOOKUP(A610,'Dados para Ke Alternativo'!$W:$X,2,0)</f>
        <v>119221</v>
      </c>
      <c r="J610" s="294">
        <f t="shared" si="49"/>
        <v>1.2765707278972194E-3</v>
      </c>
    </row>
    <row r="611" spans="1:10" x14ac:dyDescent="0.3">
      <c r="A611" s="168">
        <v>45093</v>
      </c>
      <c r="B611" s="219">
        <f>VLOOKUP('Ke Alternativo'!A611,'Dados para Ke Alternativo'!$A:$B,2,0)</f>
        <v>36.21</v>
      </c>
      <c r="C611" s="294">
        <f t="shared" si="46"/>
        <v>1.8851997749015137E-2</v>
      </c>
      <c r="D611" s="296">
        <f>VLOOKUP(A611,'Dados para Ke Alternativo'!$P:$Q,2,0)</f>
        <v>4.8198999999999996</v>
      </c>
      <c r="E611" s="296">
        <f t="shared" si="45"/>
        <v>7.5126039959335262</v>
      </c>
      <c r="F611" s="294">
        <f t="shared" si="47"/>
        <v>1.6801568408538303E-2</v>
      </c>
      <c r="G611" s="296">
        <f>VLOOKUP($A611,'Dados para Ke Alternativo'!$I:$J,2,0)</f>
        <v>2962.34</v>
      </c>
      <c r="H611" s="294">
        <f t="shared" si="48"/>
        <v>-1.3787616764932009E-3</v>
      </c>
      <c r="I611" s="297">
        <f>VLOOKUP(A611,'Dados para Ke Alternativo'!$W:$X,2,0)</f>
        <v>118758</v>
      </c>
      <c r="J611" s="294">
        <f t="shared" si="49"/>
        <v>-3.8835440065089211E-3</v>
      </c>
    </row>
    <row r="612" spans="1:10" x14ac:dyDescent="0.3">
      <c r="A612" s="167">
        <v>45096</v>
      </c>
      <c r="B612" s="219">
        <f>VLOOKUP('Ke Alternativo'!A612,'Dados para Ke Alternativo'!$A:$B,2,0)</f>
        <v>36</v>
      </c>
      <c r="C612" s="294">
        <f t="shared" si="46"/>
        <v>-5.7995028997515075E-3</v>
      </c>
      <c r="D612" s="296">
        <f>VLOOKUP(A612,'Dados para Ke Alternativo'!$P:$Q,2,0)</f>
        <v>4.7771999999999997</v>
      </c>
      <c r="E612" s="296">
        <f t="shared" si="45"/>
        <v>7.5357950263752835</v>
      </c>
      <c r="F612" s="294">
        <f t="shared" si="47"/>
        <v>3.0869496720857814E-3</v>
      </c>
      <c r="G612" s="296">
        <f>VLOOKUP($A612,'Dados para Ke Alternativo'!$I:$J,2,0)</f>
        <v>2955.12</v>
      </c>
      <c r="H612" s="294">
        <f t="shared" si="48"/>
        <v>-2.437262434426879E-3</v>
      </c>
      <c r="I612" s="297">
        <f>VLOOKUP(A612,'Dados para Ke Alternativo'!$W:$X,2,0)</f>
        <v>119858</v>
      </c>
      <c r="J612" s="294">
        <f t="shared" si="49"/>
        <v>9.2625338924534617E-3</v>
      </c>
    </row>
    <row r="613" spans="1:10" x14ac:dyDescent="0.3">
      <c r="A613" s="168">
        <v>45097</v>
      </c>
      <c r="B613" s="219">
        <f>VLOOKUP('Ke Alternativo'!A613,'Dados para Ke Alternativo'!$A:$B,2,0)</f>
        <v>36.1</v>
      </c>
      <c r="C613" s="294">
        <f t="shared" si="46"/>
        <v>2.7777777777777679E-3</v>
      </c>
      <c r="D613" s="296">
        <f>VLOOKUP(A613,'Dados para Ke Alternativo'!$P:$Q,2,0)</f>
        <v>4.7901999999999996</v>
      </c>
      <c r="E613" s="296">
        <f t="shared" si="45"/>
        <v>7.5362197820550296</v>
      </c>
      <c r="F613" s="294">
        <f t="shared" si="47"/>
        <v>5.6365078702214078E-5</v>
      </c>
      <c r="G613" s="296">
        <f>VLOOKUP($A613,'Dados para Ke Alternativo'!$I:$J,2,0)</f>
        <v>2939.54</v>
      </c>
      <c r="H613" s="294">
        <f t="shared" si="48"/>
        <v>-5.2722055280326474E-3</v>
      </c>
      <c r="I613" s="297">
        <f>VLOOKUP(A613,'Dados para Ke Alternativo'!$W:$X,2,0)</f>
        <v>119622</v>
      </c>
      <c r="J613" s="294">
        <f t="shared" si="49"/>
        <v>-1.9689966460311181E-3</v>
      </c>
    </row>
    <row r="614" spans="1:10" x14ac:dyDescent="0.3">
      <c r="A614" s="167">
        <v>45098</v>
      </c>
      <c r="B614" s="219">
        <f>VLOOKUP('Ke Alternativo'!A614,'Dados para Ke Alternativo'!$A:$B,2,0)</f>
        <v>38.61</v>
      </c>
      <c r="C614" s="294">
        <f t="shared" si="46"/>
        <v>6.9529085872576113E-2</v>
      </c>
      <c r="D614" s="296">
        <f>VLOOKUP(A614,'Dados para Ke Alternativo'!$P:$Q,2,0)</f>
        <v>4.7629999999999999</v>
      </c>
      <c r="E614" s="296">
        <f t="shared" si="45"/>
        <v>8.1062355658198619</v>
      </c>
      <c r="F614" s="294">
        <f t="shared" si="47"/>
        <v>7.563683122964826E-2</v>
      </c>
      <c r="G614" s="296">
        <f>VLOOKUP($A614,'Dados para Ke Alternativo'!$I:$J,2,0)</f>
        <v>2927.72</v>
      </c>
      <c r="H614" s="294">
        <f t="shared" si="48"/>
        <v>-4.0210373051566828E-3</v>
      </c>
      <c r="I614" s="297">
        <f>VLOOKUP(A614,'Dados para Ke Alternativo'!$W:$X,2,0)</f>
        <v>120420</v>
      </c>
      <c r="J614" s="294">
        <f t="shared" si="49"/>
        <v>6.6710136931333874E-3</v>
      </c>
    </row>
    <row r="615" spans="1:10" x14ac:dyDescent="0.3">
      <c r="A615" s="168">
        <v>45099</v>
      </c>
      <c r="B615" s="219">
        <f>VLOOKUP('Ke Alternativo'!A615,'Dados para Ke Alternativo'!$A:$B,2,0)</f>
        <v>38.24</v>
      </c>
      <c r="C615" s="294">
        <f t="shared" si="46"/>
        <v>-9.5830095830095052E-3</v>
      </c>
      <c r="D615" s="296">
        <f>VLOOKUP(A615,'Dados para Ke Alternativo'!$P:$Q,2,0)</f>
        <v>4.7689000000000004</v>
      </c>
      <c r="E615" s="296">
        <f t="shared" si="45"/>
        <v>8.0186206462706284</v>
      </c>
      <c r="F615" s="294">
        <f t="shared" si="47"/>
        <v>-1.0808336229292892E-2</v>
      </c>
      <c r="G615" s="296">
        <f>VLOOKUP($A615,'Dados para Ke Alternativo'!$I:$J,2,0)</f>
        <v>2930.37</v>
      </c>
      <c r="H615" s="294">
        <f t="shared" si="48"/>
        <v>9.0514120202755954E-4</v>
      </c>
      <c r="I615" s="297">
        <f>VLOOKUP(A615,'Dados para Ke Alternativo'!$W:$X,2,0)</f>
        <v>118934</v>
      </c>
      <c r="J615" s="294">
        <f t="shared" si="49"/>
        <v>-1.2340142833416334E-2</v>
      </c>
    </row>
    <row r="616" spans="1:10" x14ac:dyDescent="0.3">
      <c r="A616" s="167">
        <v>45100</v>
      </c>
      <c r="B616" s="219">
        <f>VLOOKUP('Ke Alternativo'!A616,'Dados para Ke Alternativo'!$A:$B,2,0)</f>
        <v>38.15</v>
      </c>
      <c r="C616" s="294">
        <f t="shared" si="46"/>
        <v>-2.3535564853557345E-3</v>
      </c>
      <c r="D616" s="296">
        <f>VLOOKUP(A616,'Dados para Ke Alternativo'!$P:$Q,2,0)</f>
        <v>4.7864000000000004</v>
      </c>
      <c r="E616" s="296">
        <f t="shared" si="45"/>
        <v>7.9704997492896528</v>
      </c>
      <c r="F616" s="294">
        <f t="shared" si="47"/>
        <v>-6.0011439752242213E-3</v>
      </c>
      <c r="G616" s="296">
        <f>VLOOKUP($A616,'Dados para Ke Alternativo'!$I:$J,2,0)</f>
        <v>2902.34</v>
      </c>
      <c r="H616" s="294">
        <f t="shared" si="48"/>
        <v>-9.5653449905642729E-3</v>
      </c>
      <c r="I616" s="297">
        <f>VLOOKUP(A616,'Dados para Ke Alternativo'!$W:$X,2,0)</f>
        <v>118977</v>
      </c>
      <c r="J616" s="294">
        <f t="shared" si="49"/>
        <v>3.6154505860386266E-4</v>
      </c>
    </row>
    <row r="617" spans="1:10" x14ac:dyDescent="0.3">
      <c r="A617" s="168">
        <v>45103</v>
      </c>
      <c r="B617" s="219">
        <f>VLOOKUP('Ke Alternativo'!A617,'Dados para Ke Alternativo'!$A:$B,2,0)</f>
        <v>36.979999999999997</v>
      </c>
      <c r="C617" s="294">
        <f t="shared" si="46"/>
        <v>-3.0668414154652712E-2</v>
      </c>
      <c r="D617" s="296">
        <f>VLOOKUP(A617,'Dados para Ke Alternativo'!$P:$Q,2,0)</f>
        <v>4.7675000000000001</v>
      </c>
      <c r="E617" s="296">
        <f t="shared" si="45"/>
        <v>7.7566858940744616</v>
      </c>
      <c r="F617" s="294">
        <f t="shared" si="47"/>
        <v>-2.6825652335569883E-2</v>
      </c>
      <c r="G617" s="296">
        <f>VLOOKUP($A617,'Dados para Ke Alternativo'!$I:$J,2,0)</f>
        <v>2894.93</v>
      </c>
      <c r="H617" s="294">
        <f t="shared" si="48"/>
        <v>-2.5531123162690905E-3</v>
      </c>
      <c r="I617" s="297">
        <f>VLOOKUP(A617,'Dados para Ke Alternativo'!$W:$X,2,0)</f>
        <v>118243</v>
      </c>
      <c r="J617" s="294">
        <f t="shared" si="49"/>
        <v>-6.1692596047975279E-3</v>
      </c>
    </row>
    <row r="618" spans="1:10" x14ac:dyDescent="0.3">
      <c r="A618" s="167">
        <v>45104</v>
      </c>
      <c r="B618" s="219">
        <f>VLOOKUP('Ke Alternativo'!A618,'Dados para Ke Alternativo'!$A:$B,2,0)</f>
        <v>35.74</v>
      </c>
      <c r="C618" s="294">
        <f t="shared" si="46"/>
        <v>-3.3531638723634294E-2</v>
      </c>
      <c r="D618" s="296">
        <f>VLOOKUP(A618,'Dados para Ke Alternativo'!$P:$Q,2,0)</f>
        <v>4.8102999999999998</v>
      </c>
      <c r="E618" s="296">
        <f t="shared" si="45"/>
        <v>7.4298900276490043</v>
      </c>
      <c r="F618" s="294">
        <f t="shared" si="47"/>
        <v>-4.2130862444114903E-2</v>
      </c>
      <c r="G618" s="296">
        <f>VLOOKUP($A618,'Dados para Ke Alternativo'!$I:$J,2,0)</f>
        <v>2921.19</v>
      </c>
      <c r="H618" s="294">
        <f t="shared" si="48"/>
        <v>9.0710310784718473E-3</v>
      </c>
      <c r="I618" s="297">
        <f>VLOOKUP(A618,'Dados para Ke Alternativo'!$W:$X,2,0)</f>
        <v>117523</v>
      </c>
      <c r="J618" s="294">
        <f t="shared" si="49"/>
        <v>-6.0891553834053758E-3</v>
      </c>
    </row>
    <row r="619" spans="1:10" x14ac:dyDescent="0.3">
      <c r="A619" s="168">
        <v>45105</v>
      </c>
      <c r="B619" s="219">
        <f>VLOOKUP('Ke Alternativo'!A619,'Dados para Ke Alternativo'!$A:$B,2,0)</f>
        <v>36.08</v>
      </c>
      <c r="C619" s="294">
        <f t="shared" si="46"/>
        <v>9.5131505316170539E-3</v>
      </c>
      <c r="D619" s="296">
        <f>VLOOKUP(A619,'Dados para Ke Alternativo'!$P:$Q,2,0)</f>
        <v>4.8506</v>
      </c>
      <c r="E619" s="296">
        <f t="shared" si="45"/>
        <v>7.4382550612295386</v>
      </c>
      <c r="F619" s="294">
        <f t="shared" si="47"/>
        <v>1.125862368003494E-3</v>
      </c>
      <c r="G619" s="296">
        <f>VLOOKUP($A619,'Dados para Ke Alternativo'!$I:$J,2,0)</f>
        <v>2924.92</v>
      </c>
      <c r="H619" s="294">
        <f t="shared" si="48"/>
        <v>1.2768768892130744E-3</v>
      </c>
      <c r="I619" s="297">
        <f>VLOOKUP(A619,'Dados para Ke Alternativo'!$W:$X,2,0)</f>
        <v>116681</v>
      </c>
      <c r="J619" s="294">
        <f t="shared" si="49"/>
        <v>-7.1645550232720678E-3</v>
      </c>
    </row>
    <row r="620" spans="1:10" x14ac:dyDescent="0.3">
      <c r="A620" s="167">
        <v>45106</v>
      </c>
      <c r="B620" s="219">
        <f>VLOOKUP('Ke Alternativo'!A620,'Dados para Ke Alternativo'!$A:$B,2,0)</f>
        <v>36.229999999999997</v>
      </c>
      <c r="C620" s="294">
        <f t="shared" si="46"/>
        <v>4.1574279379157364E-3</v>
      </c>
      <c r="D620" s="296">
        <f>VLOOKUP(A620,'Dados para Ke Alternativo'!$P:$Q,2,0)</f>
        <v>4.8552999999999997</v>
      </c>
      <c r="E620" s="296">
        <f t="shared" si="45"/>
        <v>7.4619487982205008</v>
      </c>
      <c r="F620" s="294">
        <f t="shared" si="47"/>
        <v>3.1853891532251932E-3</v>
      </c>
      <c r="G620" s="296">
        <f>VLOOKUP($A620,'Dados para Ke Alternativo'!$I:$J,2,0)</f>
        <v>2933.86</v>
      </c>
      <c r="H620" s="294">
        <f t="shared" si="48"/>
        <v>3.0564938528232499E-3</v>
      </c>
      <c r="I620" s="297">
        <f>VLOOKUP(A620,'Dados para Ke Alternativo'!$W:$X,2,0)</f>
        <v>118383</v>
      </c>
      <c r="J620" s="294">
        <f t="shared" si="49"/>
        <v>1.4586779338538358E-2</v>
      </c>
    </row>
    <row r="621" spans="1:10" x14ac:dyDescent="0.3">
      <c r="A621" s="168">
        <v>45107</v>
      </c>
      <c r="B621" s="219">
        <f>VLOOKUP('Ke Alternativo'!A621,'Dados para Ke Alternativo'!$A:$B,2,0)</f>
        <v>37.020000000000003</v>
      </c>
      <c r="C621" s="294">
        <f t="shared" si="46"/>
        <v>2.1805133866961146E-2</v>
      </c>
      <c r="D621" s="296">
        <f>VLOOKUP(A621,'Dados para Ke Alternativo'!$P:$Q,2,0)</f>
        <v>4.7859999999999996</v>
      </c>
      <c r="E621" s="296">
        <f t="shared" si="45"/>
        <v>7.7350605933974101</v>
      </c>
      <c r="F621" s="294">
        <f t="shared" si="47"/>
        <v>3.66005989269238E-2</v>
      </c>
      <c r="G621" s="296">
        <f>VLOOKUP($A621,'Dados para Ke Alternativo'!$I:$J,2,0)</f>
        <v>2966.72</v>
      </c>
      <c r="H621" s="294">
        <f t="shared" si="48"/>
        <v>1.1200261771181941E-2</v>
      </c>
      <c r="I621" s="297">
        <f>VLOOKUP(A621,'Dados para Ke Alternativo'!$W:$X,2,0)</f>
        <v>118087</v>
      </c>
      <c r="J621" s="294">
        <f t="shared" si="49"/>
        <v>-2.5003590042489421E-3</v>
      </c>
    </row>
    <row r="622" spans="1:10" x14ac:dyDescent="0.3">
      <c r="A622" s="167">
        <v>45110</v>
      </c>
      <c r="B622" s="219">
        <f>VLOOKUP('Ke Alternativo'!A622,'Dados para Ke Alternativo'!$A:$B,2,0)</f>
        <v>37.36</v>
      </c>
      <c r="C622" s="294">
        <f t="shared" si="46"/>
        <v>9.1842247433817636E-3</v>
      </c>
      <c r="D622" s="296">
        <f>VLOOKUP(A622,'Dados para Ke Alternativo'!$P:$Q,2,0)</f>
        <v>4.8076999999999996</v>
      </c>
      <c r="E622" s="296">
        <f t="shared" si="45"/>
        <v>7.7708675666118943</v>
      </c>
      <c r="F622" s="294">
        <f t="shared" si="47"/>
        <v>4.6291781146547972E-3</v>
      </c>
      <c r="G622" s="296">
        <f>VLOOKUP($A622,'Dados para Ke Alternativo'!$I:$J,2,0)</f>
        <v>2972.03</v>
      </c>
      <c r="H622" s="294">
        <f t="shared" si="48"/>
        <v>1.7898554632727048E-3</v>
      </c>
      <c r="I622" s="297">
        <f>VLOOKUP(A622,'Dados para Ke Alternativo'!$W:$X,2,0)</f>
        <v>119673</v>
      </c>
      <c r="J622" s="294">
        <f t="shared" si="49"/>
        <v>1.3430775614589274E-2</v>
      </c>
    </row>
    <row r="623" spans="1:10" x14ac:dyDescent="0.3">
      <c r="A623" s="168">
        <v>45111</v>
      </c>
      <c r="B623" s="219">
        <f>VLOOKUP('Ke Alternativo'!A623,'Dados para Ke Alternativo'!$A:$B,2,0)</f>
        <v>37.979999999999997</v>
      </c>
      <c r="C623" s="294">
        <f t="shared" si="46"/>
        <v>1.6595289079229136E-2</v>
      </c>
      <c r="D623" s="296">
        <f>VLOOKUP(A623,'Dados para Ke Alternativo'!$P:$Q,2,0)</f>
        <v>4.8407999999999998</v>
      </c>
      <c r="E623" s="296">
        <f t="shared" si="45"/>
        <v>7.8458106098165592</v>
      </c>
      <c r="F623" s="294">
        <f t="shared" si="47"/>
        <v>9.644102484343442E-3</v>
      </c>
      <c r="G623" s="296">
        <f>VLOOKUP($A623,'Dados para Ke Alternativo'!$I:$J,2,0)</f>
        <v>2971.7</v>
      </c>
      <c r="H623" s="294">
        <f t="shared" si="48"/>
        <v>-1.1103521835253982E-4</v>
      </c>
      <c r="I623" s="297">
        <f>VLOOKUP(A623,'Dados para Ke Alternativo'!$W:$X,2,0)</f>
        <v>119076</v>
      </c>
      <c r="J623" s="294">
        <f t="shared" si="49"/>
        <v>-4.9885939184277639E-3</v>
      </c>
    </row>
    <row r="624" spans="1:10" x14ac:dyDescent="0.3">
      <c r="A624" s="167">
        <v>45112</v>
      </c>
      <c r="B624" s="219">
        <f>VLOOKUP('Ke Alternativo'!A624,'Dados para Ke Alternativo'!$A:$B,2,0)</f>
        <v>38.56</v>
      </c>
      <c r="C624" s="294">
        <f t="shared" si="46"/>
        <v>1.5271195365982315E-2</v>
      </c>
      <c r="D624" s="296">
        <f>VLOOKUP(A624,'Dados para Ke Alternativo'!$P:$Q,2,0)</f>
        <v>4.8478000000000003</v>
      </c>
      <c r="E624" s="296">
        <f t="shared" si="45"/>
        <v>7.954123519947192</v>
      </c>
      <c r="F624" s="294">
        <f t="shared" si="47"/>
        <v>1.3805190504485809E-2</v>
      </c>
      <c r="G624" s="296">
        <f>VLOOKUP($A624,'Dados para Ke Alternativo'!$I:$J,2,0)</f>
        <v>2960.76</v>
      </c>
      <c r="H624" s="294">
        <f t="shared" si="48"/>
        <v>-3.68139448800342E-3</v>
      </c>
      <c r="I624" s="297">
        <f>VLOOKUP(A624,'Dados para Ke Alternativo'!$W:$X,2,0)</f>
        <v>119549</v>
      </c>
      <c r="J624" s="294">
        <f t="shared" si="49"/>
        <v>3.9722530148813551E-3</v>
      </c>
    </row>
    <row r="625" spans="1:10" x14ac:dyDescent="0.3">
      <c r="A625" s="168">
        <v>45113</v>
      </c>
      <c r="B625" s="219">
        <f>VLOOKUP('Ke Alternativo'!A625,'Dados para Ke Alternativo'!$A:$B,2,0)</f>
        <v>38.090000000000003</v>
      </c>
      <c r="C625" s="294">
        <f t="shared" si="46"/>
        <v>-1.2188796680497882E-2</v>
      </c>
      <c r="D625" s="296">
        <f>VLOOKUP(A625,'Dados para Ke Alternativo'!$P:$Q,2,0)</f>
        <v>4.9192999999999998</v>
      </c>
      <c r="E625" s="296">
        <f t="shared" si="45"/>
        <v>7.7429715609944516</v>
      </c>
      <c r="F625" s="294">
        <f t="shared" si="47"/>
        <v>-2.6546225793856237E-2</v>
      </c>
      <c r="G625" s="296">
        <f>VLOOKUP($A625,'Dados para Ke Alternativo'!$I:$J,2,0)</f>
        <v>2924.55</v>
      </c>
      <c r="H625" s="294">
        <f t="shared" si="48"/>
        <v>-1.2229967981194023E-2</v>
      </c>
      <c r="I625" s="297">
        <f>VLOOKUP(A625,'Dados para Ke Alternativo'!$W:$X,2,0)</f>
        <v>117426</v>
      </c>
      <c r="J625" s="294">
        <f t="shared" si="49"/>
        <v>-1.7758408685978111E-2</v>
      </c>
    </row>
    <row r="626" spans="1:10" x14ac:dyDescent="0.3">
      <c r="A626" s="167">
        <v>45114</v>
      </c>
      <c r="B626" s="219">
        <f>VLOOKUP('Ke Alternativo'!A626,'Dados para Ke Alternativo'!$A:$B,2,0)</f>
        <v>39.29</v>
      </c>
      <c r="C626" s="294">
        <f t="shared" si="46"/>
        <v>3.150433184562873E-2</v>
      </c>
      <c r="D626" s="296">
        <f>VLOOKUP(A626,'Dados para Ke Alternativo'!$P:$Q,2,0)</f>
        <v>4.8719999999999999</v>
      </c>
      <c r="E626" s="296">
        <f t="shared" si="45"/>
        <v>8.0644499178981945</v>
      </c>
      <c r="F626" s="294">
        <f t="shared" si="47"/>
        <v>4.1518731454885272E-2</v>
      </c>
      <c r="G626" s="296">
        <f>VLOOKUP($A626,'Dados para Ke Alternativo'!$I:$J,2,0)</f>
        <v>2924.19</v>
      </c>
      <c r="H626" s="294">
        <f t="shared" si="48"/>
        <v>-1.2309586090175628E-4</v>
      </c>
      <c r="I626" s="297">
        <f>VLOOKUP(A626,'Dados para Ke Alternativo'!$W:$X,2,0)</f>
        <v>118898</v>
      </c>
      <c r="J626" s="294">
        <f t="shared" si="49"/>
        <v>1.2535554306541963E-2</v>
      </c>
    </row>
    <row r="627" spans="1:10" x14ac:dyDescent="0.3">
      <c r="A627" s="168">
        <v>45117</v>
      </c>
      <c r="B627" s="219">
        <f>VLOOKUP('Ke Alternativo'!A627,'Dados para Ke Alternativo'!$A:$B,2,0)</f>
        <v>39.43</v>
      </c>
      <c r="C627" s="294">
        <f t="shared" si="46"/>
        <v>3.5632476457114759E-3</v>
      </c>
      <c r="D627" s="296">
        <f>VLOOKUP(A627,'Dados para Ke Alternativo'!$P:$Q,2,0)</f>
        <v>4.8978000000000002</v>
      </c>
      <c r="E627" s="296">
        <f t="shared" si="45"/>
        <v>8.0505533096492297</v>
      </c>
      <c r="F627" s="294">
        <f t="shared" si="47"/>
        <v>-1.7231935706021329E-3</v>
      </c>
      <c r="G627" s="296">
        <f>VLOOKUP($A627,'Dados para Ke Alternativo'!$I:$J,2,0)</f>
        <v>2931.05</v>
      </c>
      <c r="H627" s="294">
        <f t="shared" si="48"/>
        <v>2.3459487926571487E-3</v>
      </c>
      <c r="I627" s="297">
        <f>VLOOKUP(A627,'Dados para Ke Alternativo'!$W:$X,2,0)</f>
        <v>117942</v>
      </c>
      <c r="J627" s="294">
        <f t="shared" si="49"/>
        <v>-8.0405053070699006E-3</v>
      </c>
    </row>
    <row r="628" spans="1:10" x14ac:dyDescent="0.3">
      <c r="A628" s="167">
        <v>45118</v>
      </c>
      <c r="B628" s="219">
        <f>VLOOKUP('Ke Alternativo'!A628,'Dados para Ke Alternativo'!$A:$B,2,0)</f>
        <v>40.630000000000003</v>
      </c>
      <c r="C628" s="294">
        <f t="shared" si="46"/>
        <v>3.0433679939132707E-2</v>
      </c>
      <c r="D628" s="296">
        <f>VLOOKUP(A628,'Dados para Ke Alternativo'!$P:$Q,2,0)</f>
        <v>4.8537999999999997</v>
      </c>
      <c r="E628" s="296">
        <f t="shared" si="45"/>
        <v>8.3707610531954355</v>
      </c>
      <c r="F628" s="294">
        <f t="shared" si="47"/>
        <v>3.9774625572929434E-2</v>
      </c>
      <c r="G628" s="296">
        <f>VLOOKUP($A628,'Dados para Ke Alternativo'!$I:$J,2,0)</f>
        <v>2953.12</v>
      </c>
      <c r="H628" s="294">
        <f t="shared" si="48"/>
        <v>7.5297248426331453E-3</v>
      </c>
      <c r="I628" s="297">
        <f>VLOOKUP(A628,'Dados para Ke Alternativo'!$W:$X,2,0)</f>
        <v>117556</v>
      </c>
      <c r="J628" s="294">
        <f t="shared" si="49"/>
        <v>-3.2727951026776392E-3</v>
      </c>
    </row>
    <row r="629" spans="1:10" x14ac:dyDescent="0.3">
      <c r="A629" s="168">
        <v>45119</v>
      </c>
      <c r="B629" s="219">
        <f>VLOOKUP('Ke Alternativo'!A629,'Dados para Ke Alternativo'!$A:$B,2,0)</f>
        <v>41.48</v>
      </c>
      <c r="C629" s="294">
        <f t="shared" si="46"/>
        <v>2.0920502092049986E-2</v>
      </c>
      <c r="D629" s="296">
        <f>VLOOKUP(A629,'Dados para Ke Alternativo'!$P:$Q,2,0)</f>
        <v>4.8183999999999996</v>
      </c>
      <c r="E629" s="296">
        <f t="shared" si="45"/>
        <v>8.6086667773534788</v>
      </c>
      <c r="F629" s="294">
        <f t="shared" si="47"/>
        <v>2.8421038737836746E-2</v>
      </c>
      <c r="G629" s="296">
        <f>VLOOKUP($A629,'Dados para Ke Alternativo'!$I:$J,2,0)</f>
        <v>2987.19</v>
      </c>
      <c r="H629" s="294">
        <f t="shared" si="48"/>
        <v>1.1536950750392849E-2</v>
      </c>
      <c r="I629" s="297">
        <f>VLOOKUP(A629,'Dados para Ke Alternativo'!$W:$X,2,0)</f>
        <v>117666</v>
      </c>
      <c r="J629" s="294">
        <f t="shared" si="49"/>
        <v>9.357242505698693E-4</v>
      </c>
    </row>
    <row r="630" spans="1:10" x14ac:dyDescent="0.3">
      <c r="A630" s="167">
        <v>45120</v>
      </c>
      <c r="B630" s="219">
        <f>VLOOKUP('Ke Alternativo'!A630,'Dados para Ke Alternativo'!$A:$B,2,0)</f>
        <v>42.82</v>
      </c>
      <c r="C630" s="294">
        <f t="shared" si="46"/>
        <v>3.2304725168756043E-2</v>
      </c>
      <c r="D630" s="296">
        <f>VLOOKUP(A630,'Dados para Ke Alternativo'!$P:$Q,2,0)</f>
        <v>4.7971000000000004</v>
      </c>
      <c r="E630" s="296">
        <f t="shared" si="45"/>
        <v>8.9262262616997763</v>
      </c>
      <c r="F630" s="294">
        <f t="shared" si="47"/>
        <v>3.6888346658008775E-2</v>
      </c>
      <c r="G630" s="296">
        <f>VLOOKUP($A630,'Dados para Ke Alternativo'!$I:$J,2,0)</f>
        <v>3019.71</v>
      </c>
      <c r="H630" s="294">
        <f t="shared" si="48"/>
        <v>1.0886485292197712E-2</v>
      </c>
      <c r="I630" s="297">
        <f>VLOOKUP(A630,'Dados para Ke Alternativo'!$W:$X,2,0)</f>
        <v>119264</v>
      </c>
      <c r="J630" s="294">
        <f t="shared" si="49"/>
        <v>1.3580813489028287E-2</v>
      </c>
    </row>
    <row r="631" spans="1:10" x14ac:dyDescent="0.3">
      <c r="A631" s="168">
        <v>45121</v>
      </c>
      <c r="B631" s="219">
        <f>VLOOKUP('Ke Alternativo'!A631,'Dados para Ke Alternativo'!$A:$B,2,0)</f>
        <v>41.45</v>
      </c>
      <c r="C631" s="294">
        <f t="shared" si="46"/>
        <v>-3.1994395142456722E-2</v>
      </c>
      <c r="D631" s="296">
        <f>VLOOKUP(A631,'Dados para Ke Alternativo'!$P:$Q,2,0)</f>
        <v>4.7893999999999997</v>
      </c>
      <c r="E631" s="296">
        <f t="shared" si="45"/>
        <v>8.6545287509917745</v>
      </c>
      <c r="F631" s="294">
        <f t="shared" si="47"/>
        <v>-3.0438116034968599E-2</v>
      </c>
      <c r="G631" s="296">
        <f>VLOOKUP($A631,'Dados para Ke Alternativo'!$I:$J,2,0)</f>
        <v>3017.94</v>
      </c>
      <c r="H631" s="294">
        <f t="shared" si="48"/>
        <v>-5.8614900106301882E-4</v>
      </c>
      <c r="I631" s="297">
        <f>VLOOKUP(A631,'Dados para Ke Alternativo'!$W:$X,2,0)</f>
        <v>117711</v>
      </c>
      <c r="J631" s="294">
        <f t="shared" si="49"/>
        <v>-1.3021532063321684E-2</v>
      </c>
    </row>
    <row r="632" spans="1:10" x14ac:dyDescent="0.3">
      <c r="A632" s="167">
        <v>45124</v>
      </c>
      <c r="B632" s="219">
        <f>VLOOKUP('Ke Alternativo'!A632,'Dados para Ke Alternativo'!$A:$B,2,0)</f>
        <v>41.92</v>
      </c>
      <c r="C632" s="294">
        <f t="shared" si="46"/>
        <v>1.1338962605548897E-2</v>
      </c>
      <c r="D632" s="296">
        <f>VLOOKUP(A632,'Dados para Ke Alternativo'!$P:$Q,2,0)</f>
        <v>4.8066000000000004</v>
      </c>
      <c r="E632" s="296">
        <f t="shared" si="45"/>
        <v>8.7213414887862513</v>
      </c>
      <c r="F632" s="294">
        <f t="shared" si="47"/>
        <v>7.719974098742366E-3</v>
      </c>
      <c r="G632" s="296">
        <f>VLOOKUP($A632,'Dados para Ke Alternativo'!$I:$J,2,0)</f>
        <v>3021.96</v>
      </c>
      <c r="H632" s="294">
        <f t="shared" si="48"/>
        <v>1.3320344340841395E-3</v>
      </c>
      <c r="I632" s="297">
        <f>VLOOKUP(A632,'Dados para Ke Alternativo'!$W:$X,2,0)</f>
        <v>118219</v>
      </c>
      <c r="J632" s="294">
        <f t="shared" si="49"/>
        <v>4.3156544418108123E-3</v>
      </c>
    </row>
    <row r="633" spans="1:10" x14ac:dyDescent="0.3">
      <c r="A633" s="168">
        <v>45125</v>
      </c>
      <c r="B633" s="219">
        <f>VLOOKUP('Ke Alternativo'!A633,'Dados para Ke Alternativo'!$A:$B,2,0)</f>
        <v>43.11</v>
      </c>
      <c r="C633" s="294">
        <f t="shared" si="46"/>
        <v>2.8387404580152653E-2</v>
      </c>
      <c r="D633" s="296">
        <f>VLOOKUP(A633,'Dados para Ke Alternativo'!$P:$Q,2,0)</f>
        <v>4.8105000000000002</v>
      </c>
      <c r="E633" s="296">
        <f t="shared" si="45"/>
        <v>8.961646398503273</v>
      </c>
      <c r="F633" s="294">
        <f t="shared" si="47"/>
        <v>2.7553663622276625E-2</v>
      </c>
      <c r="G633" s="296">
        <f>VLOOKUP($A633,'Dados para Ke Alternativo'!$I:$J,2,0)</f>
        <v>3042.53</v>
      </c>
      <c r="H633" s="294">
        <f t="shared" si="48"/>
        <v>6.806840593522212E-3</v>
      </c>
      <c r="I633" s="297">
        <f>VLOOKUP(A633,'Dados para Ke Alternativo'!$W:$X,2,0)</f>
        <v>117841</v>
      </c>
      <c r="J633" s="294">
        <f t="shared" si="49"/>
        <v>-3.1974555697477092E-3</v>
      </c>
    </row>
    <row r="634" spans="1:10" x14ac:dyDescent="0.3">
      <c r="A634" s="167">
        <v>45126</v>
      </c>
      <c r="B634" s="219">
        <f>VLOOKUP('Ke Alternativo'!A634,'Dados para Ke Alternativo'!$A:$B,2,0)</f>
        <v>44.07</v>
      </c>
      <c r="C634" s="294">
        <f t="shared" si="46"/>
        <v>2.2268615170494055E-2</v>
      </c>
      <c r="D634" s="296">
        <f>VLOOKUP(A634,'Dados para Ke Alternativo'!$P:$Q,2,0)</f>
        <v>4.7908999999999997</v>
      </c>
      <c r="E634" s="296">
        <f t="shared" si="45"/>
        <v>9.1986891815733998</v>
      </c>
      <c r="F634" s="294">
        <f t="shared" si="47"/>
        <v>2.6450807421916966E-2</v>
      </c>
      <c r="G634" s="296">
        <f>VLOOKUP($A634,'Dados para Ke Alternativo'!$I:$J,2,0)</f>
        <v>3047.99</v>
      </c>
      <c r="H634" s="294">
        <f t="shared" si="48"/>
        <v>1.7945591333528021E-3</v>
      </c>
      <c r="I634" s="297">
        <f>VLOOKUP(A634,'Dados para Ke Alternativo'!$W:$X,2,0)</f>
        <v>117552</v>
      </c>
      <c r="J634" s="294">
        <f t="shared" si="49"/>
        <v>-2.4524571244304294E-3</v>
      </c>
    </row>
    <row r="635" spans="1:10" x14ac:dyDescent="0.3">
      <c r="A635" s="168">
        <v>45127</v>
      </c>
      <c r="B635" s="219">
        <f>VLOOKUP('Ke Alternativo'!A635,'Dados para Ke Alternativo'!$A:$B,2,0)</f>
        <v>44.13</v>
      </c>
      <c r="C635" s="294">
        <f t="shared" si="46"/>
        <v>1.3614703880191481E-3</v>
      </c>
      <c r="D635" s="296">
        <f>VLOOKUP(A635,'Dados para Ke Alternativo'!$P:$Q,2,0)</f>
        <v>4.798</v>
      </c>
      <c r="E635" s="296">
        <f t="shared" si="45"/>
        <v>9.1975823259691545</v>
      </c>
      <c r="F635" s="294">
        <f t="shared" si="47"/>
        <v>-1.2032753606483482E-4</v>
      </c>
      <c r="G635" s="296">
        <f>VLOOKUP($A635,'Dados para Ke Alternativo'!$I:$J,2,0)</f>
        <v>3029.7</v>
      </c>
      <c r="H635" s="294">
        <f t="shared" si="48"/>
        <v>-6.000675855235782E-3</v>
      </c>
      <c r="I635" s="297">
        <f>VLOOKUP(A635,'Dados para Ke Alternativo'!$W:$X,2,0)</f>
        <v>118083</v>
      </c>
      <c r="J635" s="294">
        <f t="shared" si="49"/>
        <v>4.5171498570846236E-3</v>
      </c>
    </row>
    <row r="636" spans="1:10" x14ac:dyDescent="0.3">
      <c r="A636" s="167">
        <v>45128</v>
      </c>
      <c r="B636" s="219">
        <f>VLOOKUP('Ke Alternativo'!A636,'Dados para Ke Alternativo'!$A:$B,2,0)</f>
        <v>45.1</v>
      </c>
      <c r="C636" s="294">
        <f t="shared" si="46"/>
        <v>2.1980512123272122E-2</v>
      </c>
      <c r="D636" s="296">
        <f>VLOOKUP(A636,'Dados para Ke Alternativo'!$P:$Q,2,0)</f>
        <v>4.7794999999999996</v>
      </c>
      <c r="E636" s="296">
        <f t="shared" si="45"/>
        <v>9.4361334867663995</v>
      </c>
      <c r="F636" s="294">
        <f t="shared" si="47"/>
        <v>2.5936289814302738E-2</v>
      </c>
      <c r="G636" s="296">
        <f>VLOOKUP($A636,'Dados para Ke Alternativo'!$I:$J,2,0)</f>
        <v>3028.71</v>
      </c>
      <c r="H636" s="294">
        <f t="shared" si="48"/>
        <v>-3.2676502624018333E-4</v>
      </c>
      <c r="I636" s="297">
        <f>VLOOKUP(A636,'Dados para Ke Alternativo'!$W:$X,2,0)</f>
        <v>120217</v>
      </c>
      <c r="J636" s="294">
        <f t="shared" si="49"/>
        <v>1.8072034077724952E-2</v>
      </c>
    </row>
    <row r="637" spans="1:10" x14ac:dyDescent="0.3">
      <c r="A637" s="168">
        <v>45131</v>
      </c>
      <c r="B637" s="219">
        <f>VLOOKUP('Ke Alternativo'!A637,'Dados para Ke Alternativo'!$A:$B,2,0)</f>
        <v>46.1</v>
      </c>
      <c r="C637" s="294">
        <f t="shared" si="46"/>
        <v>2.2172949002217335E-2</v>
      </c>
      <c r="D637" s="296">
        <f>VLOOKUP(A637,'Dados para Ke Alternativo'!$P:$Q,2,0)</f>
        <v>4.7271000000000001</v>
      </c>
      <c r="E637" s="296">
        <f t="shared" si="45"/>
        <v>9.7522794102092192</v>
      </c>
      <c r="F637" s="294">
        <f t="shared" si="47"/>
        <v>3.3503757008757296E-2</v>
      </c>
      <c r="G637" s="296">
        <f>VLOOKUP($A637,'Dados para Ke Alternativo'!$I:$J,2,0)</f>
        <v>3037.44</v>
      </c>
      <c r="H637" s="294">
        <f t="shared" si="48"/>
        <v>2.8824152857156449E-3</v>
      </c>
      <c r="I637" s="297">
        <f>VLOOKUP(A637,'Dados para Ke Alternativo'!$W:$X,2,0)</f>
        <v>121342</v>
      </c>
      <c r="J637" s="294">
        <f t="shared" si="49"/>
        <v>9.3580774765631425E-3</v>
      </c>
    </row>
    <row r="638" spans="1:10" x14ac:dyDescent="0.3">
      <c r="A638" s="167">
        <v>45132</v>
      </c>
      <c r="B638" s="219">
        <f>VLOOKUP('Ke Alternativo'!A638,'Dados para Ke Alternativo'!$A:$B,2,0)</f>
        <v>44.89</v>
      </c>
      <c r="C638" s="294">
        <f t="shared" si="46"/>
        <v>-2.6247288503253863E-2</v>
      </c>
      <c r="D638" s="296">
        <f>VLOOKUP(A638,'Dados para Ke Alternativo'!$P:$Q,2,0)</f>
        <v>4.7497999999999996</v>
      </c>
      <c r="E638" s="296">
        <f t="shared" si="45"/>
        <v>9.4509242494420835</v>
      </c>
      <c r="F638" s="294">
        <f t="shared" si="47"/>
        <v>-3.0900997406991926E-2</v>
      </c>
      <c r="G638" s="296">
        <f>VLOOKUP($A638,'Dados para Ke Alternativo'!$I:$J,2,0)</f>
        <v>3045.39</v>
      </c>
      <c r="H638" s="294">
        <f t="shared" si="48"/>
        <v>2.6173356510745815E-3</v>
      </c>
      <c r="I638" s="297">
        <f>VLOOKUP(A638,'Dados para Ke Alternativo'!$W:$X,2,0)</f>
        <v>122008</v>
      </c>
      <c r="J638" s="294">
        <f t="shared" si="49"/>
        <v>5.4886189448006828E-3</v>
      </c>
    </row>
    <row r="639" spans="1:10" x14ac:dyDescent="0.3">
      <c r="A639" s="168">
        <v>45133</v>
      </c>
      <c r="B639" s="219">
        <f>VLOOKUP('Ke Alternativo'!A639,'Dados para Ke Alternativo'!$A:$B,2,0)</f>
        <v>45.52</v>
      </c>
      <c r="C639" s="294">
        <f t="shared" si="46"/>
        <v>1.4034306081532666E-2</v>
      </c>
      <c r="D639" s="296">
        <f>VLOOKUP(A639,'Dados para Ke Alternativo'!$P:$Q,2,0)</f>
        <v>4.7363999999999997</v>
      </c>
      <c r="E639" s="296">
        <f t="shared" si="45"/>
        <v>9.6106747740900271</v>
      </c>
      <c r="F639" s="294">
        <f t="shared" si="47"/>
        <v>1.6903164223051936E-2</v>
      </c>
      <c r="G639" s="296">
        <f>VLOOKUP($A639,'Dados para Ke Alternativo'!$I:$J,2,0)</f>
        <v>3044.7</v>
      </c>
      <c r="H639" s="294">
        <f t="shared" si="48"/>
        <v>-2.2657196615216701E-4</v>
      </c>
      <c r="I639" s="297">
        <f>VLOOKUP(A639,'Dados para Ke Alternativo'!$W:$X,2,0)</f>
        <v>122560</v>
      </c>
      <c r="J639" s="294">
        <f t="shared" si="49"/>
        <v>4.5242934889515585E-3</v>
      </c>
    </row>
    <row r="640" spans="1:10" x14ac:dyDescent="0.3">
      <c r="A640" s="167">
        <v>45134</v>
      </c>
      <c r="B640" s="219">
        <f>VLOOKUP('Ke Alternativo'!A640,'Dados para Ke Alternativo'!$A:$B,2,0)</f>
        <v>45.02</v>
      </c>
      <c r="C640" s="294">
        <f t="shared" si="46"/>
        <v>-1.0984182776801354E-2</v>
      </c>
      <c r="D640" s="296">
        <f>VLOOKUP(A640,'Dados para Ke Alternativo'!$P:$Q,2,0)</f>
        <v>4.7423999999999999</v>
      </c>
      <c r="E640" s="296">
        <f t="shared" si="45"/>
        <v>9.4930836707152508</v>
      </c>
      <c r="F640" s="294">
        <f t="shared" si="47"/>
        <v>-1.2235467970656666E-2</v>
      </c>
      <c r="G640" s="296">
        <f>VLOOKUP($A640,'Dados para Ke Alternativo'!$I:$J,2,0)</f>
        <v>3034.41</v>
      </c>
      <c r="H640" s="294">
        <f t="shared" si="48"/>
        <v>-3.3796433146122684E-3</v>
      </c>
      <c r="I640" s="297">
        <f>VLOOKUP(A640,'Dados para Ke Alternativo'!$W:$X,2,0)</f>
        <v>119990</v>
      </c>
      <c r="J640" s="294">
        <f t="shared" si="49"/>
        <v>-2.0969321148825104E-2</v>
      </c>
    </row>
    <row r="641" spans="1:10" x14ac:dyDescent="0.3">
      <c r="A641" s="168">
        <v>45135</v>
      </c>
      <c r="B641" s="219">
        <f>VLOOKUP('Ke Alternativo'!A641,'Dados para Ke Alternativo'!$A:$B,2,0)</f>
        <v>45.09</v>
      </c>
      <c r="C641" s="294">
        <f t="shared" si="46"/>
        <v>1.554864504664577E-3</v>
      </c>
      <c r="D641" s="296">
        <f>VLOOKUP(A641,'Dados para Ke Alternativo'!$P:$Q,2,0)</f>
        <v>4.7336</v>
      </c>
      <c r="E641" s="296">
        <f t="shared" si="45"/>
        <v>9.5255196890316043</v>
      </c>
      <c r="F641" s="294">
        <f t="shared" si="47"/>
        <v>3.4168052701792906E-3</v>
      </c>
      <c r="G641" s="296">
        <f>VLOOKUP($A641,'Dados para Ke Alternativo'!$I:$J,2,0)</f>
        <v>3057.84</v>
      </c>
      <c r="H641" s="294">
        <f t="shared" si="48"/>
        <v>7.7214351389562896E-3</v>
      </c>
      <c r="I641" s="297">
        <f>VLOOKUP(A641,'Dados para Ke Alternativo'!$W:$X,2,0)</f>
        <v>120187</v>
      </c>
      <c r="J641" s="294">
        <f t="shared" si="49"/>
        <v>1.6418034836236384E-3</v>
      </c>
    </row>
    <row r="642" spans="1:10" x14ac:dyDescent="0.3">
      <c r="A642" s="167">
        <v>45138</v>
      </c>
      <c r="B642" s="219">
        <f>VLOOKUP('Ke Alternativo'!A642,'Dados para Ke Alternativo'!$A:$B,2,0)</f>
        <v>45.55</v>
      </c>
      <c r="C642" s="294">
        <f t="shared" si="46"/>
        <v>1.0201818585051869E-2</v>
      </c>
      <c r="D642" s="296">
        <f>VLOOKUP(A642,'Dados para Ke Alternativo'!$P:$Q,2,0)</f>
        <v>4.7241</v>
      </c>
      <c r="E642" s="296">
        <f t="shared" ref="E642:E705" si="50">B642/D642</f>
        <v>9.6420482208251297</v>
      </c>
      <c r="F642" s="294">
        <f t="shared" si="47"/>
        <v>1.2233299137232923E-2</v>
      </c>
      <c r="G642" s="296">
        <f>VLOOKUP($A642,'Dados para Ke Alternativo'!$I:$J,2,0)</f>
        <v>3064.3</v>
      </c>
      <c r="H642" s="294">
        <f t="shared" si="48"/>
        <v>2.1126023598356802E-3</v>
      </c>
      <c r="I642" s="297">
        <f>VLOOKUP(A642,'Dados para Ke Alternativo'!$W:$X,2,0)</f>
        <v>121943</v>
      </c>
      <c r="J642" s="294">
        <f t="shared" si="49"/>
        <v>1.4610565202559433E-2</v>
      </c>
    </row>
    <row r="643" spans="1:10" x14ac:dyDescent="0.3">
      <c r="A643" s="168">
        <v>45139</v>
      </c>
      <c r="B643" s="219">
        <f>VLOOKUP('Ke Alternativo'!A643,'Dados para Ke Alternativo'!$A:$B,2,0)</f>
        <v>45.73</v>
      </c>
      <c r="C643" s="294">
        <f t="shared" ref="C643:C706" si="51">B643/B642-1</f>
        <v>3.9517014270031847E-3</v>
      </c>
      <c r="D643" s="296">
        <f>VLOOKUP(A643,'Dados para Ke Alternativo'!$P:$Q,2,0)</f>
        <v>4.7911000000000001</v>
      </c>
      <c r="E643" s="296">
        <f t="shared" si="50"/>
        <v>9.5447809480077641</v>
      </c>
      <c r="F643" s="294">
        <f t="shared" ref="F643:F706" si="52">E643/E642-1</f>
        <v>-1.0087822689714976E-2</v>
      </c>
      <c r="G643" s="296">
        <f>VLOOKUP($A643,'Dados para Ke Alternativo'!$I:$J,2,0)</f>
        <v>3048.6</v>
      </c>
      <c r="H643" s="294">
        <f t="shared" ref="H643:H706" si="53">G643/G642-1</f>
        <v>-5.1235192376726246E-3</v>
      </c>
      <c r="I643" s="297">
        <f>VLOOKUP(A643,'Dados para Ke Alternativo'!$W:$X,2,0)</f>
        <v>121248</v>
      </c>
      <c r="J643" s="294">
        <f t="shared" ref="J643:J706" si="54">I643/I642-1</f>
        <v>-5.699384138490915E-3</v>
      </c>
    </row>
    <row r="644" spans="1:10" x14ac:dyDescent="0.3">
      <c r="A644" s="167">
        <v>45140</v>
      </c>
      <c r="B644" s="219">
        <f>VLOOKUP('Ke Alternativo'!A644,'Dados para Ke Alternativo'!$A:$B,2,0)</f>
        <v>45.18</v>
      </c>
      <c r="C644" s="294">
        <f t="shared" si="51"/>
        <v>-1.202711567898529E-2</v>
      </c>
      <c r="D644" s="296">
        <f>VLOOKUP(A644,'Dados para Ke Alternativo'!$P:$Q,2,0)</f>
        <v>4.8120000000000003</v>
      </c>
      <c r="E644" s="296">
        <f t="shared" si="50"/>
        <v>9.3890274314214466</v>
      </c>
      <c r="F644" s="294">
        <f t="shared" si="52"/>
        <v>-1.6318186602158447E-2</v>
      </c>
      <c r="G644" s="296">
        <f>VLOOKUP($A644,'Dados para Ke Alternativo'!$I:$J,2,0)</f>
        <v>3000.53</v>
      </c>
      <c r="H644" s="294">
        <f t="shared" si="53"/>
        <v>-1.5767893459292748E-2</v>
      </c>
      <c r="I644" s="297">
        <f>VLOOKUP(A644,'Dados para Ke Alternativo'!$W:$X,2,0)</f>
        <v>120859</v>
      </c>
      <c r="J644" s="294">
        <f t="shared" si="54"/>
        <v>-3.2083003430984913E-3</v>
      </c>
    </row>
    <row r="645" spans="1:10" x14ac:dyDescent="0.3">
      <c r="A645" s="168">
        <v>45141</v>
      </c>
      <c r="B645" s="219">
        <f>VLOOKUP('Ke Alternativo'!A645,'Dados para Ke Alternativo'!$A:$B,2,0)</f>
        <v>47.08</v>
      </c>
      <c r="C645" s="294">
        <f t="shared" si="51"/>
        <v>4.2054006197432381E-2</v>
      </c>
      <c r="D645" s="296">
        <f>VLOOKUP(A645,'Dados para Ke Alternativo'!$P:$Q,2,0)</f>
        <v>4.9169999999999998</v>
      </c>
      <c r="E645" s="296">
        <f t="shared" si="50"/>
        <v>9.5749440715883676</v>
      </c>
      <c r="F645" s="294">
        <f t="shared" si="52"/>
        <v>1.9801480134644223E-2</v>
      </c>
      <c r="G645" s="296">
        <f>VLOOKUP($A645,'Dados para Ke Alternativo'!$I:$J,2,0)</f>
        <v>2990.13</v>
      </c>
      <c r="H645" s="294">
        <f t="shared" si="53"/>
        <v>-3.4660543304017022E-3</v>
      </c>
      <c r="I645" s="297">
        <f>VLOOKUP(A645,'Dados para Ke Alternativo'!$W:$X,2,0)</f>
        <v>120586</v>
      </c>
      <c r="J645" s="294">
        <f t="shared" si="54"/>
        <v>-2.2588305380649709E-3</v>
      </c>
    </row>
    <row r="646" spans="1:10" x14ac:dyDescent="0.3">
      <c r="A646" s="167">
        <v>45142</v>
      </c>
      <c r="B646" s="219">
        <f>VLOOKUP('Ke Alternativo'!A646,'Dados para Ke Alternativo'!$A:$B,2,0)</f>
        <v>47.49</v>
      </c>
      <c r="C646" s="294">
        <f t="shared" si="51"/>
        <v>8.7085811384877143E-3</v>
      </c>
      <c r="D646" s="296">
        <f>VLOOKUP(A646,'Dados para Ke Alternativo'!$P:$Q,2,0)</f>
        <v>4.8733000000000004</v>
      </c>
      <c r="E646" s="296">
        <f t="shared" si="50"/>
        <v>9.7449366958734327</v>
      </c>
      <c r="F646" s="294">
        <f t="shared" si="52"/>
        <v>1.7753902583043102E-2</v>
      </c>
      <c r="G646" s="296">
        <f>VLOOKUP($A646,'Dados para Ke Alternativo'!$I:$J,2,0)</f>
        <v>2986.54</v>
      </c>
      <c r="H646" s="294">
        <f t="shared" si="53"/>
        <v>-1.2006166955952358E-3</v>
      </c>
      <c r="I646" s="297">
        <f>VLOOKUP(A646,'Dados para Ke Alternativo'!$W:$X,2,0)</f>
        <v>119508</v>
      </c>
      <c r="J646" s="294">
        <f t="shared" si="54"/>
        <v>-8.9396779062246301E-3</v>
      </c>
    </row>
    <row r="647" spans="1:10" x14ac:dyDescent="0.3">
      <c r="A647" s="168">
        <v>45145</v>
      </c>
      <c r="B647" s="219">
        <f>VLOOKUP('Ke Alternativo'!A647,'Dados para Ke Alternativo'!$A:$B,2,0)</f>
        <v>47.73</v>
      </c>
      <c r="C647" s="294">
        <f t="shared" si="51"/>
        <v>5.0536955148450247E-3</v>
      </c>
      <c r="D647" s="296">
        <f>VLOOKUP(A647,'Dados para Ke Alternativo'!$P:$Q,2,0)</f>
        <v>4.8998999999999997</v>
      </c>
      <c r="E647" s="296">
        <f t="shared" si="50"/>
        <v>9.7410151227576076</v>
      </c>
      <c r="F647" s="294">
        <f t="shared" si="52"/>
        <v>-4.024216101358169E-4</v>
      </c>
      <c r="G647" s="296">
        <f>VLOOKUP($A647,'Dados para Ke Alternativo'!$I:$J,2,0)</f>
        <v>3003.77</v>
      </c>
      <c r="H647" s="294">
        <f t="shared" si="53"/>
        <v>5.7692178909374281E-3</v>
      </c>
      <c r="I647" s="297">
        <f>VLOOKUP(A647,'Dados para Ke Alternativo'!$W:$X,2,0)</f>
        <v>119380</v>
      </c>
      <c r="J647" s="294">
        <f t="shared" si="54"/>
        <v>-1.0710580044850371E-3</v>
      </c>
    </row>
    <row r="648" spans="1:10" x14ac:dyDescent="0.3">
      <c r="A648" s="167">
        <v>45146</v>
      </c>
      <c r="B648" s="219">
        <f>VLOOKUP('Ke Alternativo'!A648,'Dados para Ke Alternativo'!$A:$B,2,0)</f>
        <v>47.78</v>
      </c>
      <c r="C648" s="294">
        <f t="shared" si="51"/>
        <v>1.0475591870942047E-3</v>
      </c>
      <c r="D648" s="296">
        <f>VLOOKUP(A648,'Dados para Ke Alternativo'!$P:$Q,2,0)</f>
        <v>4.8996000000000004</v>
      </c>
      <c r="E648" s="296">
        <f t="shared" si="50"/>
        <v>9.7518164748142695</v>
      </c>
      <c r="F648" s="294">
        <f t="shared" si="52"/>
        <v>1.1088528167282341E-3</v>
      </c>
      <c r="G648" s="296">
        <f>VLOOKUP($A648,'Dados para Ke Alternativo'!$I:$J,2,0)</f>
        <v>2988.1</v>
      </c>
      <c r="H648" s="294">
        <f t="shared" si="53"/>
        <v>-5.2167775828375618E-3</v>
      </c>
      <c r="I648" s="297">
        <f>VLOOKUP(A648,'Dados para Ke Alternativo'!$W:$X,2,0)</f>
        <v>119090</v>
      </c>
      <c r="J648" s="294">
        <f t="shared" si="54"/>
        <v>-2.4292176243927432E-3</v>
      </c>
    </row>
    <row r="649" spans="1:10" x14ac:dyDescent="0.3">
      <c r="A649" s="168">
        <v>45147</v>
      </c>
      <c r="B649" s="219">
        <f>VLOOKUP('Ke Alternativo'!A649,'Dados para Ke Alternativo'!$A:$B,2,0)</f>
        <v>48.04</v>
      </c>
      <c r="C649" s="294">
        <f t="shared" si="51"/>
        <v>5.4416073670990883E-3</v>
      </c>
      <c r="D649" s="296">
        <f>VLOOKUP(A649,'Dados para Ke Alternativo'!$P:$Q,2,0)</f>
        <v>4.9020000000000001</v>
      </c>
      <c r="E649" s="296">
        <f t="shared" si="50"/>
        <v>9.8000815993472052</v>
      </c>
      <c r="F649" s="294">
        <f t="shared" si="52"/>
        <v>4.9493470942145734E-3</v>
      </c>
      <c r="G649" s="296">
        <f>VLOOKUP($A649,'Dados para Ke Alternativo'!$I:$J,2,0)</f>
        <v>2976.31</v>
      </c>
      <c r="H649" s="294">
        <f t="shared" si="53"/>
        <v>-3.945651082627788E-3</v>
      </c>
      <c r="I649" s="297">
        <f>VLOOKUP(A649,'Dados para Ke Alternativo'!$W:$X,2,0)</f>
        <v>118409</v>
      </c>
      <c r="J649" s="294">
        <f t="shared" si="54"/>
        <v>-5.7183642623226394E-3</v>
      </c>
    </row>
    <row r="650" spans="1:10" x14ac:dyDescent="0.3">
      <c r="A650" s="167">
        <v>45148</v>
      </c>
      <c r="B650" s="219">
        <f>VLOOKUP('Ke Alternativo'!A650,'Dados para Ke Alternativo'!$A:$B,2,0)</f>
        <v>47.3</v>
      </c>
      <c r="C650" s="294">
        <f t="shared" si="51"/>
        <v>-1.540383014154878E-2</v>
      </c>
      <c r="D650" s="296">
        <f>VLOOKUP(A650,'Dados para Ke Alternativo'!$P:$Q,2,0)</f>
        <v>4.8924000000000003</v>
      </c>
      <c r="E650" s="296">
        <f t="shared" si="50"/>
        <v>9.6680565775488496</v>
      </c>
      <c r="F650" s="294">
        <f t="shared" si="52"/>
        <v>-1.3471828827134491E-2</v>
      </c>
      <c r="G650" s="296">
        <f>VLOOKUP($A650,'Dados para Ke Alternativo'!$I:$J,2,0)</f>
        <v>2984.81</v>
      </c>
      <c r="H650" s="294">
        <f t="shared" si="53"/>
        <v>2.8558853076461332E-3</v>
      </c>
      <c r="I650" s="297">
        <f>VLOOKUP(A650,'Dados para Ke Alternativo'!$W:$X,2,0)</f>
        <v>118350</v>
      </c>
      <c r="J650" s="294">
        <f t="shared" si="54"/>
        <v>-4.9827293533433181E-4</v>
      </c>
    </row>
    <row r="651" spans="1:10" x14ac:dyDescent="0.3">
      <c r="A651" s="168">
        <v>45149</v>
      </c>
      <c r="B651" s="219">
        <f>VLOOKUP('Ke Alternativo'!A651,'Dados para Ke Alternativo'!$A:$B,2,0)</f>
        <v>48.28</v>
      </c>
      <c r="C651" s="294">
        <f t="shared" si="51"/>
        <v>2.0718816067653467E-2</v>
      </c>
      <c r="D651" s="296">
        <f>VLOOKUP(A651,'Dados para Ke Alternativo'!$P:$Q,2,0)</f>
        <v>4.9047999999999998</v>
      </c>
      <c r="E651" s="296">
        <f t="shared" si="50"/>
        <v>9.843418691893655</v>
      </c>
      <c r="F651" s="294">
        <f t="shared" si="52"/>
        <v>1.8138300385212025E-2</v>
      </c>
      <c r="G651" s="296">
        <f>VLOOKUP($A651,'Dados para Ke Alternativo'!$I:$J,2,0)</f>
        <v>2972.73</v>
      </c>
      <c r="H651" s="294">
        <f t="shared" si="53"/>
        <v>-4.0471587806258924E-3</v>
      </c>
      <c r="I651" s="297">
        <f>VLOOKUP(A651,'Dados para Ke Alternativo'!$W:$X,2,0)</f>
        <v>118065</v>
      </c>
      <c r="J651" s="294">
        <f t="shared" si="54"/>
        <v>-2.4081115335867764E-3</v>
      </c>
    </row>
    <row r="652" spans="1:10" x14ac:dyDescent="0.3">
      <c r="A652" s="167">
        <v>45152</v>
      </c>
      <c r="B652" s="219">
        <f>VLOOKUP('Ke Alternativo'!A652,'Dados para Ke Alternativo'!$A:$B,2,0)</f>
        <v>48.51</v>
      </c>
      <c r="C652" s="294">
        <f t="shared" si="51"/>
        <v>4.7638773819387303E-3</v>
      </c>
      <c r="D652" s="296">
        <f>VLOOKUP(A652,'Dados para Ke Alternativo'!$P:$Q,2,0)</f>
        <v>4.9615</v>
      </c>
      <c r="E652" s="296">
        <f t="shared" si="50"/>
        <v>9.7772850952332959</v>
      </c>
      <c r="F652" s="294">
        <f t="shared" si="52"/>
        <v>-6.7185597535155406E-3</v>
      </c>
      <c r="G652" s="296">
        <f>VLOOKUP($A652,'Dados para Ke Alternativo'!$I:$J,2,0)</f>
        <v>2976.86</v>
      </c>
      <c r="H652" s="294">
        <f t="shared" si="53"/>
        <v>1.3892953615026737E-3</v>
      </c>
      <c r="I652" s="297">
        <f>VLOOKUP(A652,'Dados para Ke Alternativo'!$W:$X,2,0)</f>
        <v>116810</v>
      </c>
      <c r="J652" s="294">
        <f t="shared" si="54"/>
        <v>-1.0629737856265642E-2</v>
      </c>
    </row>
    <row r="653" spans="1:10" x14ac:dyDescent="0.3">
      <c r="A653" s="168">
        <v>45153</v>
      </c>
      <c r="B653" s="219">
        <f>VLOOKUP('Ke Alternativo'!A653,'Dados para Ke Alternativo'!$A:$B,2,0)</f>
        <v>46.74</v>
      </c>
      <c r="C653" s="294">
        <f t="shared" si="51"/>
        <v>-3.6487322201607886E-2</v>
      </c>
      <c r="D653" s="296">
        <f>VLOOKUP(A653,'Dados para Ke Alternativo'!$P:$Q,2,0)</f>
        <v>4.9844999999999997</v>
      </c>
      <c r="E653" s="296">
        <f t="shared" si="50"/>
        <v>9.3770689136322609</v>
      </c>
      <c r="F653" s="294">
        <f t="shared" si="52"/>
        <v>-4.0933262935756276E-2</v>
      </c>
      <c r="G653" s="296">
        <f>VLOOKUP($A653,'Dados para Ke Alternativo'!$I:$J,2,0)</f>
        <v>2948.22</v>
      </c>
      <c r="H653" s="294">
        <f t="shared" si="53"/>
        <v>-9.6208756878053414E-3</v>
      </c>
      <c r="I653" s="297">
        <f>VLOOKUP(A653,'Dados para Ke Alternativo'!$W:$X,2,0)</f>
        <v>116171</v>
      </c>
      <c r="J653" s="294">
        <f t="shared" si="54"/>
        <v>-5.4704220529063763E-3</v>
      </c>
    </row>
    <row r="654" spans="1:10" x14ac:dyDescent="0.3">
      <c r="A654" s="167">
        <v>45154</v>
      </c>
      <c r="B654" s="219">
        <f>VLOOKUP('Ke Alternativo'!A654,'Dados para Ke Alternativo'!$A:$B,2,0)</f>
        <v>45.91</v>
      </c>
      <c r="C654" s="294">
        <f t="shared" si="51"/>
        <v>-1.7757809157039062E-2</v>
      </c>
      <c r="D654" s="296">
        <f>VLOOKUP(A654,'Dados para Ke Alternativo'!$P:$Q,2,0)</f>
        <v>4.9878999999999998</v>
      </c>
      <c r="E654" s="296">
        <f t="shared" si="50"/>
        <v>9.2042743439122674</v>
      </c>
      <c r="F654" s="294">
        <f t="shared" si="52"/>
        <v>-1.8427354145684749E-2</v>
      </c>
      <c r="G654" s="296">
        <f>VLOOKUP($A654,'Dados para Ke Alternativo'!$I:$J,2,0)</f>
        <v>2925.63</v>
      </c>
      <c r="H654" s="294">
        <f t="shared" si="53"/>
        <v>-7.6622504426399063E-3</v>
      </c>
      <c r="I654" s="297">
        <f>VLOOKUP(A654,'Dados para Ke Alternativo'!$W:$X,2,0)</f>
        <v>115592</v>
      </c>
      <c r="J654" s="294">
        <f t="shared" si="54"/>
        <v>-4.9840321594890602E-3</v>
      </c>
    </row>
    <row r="655" spans="1:10" x14ac:dyDescent="0.3">
      <c r="A655" s="168">
        <v>45155</v>
      </c>
      <c r="B655" s="219">
        <f>VLOOKUP('Ke Alternativo'!A655,'Dados para Ke Alternativo'!$A:$B,2,0)</f>
        <v>45.31</v>
      </c>
      <c r="C655" s="294">
        <f t="shared" si="51"/>
        <v>-1.3069048137660522E-2</v>
      </c>
      <c r="D655" s="296">
        <f>VLOOKUP(A655,'Dados para Ke Alternativo'!$P:$Q,2,0)</f>
        <v>4.9757999999999996</v>
      </c>
      <c r="E655" s="296">
        <f t="shared" si="50"/>
        <v>9.1060733952329294</v>
      </c>
      <c r="F655" s="294">
        <f t="shared" si="52"/>
        <v>-1.0669059288121785E-2</v>
      </c>
      <c r="G655" s="296">
        <f>VLOOKUP($A655,'Dados para Ke Alternativo'!$I:$J,2,0)</f>
        <v>2901.84</v>
      </c>
      <c r="H655" s="294">
        <f t="shared" si="53"/>
        <v>-8.1315819156899671E-3</v>
      </c>
      <c r="I655" s="297">
        <f>VLOOKUP(A655,'Dados para Ke Alternativo'!$W:$X,2,0)</f>
        <v>114982</v>
      </c>
      <c r="J655" s="294">
        <f t="shared" si="54"/>
        <v>-5.2771818118900748E-3</v>
      </c>
    </row>
    <row r="656" spans="1:10" x14ac:dyDescent="0.3">
      <c r="A656" s="167">
        <v>45156</v>
      </c>
      <c r="B656" s="219">
        <f>VLOOKUP('Ke Alternativo'!A656,'Dados para Ke Alternativo'!$A:$B,2,0)</f>
        <v>45.1</v>
      </c>
      <c r="C656" s="294">
        <f t="shared" si="51"/>
        <v>-4.6347384683292914E-3</v>
      </c>
      <c r="D656" s="296">
        <f>VLOOKUP(A656,'Dados para Ke Alternativo'!$P:$Q,2,0)</f>
        <v>4.9694000000000003</v>
      </c>
      <c r="E656" s="296">
        <f t="shared" si="50"/>
        <v>9.0755423189922322</v>
      </c>
      <c r="F656" s="294">
        <f t="shared" si="52"/>
        <v>-3.3528256269799162E-3</v>
      </c>
      <c r="G656" s="296">
        <f>VLOOKUP($A656,'Dados para Ke Alternativo'!$I:$J,2,0)</f>
        <v>2897.5</v>
      </c>
      <c r="H656" s="294">
        <f t="shared" si="53"/>
        <v>-1.4956027899539759E-3</v>
      </c>
      <c r="I656" s="297">
        <f>VLOOKUP(A656,'Dados para Ke Alternativo'!$W:$X,2,0)</f>
        <v>115409</v>
      </c>
      <c r="J656" s="294">
        <f t="shared" si="54"/>
        <v>3.7136247412639101E-3</v>
      </c>
    </row>
    <row r="657" spans="1:10" x14ac:dyDescent="0.3">
      <c r="A657" s="168">
        <v>45159</v>
      </c>
      <c r="B657" s="219">
        <f>VLOOKUP('Ke Alternativo'!A657,'Dados para Ke Alternativo'!$A:$B,2,0)</f>
        <v>44.68</v>
      </c>
      <c r="C657" s="294">
        <f t="shared" si="51"/>
        <v>-9.3126385809313428E-3</v>
      </c>
      <c r="D657" s="296">
        <f>VLOOKUP(A657,'Dados para Ke Alternativo'!$P:$Q,2,0)</f>
        <v>4.9793000000000003</v>
      </c>
      <c r="E657" s="296">
        <f t="shared" si="50"/>
        <v>8.9731488361817924</v>
      </c>
      <c r="F657" s="294">
        <f t="shared" si="52"/>
        <v>-1.1282354179117493E-2</v>
      </c>
      <c r="G657" s="296">
        <f>VLOOKUP($A657,'Dados para Ke Alternativo'!$I:$J,2,0)</f>
        <v>2910.52</v>
      </c>
      <c r="H657" s="294">
        <f t="shared" si="53"/>
        <v>4.4935289042278281E-3</v>
      </c>
      <c r="I657" s="297">
        <f>VLOOKUP(A657,'Dados para Ke Alternativo'!$W:$X,2,0)</f>
        <v>114429</v>
      </c>
      <c r="J657" s="294">
        <f t="shared" si="54"/>
        <v>-8.4915387881361326E-3</v>
      </c>
    </row>
    <row r="658" spans="1:10" x14ac:dyDescent="0.3">
      <c r="A658" s="167">
        <v>45160</v>
      </c>
      <c r="B658" s="219">
        <f>VLOOKUP('Ke Alternativo'!A658,'Dados para Ke Alternativo'!$A:$B,2,0)</f>
        <v>45.03</v>
      </c>
      <c r="C658" s="294">
        <f t="shared" si="51"/>
        <v>7.8334825425245835E-3</v>
      </c>
      <c r="D658" s="296">
        <f>VLOOKUP(A658,'Dados para Ke Alternativo'!$P:$Q,2,0)</f>
        <v>4.9386000000000001</v>
      </c>
      <c r="E658" s="296">
        <f t="shared" si="50"/>
        <v>9.1179686550844377</v>
      </c>
      <c r="F658" s="294">
        <f t="shared" si="52"/>
        <v>1.613924181427806E-2</v>
      </c>
      <c r="G658" s="296">
        <f>VLOOKUP($A658,'Dados para Ke Alternativo'!$I:$J,2,0)</f>
        <v>2909.19</v>
      </c>
      <c r="H658" s="294">
        <f t="shared" si="53"/>
        <v>-4.5696301691788843E-4</v>
      </c>
      <c r="I658" s="297">
        <f>VLOOKUP(A658,'Dados para Ke Alternativo'!$W:$X,2,0)</f>
        <v>116156</v>
      </c>
      <c r="J658" s="294">
        <f t="shared" si="54"/>
        <v>1.5092327993777799E-2</v>
      </c>
    </row>
    <row r="659" spans="1:10" x14ac:dyDescent="0.3">
      <c r="A659" s="168">
        <v>45161</v>
      </c>
      <c r="B659" s="219">
        <f>VLOOKUP('Ke Alternativo'!A659,'Dados para Ke Alternativo'!$A:$B,2,0)</f>
        <v>45.78</v>
      </c>
      <c r="C659" s="294">
        <f t="shared" si="51"/>
        <v>1.6655562958028058E-2</v>
      </c>
      <c r="D659" s="296">
        <f>VLOOKUP(A659,'Dados para Ke Alternativo'!$P:$Q,2,0)</f>
        <v>4.8571999999999997</v>
      </c>
      <c r="E659" s="296">
        <f t="shared" si="50"/>
        <v>9.4251832331384335</v>
      </c>
      <c r="F659" s="294">
        <f t="shared" si="52"/>
        <v>3.3693313683710091E-2</v>
      </c>
      <c r="G659" s="296">
        <f>VLOOKUP($A659,'Dados para Ke Alternativo'!$I:$J,2,0)</f>
        <v>2937.7</v>
      </c>
      <c r="H659" s="294">
        <f t="shared" si="53"/>
        <v>9.7999786882259077E-3</v>
      </c>
      <c r="I659" s="297">
        <f>VLOOKUP(A659,'Dados para Ke Alternativo'!$W:$X,2,0)</f>
        <v>118135</v>
      </c>
      <c r="J659" s="294">
        <f t="shared" si="54"/>
        <v>1.7037432418471665E-2</v>
      </c>
    </row>
    <row r="660" spans="1:10" x14ac:dyDescent="0.3">
      <c r="A660" s="167">
        <v>45162</v>
      </c>
      <c r="B660" s="219">
        <f>VLOOKUP('Ke Alternativo'!A660,'Dados para Ke Alternativo'!$A:$B,2,0)</f>
        <v>45.99</v>
      </c>
      <c r="C660" s="294">
        <f t="shared" si="51"/>
        <v>4.5871559633028358E-3</v>
      </c>
      <c r="D660" s="296">
        <f>VLOOKUP(A660,'Dados para Ke Alternativo'!$P:$Q,2,0)</f>
        <v>4.8802000000000003</v>
      </c>
      <c r="E660" s="296">
        <f t="shared" si="50"/>
        <v>9.4237941067989013</v>
      </c>
      <c r="F660" s="294">
        <f t="shared" si="52"/>
        <v>-1.4738454470020201E-4</v>
      </c>
      <c r="G660" s="296">
        <f>VLOOKUP($A660,'Dados para Ke Alternativo'!$I:$J,2,0)</f>
        <v>2906.25</v>
      </c>
      <c r="H660" s="294">
        <f t="shared" si="53"/>
        <v>-1.0705654083126181E-2</v>
      </c>
      <c r="I660" s="297">
        <f>VLOOKUP(A660,'Dados para Ke Alternativo'!$W:$X,2,0)</f>
        <v>117026</v>
      </c>
      <c r="J660" s="294">
        <f t="shared" si="54"/>
        <v>-9.3875650738561855E-3</v>
      </c>
    </row>
    <row r="661" spans="1:10" x14ac:dyDescent="0.3">
      <c r="A661" s="168">
        <v>45163</v>
      </c>
      <c r="B661" s="219">
        <f>VLOOKUP('Ke Alternativo'!A661,'Dados para Ke Alternativo'!$A:$B,2,0)</f>
        <v>46.32</v>
      </c>
      <c r="C661" s="294">
        <f t="shared" si="51"/>
        <v>7.1754729288975305E-3</v>
      </c>
      <c r="D661" s="296">
        <f>VLOOKUP(A661,'Dados para Ke Alternativo'!$P:$Q,2,0)</f>
        <v>4.8711000000000002</v>
      </c>
      <c r="E661" s="296">
        <f t="shared" si="50"/>
        <v>9.50914577816099</v>
      </c>
      <c r="F661" s="294">
        <f t="shared" si="52"/>
        <v>9.0570390646067533E-3</v>
      </c>
      <c r="G661" s="296">
        <f>VLOOKUP($A661,'Dados para Ke Alternativo'!$I:$J,2,0)</f>
        <v>2911.99</v>
      </c>
      <c r="H661" s="294">
        <f t="shared" si="53"/>
        <v>1.9750537634408705E-3</v>
      </c>
      <c r="I661" s="297">
        <f>VLOOKUP(A661,'Dados para Ke Alternativo'!$W:$X,2,0)</f>
        <v>115837</v>
      </c>
      <c r="J661" s="294">
        <f t="shared" si="54"/>
        <v>-1.0160135354536637E-2</v>
      </c>
    </row>
    <row r="662" spans="1:10" x14ac:dyDescent="0.3">
      <c r="A662" s="167">
        <v>45166</v>
      </c>
      <c r="B662" s="219">
        <f>VLOOKUP('Ke Alternativo'!A662,'Dados para Ke Alternativo'!$A:$B,2,0)</f>
        <v>46.62</v>
      </c>
      <c r="C662" s="294">
        <f t="shared" si="51"/>
        <v>6.4766839378238572E-3</v>
      </c>
      <c r="D662" s="296">
        <f>VLOOKUP(A662,'Dados para Ke Alternativo'!$P:$Q,2,0)</f>
        <v>4.8731</v>
      </c>
      <c r="E662" s="296">
        <f t="shared" si="50"/>
        <v>9.5668055242043053</v>
      </c>
      <c r="F662" s="294">
        <f t="shared" si="52"/>
        <v>6.0636094333246238E-3</v>
      </c>
      <c r="G662" s="296">
        <f>VLOOKUP($A662,'Dados para Ke Alternativo'!$I:$J,2,0)</f>
        <v>2935.71</v>
      </c>
      <c r="H662" s="294">
        <f t="shared" si="53"/>
        <v>8.1456323682431719E-3</v>
      </c>
      <c r="I662" s="297">
        <f>VLOOKUP(A662,'Dados para Ke Alternativo'!$W:$X,2,0)</f>
        <v>117121</v>
      </c>
      <c r="J662" s="294">
        <f t="shared" si="54"/>
        <v>1.1084541208767451E-2</v>
      </c>
    </row>
    <row r="663" spans="1:10" x14ac:dyDescent="0.3">
      <c r="A663" s="168">
        <v>45167</v>
      </c>
      <c r="B663" s="219">
        <f>VLOOKUP('Ke Alternativo'!A663,'Dados para Ke Alternativo'!$A:$B,2,0)</f>
        <v>45.78</v>
      </c>
      <c r="C663" s="294">
        <f t="shared" si="51"/>
        <v>-1.8018018018017945E-2</v>
      </c>
      <c r="D663" s="296">
        <f>VLOOKUP(A663,'Dados para Ke Alternativo'!$P:$Q,2,0)</f>
        <v>4.8522999999999996</v>
      </c>
      <c r="E663" s="296">
        <f t="shared" si="50"/>
        <v>9.434701069595862</v>
      </c>
      <c r="F663" s="294">
        <f t="shared" si="52"/>
        <v>-1.3808627579416699E-2</v>
      </c>
      <c r="G663" s="296">
        <f>VLOOKUP($A663,'Dados para Ke Alternativo'!$I:$J,2,0)</f>
        <v>2975.5</v>
      </c>
      <c r="H663" s="294">
        <f t="shared" si="53"/>
        <v>1.3553791076094113E-2</v>
      </c>
      <c r="I663" s="297">
        <f>VLOOKUP(A663,'Dados para Ke Alternativo'!$W:$X,2,0)</f>
        <v>118404</v>
      </c>
      <c r="J663" s="294">
        <f t="shared" si="54"/>
        <v>1.0954482970602974E-2</v>
      </c>
    </row>
    <row r="664" spans="1:10" x14ac:dyDescent="0.3">
      <c r="A664" s="167">
        <v>45168</v>
      </c>
      <c r="B664" s="219">
        <f>VLOOKUP('Ke Alternativo'!A664,'Dados para Ke Alternativo'!$A:$B,2,0)</f>
        <v>45.74</v>
      </c>
      <c r="C664" s="294">
        <f t="shared" si="51"/>
        <v>-8.7374399300998995E-4</v>
      </c>
      <c r="D664" s="296">
        <f>VLOOKUP(A664,'Dados para Ke Alternativo'!$P:$Q,2,0)</f>
        <v>4.8890000000000002</v>
      </c>
      <c r="E664" s="296">
        <f t="shared" si="50"/>
        <v>9.3556964614440581</v>
      </c>
      <c r="F664" s="294">
        <f t="shared" si="52"/>
        <v>-8.3738326809741359E-3</v>
      </c>
      <c r="G664" s="296">
        <f>VLOOKUP($A664,'Dados para Ke Alternativo'!$I:$J,2,0)</f>
        <v>2991.52</v>
      </c>
      <c r="H664" s="294">
        <f t="shared" si="53"/>
        <v>5.3839690808268337E-3</v>
      </c>
      <c r="I664" s="297">
        <f>VLOOKUP(A664,'Dados para Ke Alternativo'!$W:$X,2,0)</f>
        <v>117535</v>
      </c>
      <c r="J664" s="294">
        <f t="shared" si="54"/>
        <v>-7.3392790784094775E-3</v>
      </c>
    </row>
    <row r="665" spans="1:10" x14ac:dyDescent="0.3">
      <c r="A665" s="168">
        <v>45169</v>
      </c>
      <c r="B665" s="219">
        <f>VLOOKUP('Ke Alternativo'!A665,'Dados para Ke Alternativo'!$A:$B,2,0)</f>
        <v>46.35</v>
      </c>
      <c r="C665" s="294">
        <f t="shared" si="51"/>
        <v>1.3336248360297231E-2</v>
      </c>
      <c r="D665" s="296">
        <f>VLOOKUP(A665,'Dados para Ke Alternativo'!$P:$Q,2,0)</f>
        <v>4.9543999999999997</v>
      </c>
      <c r="E665" s="296">
        <f t="shared" si="50"/>
        <v>9.3553205231713239</v>
      </c>
      <c r="F665" s="294">
        <f t="shared" si="52"/>
        <v>-4.018282062523415E-5</v>
      </c>
      <c r="G665" s="296">
        <f>VLOOKUP($A665,'Dados para Ke Alternativo'!$I:$J,2,0)</f>
        <v>2986.02</v>
      </c>
      <c r="H665" s="294">
        <f t="shared" si="53"/>
        <v>-1.8385302454939634E-3</v>
      </c>
      <c r="I665" s="297">
        <f>VLOOKUP(A665,'Dados para Ke Alternativo'!$W:$X,2,0)</f>
        <v>115742</v>
      </c>
      <c r="J665" s="294">
        <f t="shared" si="54"/>
        <v>-1.5255030416471693E-2</v>
      </c>
    </row>
    <row r="666" spans="1:10" x14ac:dyDescent="0.3">
      <c r="A666" s="167">
        <v>45170</v>
      </c>
      <c r="B666" s="219">
        <f>VLOOKUP('Ke Alternativo'!A666,'Dados para Ke Alternativo'!$A:$B,2,0)</f>
        <v>46.87</v>
      </c>
      <c r="C666" s="294">
        <f t="shared" si="51"/>
        <v>1.121898597626747E-2</v>
      </c>
      <c r="D666" s="296">
        <f>VLOOKUP(A666,'Dados para Ke Alternativo'!$P:$Q,2,0)</f>
        <v>4.9462999999999999</v>
      </c>
      <c r="E666" s="296">
        <f t="shared" si="50"/>
        <v>9.475769767300811</v>
      </c>
      <c r="F666" s="294">
        <f t="shared" si="52"/>
        <v>1.287494574142678E-2</v>
      </c>
      <c r="G666" s="296">
        <f>VLOOKUP($A666,'Dados para Ke Alternativo'!$I:$J,2,0)</f>
        <v>2989.51</v>
      </c>
      <c r="H666" s="294">
        <f t="shared" si="53"/>
        <v>1.1687798474224742E-3</v>
      </c>
      <c r="I666" s="297">
        <f>VLOOKUP(A666,'Dados para Ke Alternativo'!$W:$X,2,0)</f>
        <v>117893</v>
      </c>
      <c r="J666" s="294">
        <f t="shared" si="54"/>
        <v>1.8584437801316689E-2</v>
      </c>
    </row>
    <row r="667" spans="1:10" x14ac:dyDescent="0.3">
      <c r="A667" s="168">
        <v>45173</v>
      </c>
      <c r="B667" s="219">
        <f>VLOOKUP('Ke Alternativo'!A667,'Dados para Ke Alternativo'!$A:$B,2,0)</f>
        <v>46.54</v>
      </c>
      <c r="C667" s="294">
        <f t="shared" si="51"/>
        <v>-7.0407510134413709E-3</v>
      </c>
      <c r="D667" s="296">
        <f>VLOOKUP(A667,'Dados para Ke Alternativo'!$P:$Q,2,0)</f>
        <v>4.9375999999999998</v>
      </c>
      <c r="E667" s="296">
        <f t="shared" si="50"/>
        <v>9.4256318859364878</v>
      </c>
      <c r="F667" s="294">
        <f t="shared" si="52"/>
        <v>-5.2911671131289362E-3</v>
      </c>
      <c r="G667" s="296">
        <f>VLOOKUP($A667,'Dados para Ke Alternativo'!$I:$J,2,0)</f>
        <v>2990.17</v>
      </c>
      <c r="H667" s="294">
        <f t="shared" si="53"/>
        <v>2.2077196597436455E-4</v>
      </c>
      <c r="I667" s="297">
        <f>VLOOKUP(A667,'Dados para Ke Alternativo'!$W:$X,2,0)</f>
        <v>117777</v>
      </c>
      <c r="J667" s="294">
        <f t="shared" si="54"/>
        <v>-9.8394306701843348E-4</v>
      </c>
    </row>
    <row r="668" spans="1:10" x14ac:dyDescent="0.3">
      <c r="A668" s="167">
        <v>45174</v>
      </c>
      <c r="B668" s="219">
        <f>VLOOKUP('Ke Alternativo'!A668,'Dados para Ke Alternativo'!$A:$B,2,0)</f>
        <v>47.41</v>
      </c>
      <c r="C668" s="294">
        <f t="shared" si="51"/>
        <v>1.8693596905887455E-2</v>
      </c>
      <c r="D668" s="296">
        <f>VLOOKUP(A668,'Dados para Ke Alternativo'!$P:$Q,2,0)</f>
        <v>4.9671000000000003</v>
      </c>
      <c r="E668" s="296">
        <f t="shared" si="50"/>
        <v>9.5448048156872201</v>
      </c>
      <c r="F668" s="294">
        <f t="shared" si="52"/>
        <v>1.2643495013691775E-2</v>
      </c>
      <c r="G668" s="296">
        <f>VLOOKUP($A668,'Dados para Ke Alternativo'!$I:$J,2,0)</f>
        <v>2973.45</v>
      </c>
      <c r="H668" s="294">
        <f t="shared" si="53"/>
        <v>-5.5916553239448996E-3</v>
      </c>
      <c r="I668" s="297">
        <f>VLOOKUP(A668,'Dados para Ke Alternativo'!$W:$X,2,0)</f>
        <v>117331</v>
      </c>
      <c r="J668" s="294">
        <f t="shared" si="54"/>
        <v>-3.7868174601153326E-3</v>
      </c>
    </row>
    <row r="669" spans="1:10" x14ac:dyDescent="0.3">
      <c r="A669" s="168">
        <v>45175</v>
      </c>
      <c r="B669" s="219">
        <f>VLOOKUP('Ke Alternativo'!A669,'Dados para Ke Alternativo'!$A:$B,2,0)</f>
        <v>46.71</v>
      </c>
      <c r="C669" s="294">
        <f t="shared" si="51"/>
        <v>-1.4764817549040243E-2</v>
      </c>
      <c r="D669" s="296">
        <f>VLOOKUP(A669,'Dados para Ke Alternativo'!$P:$Q,2,0)</f>
        <v>4.9783999999999997</v>
      </c>
      <c r="E669" s="296">
        <f t="shared" si="50"/>
        <v>9.3825325405752853</v>
      </c>
      <c r="F669" s="294">
        <f t="shared" si="52"/>
        <v>-1.7001109844093865E-2</v>
      </c>
      <c r="G669" s="296">
        <f>VLOOKUP($A669,'Dados para Ke Alternativo'!$I:$J,2,0)</f>
        <v>2955.82</v>
      </c>
      <c r="H669" s="294">
        <f t="shared" si="53"/>
        <v>-5.9291395516990475E-3</v>
      </c>
      <c r="I669" s="297">
        <f>VLOOKUP(A669,'Dados para Ke Alternativo'!$W:$X,2,0)</f>
        <v>115985</v>
      </c>
      <c r="J669" s="294">
        <f t="shared" si="54"/>
        <v>-1.1471819041855902E-2</v>
      </c>
    </row>
    <row r="670" spans="1:10" x14ac:dyDescent="0.3">
      <c r="A670" s="167">
        <v>45177</v>
      </c>
      <c r="B670" s="219">
        <f>VLOOKUP('Ke Alternativo'!A670,'Dados para Ke Alternativo'!$A:$B,2,0)</f>
        <v>47.41</v>
      </c>
      <c r="C670" s="294">
        <f t="shared" si="51"/>
        <v>1.4986084350246065E-2</v>
      </c>
      <c r="D670" s="296">
        <f>VLOOKUP(A670,'Dados para Ke Alternativo'!$P:$Q,2,0)</f>
        <v>4.9882</v>
      </c>
      <c r="E670" s="296">
        <f t="shared" si="50"/>
        <v>9.5044304558758661</v>
      </c>
      <c r="F670" s="294">
        <f t="shared" si="52"/>
        <v>1.299200559906688E-2</v>
      </c>
      <c r="G670" s="296">
        <f>VLOOKUP($A670,'Dados para Ke Alternativo'!$I:$J,2,0)</f>
        <v>2948.81</v>
      </c>
      <c r="H670" s="294">
        <f t="shared" si="53"/>
        <v>-2.3715923161763408E-3</v>
      </c>
      <c r="I670" s="297">
        <f>VLOOKUP(A670,'Dados para Ke Alternativo'!$W:$X,2,0)</f>
        <v>115313</v>
      </c>
      <c r="J670" s="294">
        <f t="shared" si="54"/>
        <v>-5.7938526533602985E-3</v>
      </c>
    </row>
    <row r="671" spans="1:10" x14ac:dyDescent="0.3">
      <c r="A671" s="168">
        <v>45181</v>
      </c>
      <c r="B671" s="219">
        <f>VLOOKUP('Ke Alternativo'!A671,'Dados para Ke Alternativo'!$A:$B,2,0)</f>
        <v>48.03</v>
      </c>
      <c r="C671" s="294">
        <f t="shared" si="51"/>
        <v>1.3077409829149955E-2</v>
      </c>
      <c r="D671" s="296">
        <f>VLOOKUP(A671,'Dados para Ke Alternativo'!$P:$Q,2,0)</f>
        <v>4.9470000000000001</v>
      </c>
      <c r="E671" s="296">
        <f t="shared" si="50"/>
        <v>9.7089144936325038</v>
      </c>
      <c r="F671" s="294">
        <f t="shared" si="52"/>
        <v>2.151460192232979E-2</v>
      </c>
      <c r="G671" s="296">
        <f>VLOOKUP($A671,'Dados para Ke Alternativo'!$I:$J,2,0)</f>
        <v>2955.87</v>
      </c>
      <c r="H671" s="294">
        <f t="shared" si="53"/>
        <v>2.394186129319964E-3</v>
      </c>
      <c r="I671" s="297">
        <f>VLOOKUP(A671,'Dados para Ke Alternativo'!$W:$X,2,0)</f>
        <v>117968</v>
      </c>
      <c r="J671" s="294">
        <f t="shared" si="54"/>
        <v>2.3024290409580983E-2</v>
      </c>
    </row>
    <row r="672" spans="1:10" x14ac:dyDescent="0.3">
      <c r="A672" s="167">
        <v>45182</v>
      </c>
      <c r="B672" s="219">
        <f>VLOOKUP('Ke Alternativo'!A672,'Dados para Ke Alternativo'!$A:$B,2,0)</f>
        <v>48.12</v>
      </c>
      <c r="C672" s="294">
        <f t="shared" si="51"/>
        <v>1.8738288569644101E-3</v>
      </c>
      <c r="D672" s="296">
        <f>VLOOKUP(A672,'Dados para Ke Alternativo'!$P:$Q,2,0)</f>
        <v>4.9153000000000002</v>
      </c>
      <c r="E672" s="296">
        <f t="shared" si="50"/>
        <v>9.7898398876975961</v>
      </c>
      <c r="F672" s="294">
        <f t="shared" si="52"/>
        <v>8.3351639483657536E-3</v>
      </c>
      <c r="G672" s="296">
        <f>VLOOKUP($A672,'Dados para Ke Alternativo'!$I:$J,2,0)</f>
        <v>2956.84</v>
      </c>
      <c r="H672" s="294">
        <f t="shared" si="53"/>
        <v>3.2816057539752919E-4</v>
      </c>
      <c r="I672" s="297">
        <f>VLOOKUP(A672,'Dados para Ke Alternativo'!$W:$X,2,0)</f>
        <v>118176</v>
      </c>
      <c r="J672" s="294">
        <f t="shared" si="54"/>
        <v>1.7631900176318105E-3</v>
      </c>
    </row>
    <row r="673" spans="1:10" x14ac:dyDescent="0.3">
      <c r="A673" s="168">
        <v>45183</v>
      </c>
      <c r="B673" s="219">
        <f>VLOOKUP('Ke Alternativo'!A673,'Dados para Ke Alternativo'!$A:$B,2,0)</f>
        <v>49.17</v>
      </c>
      <c r="C673" s="294">
        <f t="shared" si="51"/>
        <v>2.1820448877805543E-2</v>
      </c>
      <c r="D673" s="296">
        <f>VLOOKUP(A673,'Dados para Ke Alternativo'!$P:$Q,2,0)</f>
        <v>4.8667999999999996</v>
      </c>
      <c r="E673" s="296">
        <f t="shared" si="50"/>
        <v>10.103147858962769</v>
      </c>
      <c r="F673" s="294">
        <f t="shared" si="52"/>
        <v>3.2003380531165915E-2</v>
      </c>
      <c r="G673" s="296">
        <f>VLOOKUP($A673,'Dados para Ke Alternativo'!$I:$J,2,0)</f>
        <v>2982.68</v>
      </c>
      <c r="H673" s="294">
        <f t="shared" si="53"/>
        <v>8.7390592659730704E-3</v>
      </c>
      <c r="I673" s="297">
        <f>VLOOKUP(A673,'Dados para Ke Alternativo'!$W:$X,2,0)</f>
        <v>119392</v>
      </c>
      <c r="J673" s="294">
        <f t="shared" si="54"/>
        <v>1.0289737340915206E-2</v>
      </c>
    </row>
    <row r="674" spans="1:10" x14ac:dyDescent="0.3">
      <c r="A674" s="167">
        <v>45184</v>
      </c>
      <c r="B674" s="219">
        <f>VLOOKUP('Ke Alternativo'!A674,'Dados para Ke Alternativo'!$A:$B,2,0)</f>
        <v>49.32</v>
      </c>
      <c r="C674" s="294">
        <f t="shared" si="51"/>
        <v>3.0506406345331971E-3</v>
      </c>
      <c r="D674" s="296">
        <f>VLOOKUP(A674,'Dados para Ke Alternativo'!$P:$Q,2,0)</f>
        <v>4.8662999999999998</v>
      </c>
      <c r="E674" s="296">
        <f t="shared" si="50"/>
        <v>10.13501017199926</v>
      </c>
      <c r="F674" s="294">
        <f t="shared" si="52"/>
        <v>3.1537015474067953E-3</v>
      </c>
      <c r="G674" s="296">
        <f>VLOOKUP($A674,'Dados para Ke Alternativo'!$I:$J,2,0)</f>
        <v>2960.98</v>
      </c>
      <c r="H674" s="294">
        <f t="shared" si="53"/>
        <v>-7.2753362747595141E-3</v>
      </c>
      <c r="I674" s="297">
        <f>VLOOKUP(A674,'Dados para Ke Alternativo'!$W:$X,2,0)</f>
        <v>118758</v>
      </c>
      <c r="J674" s="294">
        <f t="shared" si="54"/>
        <v>-5.3102385419458997E-3</v>
      </c>
    </row>
    <row r="675" spans="1:10" x14ac:dyDescent="0.3">
      <c r="A675" s="168">
        <v>45187</v>
      </c>
      <c r="B675" s="219">
        <f>VLOOKUP('Ke Alternativo'!A675,'Dados para Ke Alternativo'!$A:$B,2,0)</f>
        <v>48.08</v>
      </c>
      <c r="C675" s="294">
        <f t="shared" si="51"/>
        <v>-2.5141930251419309E-2</v>
      </c>
      <c r="D675" s="296">
        <f>VLOOKUP(A675,'Dados para Ke Alternativo'!$P:$Q,2,0)</f>
        <v>4.8555999999999999</v>
      </c>
      <c r="E675" s="296">
        <f t="shared" si="50"/>
        <v>9.9019688606969272</v>
      </c>
      <c r="F675" s="294">
        <f t="shared" si="52"/>
        <v>-2.299369288707509E-2</v>
      </c>
      <c r="G675" s="296">
        <f>VLOOKUP($A675,'Dados para Ke Alternativo'!$I:$J,2,0)</f>
        <v>2956.14</v>
      </c>
      <c r="H675" s="294">
        <f t="shared" si="53"/>
        <v>-1.6345939520023833E-3</v>
      </c>
      <c r="I675" s="297">
        <f>VLOOKUP(A675,'Dados para Ke Alternativo'!$W:$X,2,0)</f>
        <v>118288</v>
      </c>
      <c r="J675" s="294">
        <f t="shared" si="54"/>
        <v>-3.9576281176847417E-3</v>
      </c>
    </row>
    <row r="676" spans="1:10" x14ac:dyDescent="0.3">
      <c r="A676" s="167">
        <v>45188</v>
      </c>
      <c r="B676" s="219">
        <f>VLOOKUP('Ke Alternativo'!A676,'Dados para Ke Alternativo'!$A:$B,2,0)</f>
        <v>48.63</v>
      </c>
      <c r="C676" s="294">
        <f t="shared" si="51"/>
        <v>1.1439267886855342E-2</v>
      </c>
      <c r="D676" s="296">
        <f>VLOOKUP(A676,'Dados para Ke Alternativo'!$P:$Q,2,0)</f>
        <v>4.8673000000000002</v>
      </c>
      <c r="E676" s="296">
        <f t="shared" si="50"/>
        <v>9.9911655332525218</v>
      </c>
      <c r="F676" s="294">
        <f t="shared" si="52"/>
        <v>9.0079734455270621E-3</v>
      </c>
      <c r="G676" s="296">
        <f>VLOOKUP($A676,'Dados para Ke Alternativo'!$I:$J,2,0)</f>
        <v>2951.17</v>
      </c>
      <c r="H676" s="294">
        <f t="shared" si="53"/>
        <v>-1.6812464903556146E-3</v>
      </c>
      <c r="I676" s="297">
        <f>VLOOKUP(A676,'Dados para Ke Alternativo'!$W:$X,2,0)</f>
        <v>117846</v>
      </c>
      <c r="J676" s="294">
        <f t="shared" si="54"/>
        <v>-3.7366427701880367E-3</v>
      </c>
    </row>
    <row r="677" spans="1:10" x14ac:dyDescent="0.3">
      <c r="A677" s="168">
        <v>45189</v>
      </c>
      <c r="B677" s="219">
        <f>VLOOKUP('Ke Alternativo'!A677,'Dados para Ke Alternativo'!$A:$B,2,0)</f>
        <v>48.63</v>
      </c>
      <c r="C677" s="294">
        <f t="shared" si="51"/>
        <v>0</v>
      </c>
      <c r="D677" s="296">
        <f>VLOOKUP(A677,'Dados para Ke Alternativo'!$P:$Q,2,0)</f>
        <v>4.8800999999999997</v>
      </c>
      <c r="E677" s="296">
        <f t="shared" si="50"/>
        <v>9.9649597344316732</v>
      </c>
      <c r="F677" s="294">
        <f t="shared" si="52"/>
        <v>-2.622897071781094E-3</v>
      </c>
      <c r="G677" s="296">
        <f>VLOOKUP($A677,'Dados para Ke Alternativo'!$I:$J,2,0)</f>
        <v>2936.36</v>
      </c>
      <c r="H677" s="294">
        <f t="shared" si="53"/>
        <v>-5.018348654940219E-3</v>
      </c>
      <c r="I677" s="297">
        <f>VLOOKUP(A677,'Dados para Ke Alternativo'!$W:$X,2,0)</f>
        <v>118695</v>
      </c>
      <c r="J677" s="294">
        <f t="shared" si="54"/>
        <v>7.204317499108992E-3</v>
      </c>
    </row>
    <row r="678" spans="1:10" x14ac:dyDescent="0.3">
      <c r="A678" s="167">
        <v>45190</v>
      </c>
      <c r="B678" s="219">
        <f>VLOOKUP('Ke Alternativo'!A678,'Dados para Ke Alternativo'!$A:$B,2,0)</f>
        <v>46.37</v>
      </c>
      <c r="C678" s="294">
        <f t="shared" si="51"/>
        <v>-4.6473370347522192E-2</v>
      </c>
      <c r="D678" s="296">
        <f>VLOOKUP(A678,'Dados para Ke Alternativo'!$P:$Q,2,0)</f>
        <v>4.9351000000000003</v>
      </c>
      <c r="E678" s="296">
        <f t="shared" si="50"/>
        <v>9.3959595550242128</v>
      </c>
      <c r="F678" s="294">
        <f t="shared" si="52"/>
        <v>-5.7100098201240956E-2</v>
      </c>
      <c r="G678" s="296">
        <f>VLOOKUP($A678,'Dados para Ke Alternativo'!$I:$J,2,0)</f>
        <v>2886.07</v>
      </c>
      <c r="H678" s="294">
        <f t="shared" si="53"/>
        <v>-1.7126646596466344E-2</v>
      </c>
      <c r="I678" s="297">
        <f>VLOOKUP(A678,'Dados para Ke Alternativo'!$W:$X,2,0)</f>
        <v>116145</v>
      </c>
      <c r="J678" s="294">
        <f t="shared" si="54"/>
        <v>-2.1483634525464423E-2</v>
      </c>
    </row>
    <row r="679" spans="1:10" x14ac:dyDescent="0.3">
      <c r="A679" s="168">
        <v>45191</v>
      </c>
      <c r="B679" s="219">
        <f>VLOOKUP('Ke Alternativo'!A679,'Dados para Ke Alternativo'!$A:$B,2,0)</f>
        <v>46.68</v>
      </c>
      <c r="C679" s="294">
        <f t="shared" si="51"/>
        <v>6.6853569117963918E-3</v>
      </c>
      <c r="D679" s="296">
        <f>VLOOKUP(A679,'Dados para Ke Alternativo'!$P:$Q,2,0)</f>
        <v>4.9351000000000003</v>
      </c>
      <c r="E679" s="296">
        <f t="shared" si="50"/>
        <v>9.4587748981783548</v>
      </c>
      <c r="F679" s="294">
        <f t="shared" si="52"/>
        <v>6.6853569117966138E-3</v>
      </c>
      <c r="G679" s="296">
        <f>VLOOKUP($A679,'Dados para Ke Alternativo'!$I:$J,2,0)</f>
        <v>2879.85</v>
      </c>
      <c r="H679" s="294">
        <f t="shared" si="53"/>
        <v>-2.1551798812919909E-3</v>
      </c>
      <c r="I679" s="297">
        <f>VLOOKUP(A679,'Dados para Ke Alternativo'!$W:$X,2,0)</f>
        <v>116009</v>
      </c>
      <c r="J679" s="294">
        <f t="shared" si="54"/>
        <v>-1.1709501054716354E-3</v>
      </c>
    </row>
    <row r="680" spans="1:10" x14ac:dyDescent="0.3">
      <c r="A680" s="167">
        <v>45194</v>
      </c>
      <c r="B680" s="219">
        <f>VLOOKUP('Ke Alternativo'!A680,'Dados para Ke Alternativo'!$A:$B,2,0)</f>
        <v>46.9</v>
      </c>
      <c r="C680" s="294">
        <f t="shared" si="51"/>
        <v>4.7129391602398485E-3</v>
      </c>
      <c r="D680" s="296">
        <f>VLOOKUP(A680,'Dados para Ke Alternativo'!$P:$Q,2,0)</f>
        <v>4.9678000000000004</v>
      </c>
      <c r="E680" s="296">
        <f t="shared" si="50"/>
        <v>9.4407987439107846</v>
      </c>
      <c r="F680" s="294">
        <f t="shared" si="52"/>
        <v>-1.90047384159997E-3</v>
      </c>
      <c r="G680" s="296">
        <f>VLOOKUP($A680,'Dados para Ke Alternativo'!$I:$J,2,0)</f>
        <v>2879.79</v>
      </c>
      <c r="H680" s="294">
        <f t="shared" si="53"/>
        <v>-2.0834418459236836E-5</v>
      </c>
      <c r="I680" s="297">
        <f>VLOOKUP(A680,'Dados para Ke Alternativo'!$W:$X,2,0)</f>
        <v>115925</v>
      </c>
      <c r="J680" s="294">
        <f t="shared" si="54"/>
        <v>-7.2408175227789418E-4</v>
      </c>
    </row>
    <row r="681" spans="1:10" x14ac:dyDescent="0.3">
      <c r="A681" s="168">
        <v>45195</v>
      </c>
      <c r="B681" s="219">
        <f>VLOOKUP('Ke Alternativo'!A681,'Dados para Ke Alternativo'!$A:$B,2,0)</f>
        <v>46.85</v>
      </c>
      <c r="C681" s="294">
        <f t="shared" si="51"/>
        <v>-1.0660980810234255E-3</v>
      </c>
      <c r="D681" s="296">
        <f>VLOOKUP(A681,'Dados para Ke Alternativo'!$P:$Q,2,0)</f>
        <v>4.9897999999999998</v>
      </c>
      <c r="E681" s="296">
        <f t="shared" si="50"/>
        <v>9.389153873902762</v>
      </c>
      <c r="F681" s="294">
        <f t="shared" si="52"/>
        <v>-5.4703920090800606E-3</v>
      </c>
      <c r="G681" s="296">
        <f>VLOOKUP($A681,'Dados para Ke Alternativo'!$I:$J,2,0)</f>
        <v>2844.83</v>
      </c>
      <c r="H681" s="294">
        <f t="shared" si="53"/>
        <v>-1.2139774080748955E-2</v>
      </c>
      <c r="I681" s="297">
        <f>VLOOKUP(A681,'Dados para Ke Alternativo'!$W:$X,2,0)</f>
        <v>114193</v>
      </c>
      <c r="J681" s="294">
        <f t="shared" si="54"/>
        <v>-1.4940694414492084E-2</v>
      </c>
    </row>
    <row r="682" spans="1:10" x14ac:dyDescent="0.3">
      <c r="A682" s="167">
        <v>45196</v>
      </c>
      <c r="B682" s="219">
        <f>VLOOKUP('Ke Alternativo'!A682,'Dados para Ke Alternativo'!$A:$B,2,0)</f>
        <v>48.22</v>
      </c>
      <c r="C682" s="294">
        <f t="shared" si="51"/>
        <v>2.9242262540021269E-2</v>
      </c>
      <c r="D682" s="296">
        <f>VLOOKUP(A682,'Dados para Ke Alternativo'!$P:$Q,2,0)</f>
        <v>5.0425000000000004</v>
      </c>
      <c r="E682" s="296">
        <f t="shared" si="50"/>
        <v>9.5627169062964796</v>
      </c>
      <c r="F682" s="294">
        <f t="shared" si="52"/>
        <v>1.8485481729736852E-2</v>
      </c>
      <c r="G682" s="296">
        <f>VLOOKUP($A682,'Dados para Ke Alternativo'!$I:$J,2,0)</f>
        <v>2840.82</v>
      </c>
      <c r="H682" s="294">
        <f t="shared" si="53"/>
        <v>-1.4095745615729793E-3</v>
      </c>
      <c r="I682" s="297">
        <f>VLOOKUP(A682,'Dados para Ke Alternativo'!$W:$X,2,0)</f>
        <v>114327</v>
      </c>
      <c r="J682" s="294">
        <f t="shared" si="54"/>
        <v>1.17345196290497E-3</v>
      </c>
    </row>
    <row r="683" spans="1:10" x14ac:dyDescent="0.3">
      <c r="A683" s="168">
        <v>45197</v>
      </c>
      <c r="B683" s="219">
        <f>VLOOKUP('Ke Alternativo'!A683,'Dados para Ke Alternativo'!$A:$B,2,0)</f>
        <v>47.16</v>
      </c>
      <c r="C683" s="294">
        <f t="shared" si="51"/>
        <v>-2.1982579842389049E-2</v>
      </c>
      <c r="D683" s="296">
        <f>VLOOKUP(A683,'Dados para Ke Alternativo'!$P:$Q,2,0)</f>
        <v>5.0331000000000001</v>
      </c>
      <c r="E683" s="296">
        <f t="shared" si="50"/>
        <v>9.3699707933480347</v>
      </c>
      <c r="F683" s="294">
        <f t="shared" si="52"/>
        <v>-2.0155999057290153E-2</v>
      </c>
      <c r="G683" s="296">
        <f>VLOOKUP($A683,'Dados para Ke Alternativo'!$I:$J,2,0)</f>
        <v>2855.88</v>
      </c>
      <c r="H683" s="294">
        <f t="shared" si="53"/>
        <v>5.3012862483368117E-3</v>
      </c>
      <c r="I683" s="297">
        <f>VLOOKUP(A683,'Dados para Ke Alternativo'!$W:$X,2,0)</f>
        <v>115731</v>
      </c>
      <c r="J683" s="294">
        <f t="shared" si="54"/>
        <v>1.2280563646382747E-2</v>
      </c>
    </row>
    <row r="684" spans="1:10" x14ac:dyDescent="0.3">
      <c r="A684" s="167">
        <v>45198</v>
      </c>
      <c r="B684" s="219">
        <f>VLOOKUP('Ke Alternativo'!A684,'Dados para Ke Alternativo'!$A:$B,2,0)</f>
        <v>46.96</v>
      </c>
      <c r="C684" s="294">
        <f t="shared" si="51"/>
        <v>-4.2408821034773947E-3</v>
      </c>
      <c r="D684" s="296">
        <f>VLOOKUP(A684,'Dados para Ke Alternativo'!$P:$Q,2,0)</f>
        <v>5.032</v>
      </c>
      <c r="E684" s="296">
        <f t="shared" si="50"/>
        <v>9.3322734499205087</v>
      </c>
      <c r="F684" s="294">
        <f t="shared" si="52"/>
        <v>-4.0232082104555422E-3</v>
      </c>
      <c r="G684" s="296">
        <f>VLOOKUP($A684,'Dados para Ke Alternativo'!$I:$J,2,0)</f>
        <v>2853.24</v>
      </c>
      <c r="H684" s="294">
        <f t="shared" si="53"/>
        <v>-9.2440858859632602E-4</v>
      </c>
      <c r="I684" s="297">
        <f>VLOOKUP(A684,'Dados para Ke Alternativo'!$W:$X,2,0)</f>
        <v>116565</v>
      </c>
      <c r="J684" s="294">
        <f t="shared" si="54"/>
        <v>7.2063664878037059E-3</v>
      </c>
    </row>
    <row r="685" spans="1:10" x14ac:dyDescent="0.3">
      <c r="A685" s="168">
        <v>45201</v>
      </c>
      <c r="B685" s="219">
        <f>VLOOKUP('Ke Alternativo'!A685,'Dados para Ke Alternativo'!$A:$B,2,0)</f>
        <v>45.33</v>
      </c>
      <c r="C685" s="294">
        <f t="shared" si="51"/>
        <v>-3.471039182282798E-2</v>
      </c>
      <c r="D685" s="296">
        <f>VLOOKUP(A685,'Dados para Ke Alternativo'!$P:$Q,2,0)</f>
        <v>5.0609999999999999</v>
      </c>
      <c r="E685" s="296">
        <f t="shared" si="50"/>
        <v>8.9567279193835212</v>
      </c>
      <c r="F685" s="294">
        <f t="shared" si="52"/>
        <v>-4.0241590921254677E-2</v>
      </c>
      <c r="G685" s="296">
        <f>VLOOKUP($A685,'Dados para Ke Alternativo'!$I:$J,2,0)</f>
        <v>2838.78</v>
      </c>
      <c r="H685" s="294">
        <f t="shared" si="53"/>
        <v>-5.0679227825207729E-3</v>
      </c>
      <c r="I685" s="297">
        <f>VLOOKUP(A685,'Dados para Ke Alternativo'!$W:$X,2,0)</f>
        <v>115057</v>
      </c>
      <c r="J685" s="294">
        <f t="shared" si="54"/>
        <v>-1.2936987946639222E-2</v>
      </c>
    </row>
    <row r="686" spans="1:10" x14ac:dyDescent="0.3">
      <c r="A686" s="167">
        <v>45202</v>
      </c>
      <c r="B686" s="219">
        <f>VLOOKUP('Ke Alternativo'!A686,'Dados para Ke Alternativo'!$A:$B,2,0)</f>
        <v>45.1</v>
      </c>
      <c r="C686" s="294">
        <f t="shared" si="51"/>
        <v>-5.0739024928302401E-3</v>
      </c>
      <c r="D686" s="296">
        <f>VLOOKUP(A686,'Dados para Ke Alternativo'!$P:$Q,2,0)</f>
        <v>5.1669</v>
      </c>
      <c r="E686" s="296">
        <f t="shared" si="50"/>
        <v>8.7286380615068992</v>
      </c>
      <c r="F686" s="294">
        <f t="shared" si="52"/>
        <v>-2.5465757130235689E-2</v>
      </c>
      <c r="G686" s="296">
        <f>VLOOKUP($A686,'Dados para Ke Alternativo'!$I:$J,2,0)</f>
        <v>2799.64</v>
      </c>
      <c r="H686" s="294">
        <f t="shared" si="53"/>
        <v>-1.3787612988678366E-2</v>
      </c>
      <c r="I686" s="297">
        <f>VLOOKUP(A686,'Dados para Ke Alternativo'!$W:$X,2,0)</f>
        <v>113419</v>
      </c>
      <c r="J686" s="294">
        <f t="shared" si="54"/>
        <v>-1.4236421947382616E-2</v>
      </c>
    </row>
    <row r="687" spans="1:10" x14ac:dyDescent="0.3">
      <c r="A687" s="168">
        <v>45203</v>
      </c>
      <c r="B687" s="219">
        <f>VLOOKUP('Ke Alternativo'!A687,'Dados para Ke Alternativo'!$A:$B,2,0)</f>
        <v>43.83</v>
      </c>
      <c r="C687" s="294">
        <f t="shared" si="51"/>
        <v>-2.8159645232816E-2</v>
      </c>
      <c r="D687" s="296">
        <f>VLOOKUP(A687,'Dados para Ke Alternativo'!$P:$Q,2,0)</f>
        <v>5.1562000000000001</v>
      </c>
      <c r="E687" s="296">
        <f t="shared" si="50"/>
        <v>8.5004460649315376</v>
      </c>
      <c r="F687" s="294">
        <f t="shared" si="52"/>
        <v>-2.6142909691912131E-2</v>
      </c>
      <c r="G687" s="296">
        <f>VLOOKUP($A687,'Dados para Ke Alternativo'!$I:$J,2,0)</f>
        <v>2810.86</v>
      </c>
      <c r="H687" s="294">
        <f t="shared" si="53"/>
        <v>4.0076581274737233E-3</v>
      </c>
      <c r="I687" s="297">
        <f>VLOOKUP(A687,'Dados para Ke Alternativo'!$W:$X,2,0)</f>
        <v>113607</v>
      </c>
      <c r="J687" s="294">
        <f t="shared" si="54"/>
        <v>1.6575706010457658E-3</v>
      </c>
    </row>
    <row r="688" spans="1:10" x14ac:dyDescent="0.3">
      <c r="A688" s="167">
        <v>45204</v>
      </c>
      <c r="B688" s="219">
        <f>VLOOKUP('Ke Alternativo'!A688,'Dados para Ke Alternativo'!$A:$B,2,0)</f>
        <v>43.64</v>
      </c>
      <c r="C688" s="294">
        <f t="shared" si="51"/>
        <v>-4.3349304129590704E-3</v>
      </c>
      <c r="D688" s="296">
        <f>VLOOKUP(A688,'Dados para Ke Alternativo'!$P:$Q,2,0)</f>
        <v>5.1657999999999999</v>
      </c>
      <c r="E688" s="296">
        <f t="shared" si="50"/>
        <v>8.4478686747454415</v>
      </c>
      <c r="F688" s="294">
        <f t="shared" si="52"/>
        <v>-6.1852507250181876E-3</v>
      </c>
      <c r="G688" s="296">
        <f>VLOOKUP($A688,'Dados para Ke Alternativo'!$I:$J,2,0)</f>
        <v>2816.43</v>
      </c>
      <c r="H688" s="294">
        <f t="shared" si="53"/>
        <v>1.9815999373855586E-3</v>
      </c>
      <c r="I688" s="297">
        <f>VLOOKUP(A688,'Dados para Ke Alternativo'!$W:$X,2,0)</f>
        <v>113284</v>
      </c>
      <c r="J688" s="294">
        <f t="shared" si="54"/>
        <v>-2.8431346659977264E-3</v>
      </c>
    </row>
    <row r="689" spans="1:10" x14ac:dyDescent="0.3">
      <c r="A689" s="168">
        <v>45205</v>
      </c>
      <c r="B689" s="219">
        <f>VLOOKUP('Ke Alternativo'!A689,'Dados para Ke Alternativo'!$A:$B,2,0)</f>
        <v>44.47</v>
      </c>
      <c r="C689" s="294">
        <f t="shared" si="51"/>
        <v>1.9019248395967026E-2</v>
      </c>
      <c r="D689" s="296">
        <f>VLOOKUP(A689,'Dados para Ke Alternativo'!$P:$Q,2,0)</f>
        <v>5.1456999999999997</v>
      </c>
      <c r="E689" s="296">
        <f t="shared" si="50"/>
        <v>8.642167246438774</v>
      </c>
      <c r="F689" s="294">
        <f t="shared" si="52"/>
        <v>2.2999714978309216E-2</v>
      </c>
      <c r="G689" s="296">
        <f>VLOOKUP($A689,'Dados para Ke Alternativo'!$I:$J,2,0)</f>
        <v>2845.23</v>
      </c>
      <c r="H689" s="294">
        <f t="shared" si="53"/>
        <v>1.022571127278149E-2</v>
      </c>
      <c r="I689" s="297">
        <f>VLOOKUP(A689,'Dados para Ke Alternativo'!$W:$X,2,0)</f>
        <v>114170</v>
      </c>
      <c r="J689" s="294">
        <f t="shared" si="54"/>
        <v>7.8210515165424432E-3</v>
      </c>
    </row>
    <row r="690" spans="1:10" x14ac:dyDescent="0.3">
      <c r="A690" s="167">
        <v>45208</v>
      </c>
      <c r="B690" s="219">
        <f>VLOOKUP('Ke Alternativo'!A690,'Dados para Ke Alternativo'!$A:$B,2,0)</f>
        <v>48.37</v>
      </c>
      <c r="C690" s="294">
        <f t="shared" si="51"/>
        <v>8.7699572745671306E-2</v>
      </c>
      <c r="D690" s="296">
        <f>VLOOKUP(A690,'Dados para Ke Alternativo'!$P:$Q,2,0)</f>
        <v>5.1355000000000004</v>
      </c>
      <c r="E690" s="296">
        <f t="shared" si="50"/>
        <v>9.4187518255281848</v>
      </c>
      <c r="F690" s="294">
        <f t="shared" si="52"/>
        <v>8.9859934081861548E-2</v>
      </c>
      <c r="G690" s="296">
        <f>VLOOKUP($A690,'Dados para Ke Alternativo'!$I:$J,2,0)</f>
        <v>2858.71</v>
      </c>
      <c r="H690" s="294">
        <f t="shared" si="53"/>
        <v>4.7377540655764161E-3</v>
      </c>
      <c r="I690" s="297">
        <f>VLOOKUP(A690,'Dados para Ke Alternativo'!$W:$X,2,0)</f>
        <v>115156</v>
      </c>
      <c r="J690" s="294">
        <f t="shared" si="54"/>
        <v>8.6362441972496207E-3</v>
      </c>
    </row>
    <row r="691" spans="1:10" x14ac:dyDescent="0.3">
      <c r="A691" s="168">
        <v>45209</v>
      </c>
      <c r="B691" s="219">
        <f>VLOOKUP('Ke Alternativo'!A691,'Dados para Ke Alternativo'!$A:$B,2,0)</f>
        <v>48.17</v>
      </c>
      <c r="C691" s="294">
        <f t="shared" si="51"/>
        <v>-4.134794293983779E-3</v>
      </c>
      <c r="D691" s="296">
        <f>VLOOKUP(A691,'Dados para Ke Alternativo'!$P:$Q,2,0)</f>
        <v>5.0515999999999996</v>
      </c>
      <c r="E691" s="296">
        <f t="shared" si="50"/>
        <v>9.5355926835062164</v>
      </c>
      <c r="F691" s="294">
        <f t="shared" si="52"/>
        <v>1.2405131820264259E-2</v>
      </c>
      <c r="G691" s="296">
        <f>VLOOKUP($A691,'Dados para Ke Alternativo'!$I:$J,2,0)</f>
        <v>2887.89</v>
      </c>
      <c r="H691" s="294">
        <f t="shared" si="53"/>
        <v>1.0207401240419633E-2</v>
      </c>
      <c r="I691" s="297">
        <f>VLOOKUP(A691,'Dados para Ke Alternativo'!$W:$X,2,0)</f>
        <v>116737</v>
      </c>
      <c r="J691" s="294">
        <f t="shared" si="54"/>
        <v>1.3729202125811968E-2</v>
      </c>
    </row>
    <row r="692" spans="1:10" x14ac:dyDescent="0.3">
      <c r="A692" s="167">
        <v>45210</v>
      </c>
      <c r="B692" s="219">
        <f>VLOOKUP('Ke Alternativo'!A692,'Dados para Ke Alternativo'!$A:$B,2,0)</f>
        <v>47.52</v>
      </c>
      <c r="C692" s="294">
        <f t="shared" si="51"/>
        <v>-1.3493875856342097E-2</v>
      </c>
      <c r="D692" s="296">
        <f>VLOOKUP(A692,'Dados para Ke Alternativo'!$P:$Q,2,0)</f>
        <v>5.0483000000000002</v>
      </c>
      <c r="E692" s="296">
        <f t="shared" si="50"/>
        <v>9.4130697462512138</v>
      </c>
      <c r="F692" s="294">
        <f t="shared" si="52"/>
        <v>-1.2849011206920724E-2</v>
      </c>
      <c r="G692" s="296">
        <f>VLOOKUP($A692,'Dados para Ke Alternativo'!$I:$J,2,0)</f>
        <v>2899.5</v>
      </c>
      <c r="H692" s="294">
        <f t="shared" si="53"/>
        <v>4.0202362278343173E-3</v>
      </c>
      <c r="I692" s="297">
        <f>VLOOKUP(A692,'Dados para Ke Alternativo'!$W:$X,2,0)</f>
        <v>117051</v>
      </c>
      <c r="J692" s="294">
        <f t="shared" si="54"/>
        <v>2.6898070020644482E-3</v>
      </c>
    </row>
    <row r="693" spans="1:10" x14ac:dyDescent="0.3">
      <c r="A693" s="168">
        <v>45212</v>
      </c>
      <c r="B693" s="219">
        <f>VLOOKUP('Ke Alternativo'!A693,'Dados para Ke Alternativo'!$A:$B,2,0)</f>
        <v>49.92</v>
      </c>
      <c r="C693" s="294">
        <f t="shared" si="51"/>
        <v>5.0505050505050386E-2</v>
      </c>
      <c r="D693" s="296">
        <f>VLOOKUP(A693,'Dados para Ke Alternativo'!$P:$Q,2,0)</f>
        <v>5.0800999999999998</v>
      </c>
      <c r="E693" s="296">
        <f t="shared" si="50"/>
        <v>9.8265782169642328</v>
      </c>
      <c r="F693" s="294">
        <f t="shared" si="52"/>
        <v>4.3929183768950608E-2</v>
      </c>
      <c r="G693" s="296">
        <f>VLOOKUP($A693,'Dados para Ke Alternativo'!$I:$J,2,0)</f>
        <v>2862.14</v>
      </c>
      <c r="H693" s="294">
        <f t="shared" si="53"/>
        <v>-1.2884980168994753E-2</v>
      </c>
      <c r="I693" s="297">
        <f>VLOOKUP(A693,'Dados para Ke Alternativo'!$W:$X,2,0)</f>
        <v>115754</v>
      </c>
      <c r="J693" s="294">
        <f t="shared" si="54"/>
        <v>-1.1080640062878566E-2</v>
      </c>
    </row>
    <row r="694" spans="1:10" x14ac:dyDescent="0.3">
      <c r="A694" s="167">
        <v>45215</v>
      </c>
      <c r="B694" s="219">
        <f>VLOOKUP('Ke Alternativo'!A694,'Dados para Ke Alternativo'!$A:$B,2,0)</f>
        <v>49.72</v>
      </c>
      <c r="C694" s="294">
        <f t="shared" si="51"/>
        <v>-4.0064102564103532E-3</v>
      </c>
      <c r="D694" s="296">
        <f>VLOOKUP(A694,'Dados para Ke Alternativo'!$P:$Q,2,0)</f>
        <v>5.0377000000000001</v>
      </c>
      <c r="E694" s="296">
        <f t="shared" si="50"/>
        <v>9.8695833416043026</v>
      </c>
      <c r="F694" s="294">
        <f t="shared" si="52"/>
        <v>4.376408927965203E-3</v>
      </c>
      <c r="G694" s="296">
        <f>VLOOKUP($A694,'Dados para Ke Alternativo'!$I:$J,2,0)</f>
        <v>2885.35</v>
      </c>
      <c r="H694" s="294">
        <f t="shared" si="53"/>
        <v>8.1093168049082287E-3</v>
      </c>
      <c r="I694" s="297">
        <f>VLOOKUP(A694,'Dados para Ke Alternativo'!$W:$X,2,0)</f>
        <v>116534</v>
      </c>
      <c r="J694" s="294">
        <f t="shared" si="54"/>
        <v>6.7384280456830314E-3</v>
      </c>
    </row>
    <row r="695" spans="1:10" x14ac:dyDescent="0.3">
      <c r="A695" s="168">
        <v>45216</v>
      </c>
      <c r="B695" s="219">
        <f>VLOOKUP('Ke Alternativo'!A695,'Dados para Ke Alternativo'!$A:$B,2,0)</f>
        <v>50.12</v>
      </c>
      <c r="C695" s="294">
        <f t="shared" si="51"/>
        <v>8.045052292839916E-3</v>
      </c>
      <c r="D695" s="296">
        <f>VLOOKUP(A695,'Dados para Ke Alternativo'!$P:$Q,2,0)</f>
        <v>5.0414000000000003</v>
      </c>
      <c r="E695" s="296">
        <f t="shared" si="50"/>
        <v>9.9416828658705896</v>
      </c>
      <c r="F695" s="294">
        <f t="shared" si="52"/>
        <v>7.3052247263933889E-3</v>
      </c>
      <c r="G695" s="296">
        <f>VLOOKUP($A695,'Dados para Ke Alternativo'!$I:$J,2,0)</f>
        <v>2888.62</v>
      </c>
      <c r="H695" s="294">
        <f t="shared" si="53"/>
        <v>1.1333113833675856E-3</v>
      </c>
      <c r="I695" s="297">
        <f>VLOOKUP(A695,'Dados para Ke Alternativo'!$W:$X,2,0)</f>
        <v>115908</v>
      </c>
      <c r="J695" s="294">
        <f t="shared" si="54"/>
        <v>-5.3718228156589554E-3</v>
      </c>
    </row>
    <row r="696" spans="1:10" x14ac:dyDescent="0.3">
      <c r="A696" s="167">
        <v>45217</v>
      </c>
      <c r="B696" s="219">
        <f>VLOOKUP('Ke Alternativo'!A696,'Dados para Ke Alternativo'!$A:$B,2,0)</f>
        <v>50.12</v>
      </c>
      <c r="C696" s="294">
        <f t="shared" si="51"/>
        <v>0</v>
      </c>
      <c r="D696" s="296">
        <f>VLOOKUP(A696,'Dados para Ke Alternativo'!$P:$Q,2,0)</f>
        <v>5.0590999999999999</v>
      </c>
      <c r="E696" s="296">
        <f t="shared" si="50"/>
        <v>9.9069004368365903</v>
      </c>
      <c r="F696" s="294">
        <f t="shared" si="52"/>
        <v>-3.4986460042298884E-3</v>
      </c>
      <c r="G696" s="296">
        <f>VLOOKUP($A696,'Dados para Ke Alternativo'!$I:$J,2,0)</f>
        <v>2851.89</v>
      </c>
      <c r="H696" s="294">
        <f t="shared" si="53"/>
        <v>-1.2715414280867643E-2</v>
      </c>
      <c r="I696" s="297">
        <f>VLOOKUP(A696,'Dados para Ke Alternativo'!$W:$X,2,0)</f>
        <v>114060</v>
      </c>
      <c r="J696" s="294">
        <f t="shared" si="54"/>
        <v>-1.5943679469924477E-2</v>
      </c>
    </row>
    <row r="697" spans="1:10" x14ac:dyDescent="0.3">
      <c r="A697" s="168">
        <v>45218</v>
      </c>
      <c r="B697" s="219">
        <f>VLOOKUP('Ke Alternativo'!A697,'Dados para Ke Alternativo'!$A:$B,2,0)</f>
        <v>49.95</v>
      </c>
      <c r="C697" s="294">
        <f t="shared" si="51"/>
        <v>-3.3918595371108529E-3</v>
      </c>
      <c r="D697" s="296">
        <f>VLOOKUP(A697,'Dados para Ke Alternativo'!$P:$Q,2,0)</f>
        <v>5.0646000000000004</v>
      </c>
      <c r="E697" s="296">
        <f t="shared" si="50"/>
        <v>9.8625755242269868</v>
      </c>
      <c r="F697" s="294">
        <f t="shared" si="52"/>
        <v>-4.4741453588037494E-3</v>
      </c>
      <c r="G697" s="296">
        <f>VLOOKUP($A697,'Dados para Ke Alternativo'!$I:$J,2,0)</f>
        <v>2824.45</v>
      </c>
      <c r="H697" s="294">
        <f t="shared" si="53"/>
        <v>-9.621689476101869E-3</v>
      </c>
      <c r="I697" s="297">
        <f>VLOOKUP(A697,'Dados para Ke Alternativo'!$W:$X,2,0)</f>
        <v>114004</v>
      </c>
      <c r="J697" s="294">
        <f t="shared" si="54"/>
        <v>-4.9096966508854756E-4</v>
      </c>
    </row>
    <row r="698" spans="1:10" x14ac:dyDescent="0.3">
      <c r="A698" s="167">
        <v>45219</v>
      </c>
      <c r="B698" s="219">
        <f>VLOOKUP('Ke Alternativo'!A698,'Dados para Ke Alternativo'!$A:$B,2,0)</f>
        <v>49.62</v>
      </c>
      <c r="C698" s="294">
        <f t="shared" si="51"/>
        <v>-6.6066066066067242E-3</v>
      </c>
      <c r="D698" s="296">
        <f>VLOOKUP(A698,'Dados para Ke Alternativo'!$P:$Q,2,0)</f>
        <v>5.0312000000000001</v>
      </c>
      <c r="E698" s="296">
        <f t="shared" si="50"/>
        <v>9.8624582604547619</v>
      </c>
      <c r="F698" s="294">
        <f t="shared" si="52"/>
        <v>-1.188977178800954E-5</v>
      </c>
      <c r="G698" s="296">
        <f>VLOOKUP($A698,'Dados para Ke Alternativo'!$I:$J,2,0)</f>
        <v>2791.24</v>
      </c>
      <c r="H698" s="294">
        <f t="shared" si="53"/>
        <v>-1.1758041388588936E-2</v>
      </c>
      <c r="I698" s="297">
        <f>VLOOKUP(A698,'Dados para Ke Alternativo'!$W:$X,2,0)</f>
        <v>113155</v>
      </c>
      <c r="J698" s="294">
        <f t="shared" si="54"/>
        <v>-7.4471071190485016E-3</v>
      </c>
    </row>
    <row r="699" spans="1:10" x14ac:dyDescent="0.3">
      <c r="A699" s="168">
        <v>45222</v>
      </c>
      <c r="B699" s="219">
        <f>VLOOKUP('Ke Alternativo'!A699,'Dados para Ke Alternativo'!$A:$B,2,0)</f>
        <v>48.76</v>
      </c>
      <c r="C699" s="294">
        <f t="shared" si="51"/>
        <v>-1.7331721080209528E-2</v>
      </c>
      <c r="D699" s="296">
        <f>VLOOKUP(A699,'Dados para Ke Alternativo'!$P:$Q,2,0)</f>
        <v>5.0111999999999997</v>
      </c>
      <c r="E699" s="296">
        <f t="shared" si="50"/>
        <v>9.7302043422733089</v>
      </c>
      <c r="F699" s="294">
        <f t="shared" si="52"/>
        <v>-1.3409832993843795E-2</v>
      </c>
      <c r="G699" s="296">
        <f>VLOOKUP($A699,'Dados para Ke Alternativo'!$I:$J,2,0)</f>
        <v>2786.75</v>
      </c>
      <c r="H699" s="294">
        <f t="shared" si="53"/>
        <v>-1.6086040612773855E-3</v>
      </c>
      <c r="I699" s="297">
        <f>VLOOKUP(A699,'Dados para Ke Alternativo'!$W:$X,2,0)</f>
        <v>112785</v>
      </c>
      <c r="J699" s="294">
        <f t="shared" si="54"/>
        <v>-3.2698510892139598E-3</v>
      </c>
    </row>
    <row r="700" spans="1:10" x14ac:dyDescent="0.3">
      <c r="A700" s="167">
        <v>45223</v>
      </c>
      <c r="B700" s="219">
        <f>VLOOKUP('Ke Alternativo'!A700,'Dados para Ke Alternativo'!$A:$B,2,0)</f>
        <v>48.77</v>
      </c>
      <c r="C700" s="294">
        <f t="shared" si="51"/>
        <v>2.0508613617731264E-4</v>
      </c>
      <c r="D700" s="296">
        <f>VLOOKUP(A700,'Dados para Ke Alternativo'!$P:$Q,2,0)</f>
        <v>4.9908000000000001</v>
      </c>
      <c r="E700" s="296">
        <f t="shared" si="50"/>
        <v>9.7719804440169913</v>
      </c>
      <c r="F700" s="294">
        <f t="shared" si="52"/>
        <v>4.2934454687846291E-3</v>
      </c>
      <c r="G700" s="296">
        <f>VLOOKUP($A700,'Dados para Ke Alternativo'!$I:$J,2,0)</f>
        <v>2801.96</v>
      </c>
      <c r="H700" s="294">
        <f t="shared" si="53"/>
        <v>5.4579707544630818E-3</v>
      </c>
      <c r="I700" s="297">
        <f>VLOOKUP(A700,'Dados para Ke Alternativo'!$W:$X,2,0)</f>
        <v>113762</v>
      </c>
      <c r="J700" s="294">
        <f t="shared" si="54"/>
        <v>8.6624994458484039E-3</v>
      </c>
    </row>
    <row r="701" spans="1:10" x14ac:dyDescent="0.3">
      <c r="A701" s="168">
        <v>45224</v>
      </c>
      <c r="B701" s="219">
        <f>VLOOKUP('Ke Alternativo'!A701,'Dados para Ke Alternativo'!$A:$B,2,0)</f>
        <v>48.28</v>
      </c>
      <c r="C701" s="294">
        <f t="shared" si="51"/>
        <v>-1.0047160139429967E-2</v>
      </c>
      <c r="D701" s="296">
        <f>VLOOKUP(A701,'Dados para Ke Alternativo'!$P:$Q,2,0)</f>
        <v>4.9946999999999999</v>
      </c>
      <c r="E701" s="296">
        <f t="shared" si="50"/>
        <v>9.666246220994255</v>
      </c>
      <c r="F701" s="294">
        <f t="shared" si="52"/>
        <v>-1.0820142716052361E-2</v>
      </c>
      <c r="G701" s="296">
        <f>VLOOKUP($A701,'Dados para Ke Alternativo'!$I:$J,2,0)</f>
        <v>2772.11</v>
      </c>
      <c r="H701" s="294">
        <f t="shared" si="53"/>
        <v>-1.0653257005810213E-2</v>
      </c>
      <c r="I701" s="297">
        <f>VLOOKUP(A701,'Dados para Ke Alternativo'!$W:$X,2,0)</f>
        <v>112830</v>
      </c>
      <c r="J701" s="294">
        <f t="shared" si="54"/>
        <v>-8.1925423252052765E-3</v>
      </c>
    </row>
    <row r="702" spans="1:10" x14ac:dyDescent="0.3">
      <c r="A702" s="167">
        <v>45225</v>
      </c>
      <c r="B702" s="219">
        <f>VLOOKUP('Ke Alternativo'!A702,'Dados para Ke Alternativo'!$A:$B,2,0)</f>
        <v>47.92</v>
      </c>
      <c r="C702" s="294">
        <f t="shared" si="51"/>
        <v>-7.4565037282519064E-3</v>
      </c>
      <c r="D702" s="296">
        <f>VLOOKUP(A702,'Dados para Ke Alternativo'!$P:$Q,2,0)</f>
        <v>4.9861000000000004</v>
      </c>
      <c r="E702" s="296">
        <f t="shared" si="50"/>
        <v>9.6107177954714107</v>
      </c>
      <c r="F702" s="294">
        <f t="shared" si="52"/>
        <v>-5.7445697381721672E-3</v>
      </c>
      <c r="G702" s="296">
        <f>VLOOKUP($A702,'Dados para Ke Alternativo'!$I:$J,2,0)</f>
        <v>2740.96</v>
      </c>
      <c r="H702" s="294">
        <f t="shared" si="53"/>
        <v>-1.1236927827539378E-2</v>
      </c>
      <c r="I702" s="297">
        <f>VLOOKUP(A702,'Dados para Ke Alternativo'!$W:$X,2,0)</f>
        <v>114777</v>
      </c>
      <c r="J702" s="294">
        <f t="shared" si="54"/>
        <v>1.7256048923158795E-2</v>
      </c>
    </row>
    <row r="703" spans="1:10" x14ac:dyDescent="0.3">
      <c r="A703" s="168">
        <v>45226</v>
      </c>
      <c r="B703" s="219">
        <f>VLOOKUP('Ke Alternativo'!A703,'Dados para Ke Alternativo'!$A:$B,2,0)</f>
        <v>47.69</v>
      </c>
      <c r="C703" s="294">
        <f t="shared" si="51"/>
        <v>-4.7996661101836757E-3</v>
      </c>
      <c r="D703" s="296">
        <f>VLOOKUP(A703,'Dados para Ke Alternativo'!$P:$Q,2,0)</f>
        <v>5.0152000000000001</v>
      </c>
      <c r="E703" s="296">
        <f t="shared" si="50"/>
        <v>9.5090923592279459</v>
      </c>
      <c r="F703" s="294">
        <f t="shared" si="52"/>
        <v>-1.0574177538679841E-2</v>
      </c>
      <c r="G703" s="296">
        <f>VLOOKUP($A703,'Dados para Ke Alternativo'!$I:$J,2,0)</f>
        <v>2731.99</v>
      </c>
      <c r="H703" s="294">
        <f t="shared" si="53"/>
        <v>-3.2725760317553476E-3</v>
      </c>
      <c r="I703" s="297">
        <f>VLOOKUP(A703,'Dados para Ke Alternativo'!$W:$X,2,0)</f>
        <v>113301</v>
      </c>
      <c r="J703" s="294">
        <f t="shared" si="54"/>
        <v>-1.285971928173768E-2</v>
      </c>
    </row>
    <row r="704" spans="1:10" x14ac:dyDescent="0.3">
      <c r="A704" s="167">
        <v>45229</v>
      </c>
      <c r="B704" s="219">
        <f>VLOOKUP('Ke Alternativo'!A704,'Dados para Ke Alternativo'!$A:$B,2,0)</f>
        <v>46.29</v>
      </c>
      <c r="C704" s="294">
        <f t="shared" si="51"/>
        <v>-2.9356259173831001E-2</v>
      </c>
      <c r="D704" s="296">
        <f>VLOOKUP(A704,'Dados para Ke Alternativo'!$P:$Q,2,0)</f>
        <v>5.0472000000000001</v>
      </c>
      <c r="E704" s="296">
        <f t="shared" si="50"/>
        <v>9.1714217784117924</v>
      </c>
      <c r="F704" s="294">
        <f t="shared" si="52"/>
        <v>-3.5510285110278317E-2</v>
      </c>
      <c r="G704" s="296">
        <f>VLOOKUP($A704,'Dados para Ke Alternativo'!$I:$J,2,0)</f>
        <v>2757.59</v>
      </c>
      <c r="H704" s="294">
        <f t="shared" si="53"/>
        <v>9.3704588962626456E-3</v>
      </c>
      <c r="I704" s="297">
        <f>VLOOKUP(A704,'Dados para Ke Alternativo'!$W:$X,2,0)</f>
        <v>112532</v>
      </c>
      <c r="J704" s="294">
        <f t="shared" si="54"/>
        <v>-6.7872304745765222E-3</v>
      </c>
    </row>
    <row r="705" spans="1:10" x14ac:dyDescent="0.3">
      <c r="A705" s="168">
        <v>45230</v>
      </c>
      <c r="B705" s="219">
        <f>VLOOKUP('Ke Alternativo'!A705,'Dados para Ke Alternativo'!$A:$B,2,0)</f>
        <v>47.62</v>
      </c>
      <c r="C705" s="294">
        <f t="shared" si="51"/>
        <v>2.8731907539425228E-2</v>
      </c>
      <c r="D705" s="296">
        <f>VLOOKUP(A705,'Dados para Ke Alternativo'!$P:$Q,2,0)</f>
        <v>5.0350000000000001</v>
      </c>
      <c r="E705" s="296">
        <f t="shared" si="50"/>
        <v>9.4577954319761659</v>
      </c>
      <c r="F705" s="294">
        <f t="shared" si="52"/>
        <v>3.122456479304625E-2</v>
      </c>
      <c r="G705" s="296">
        <f>VLOOKUP($A705,'Dados para Ke Alternativo'!$I:$J,2,0)</f>
        <v>2768.62</v>
      </c>
      <c r="H705" s="294">
        <f t="shared" si="53"/>
        <v>3.9998694512235478E-3</v>
      </c>
      <c r="I705" s="297">
        <f>VLOOKUP(A705,'Dados para Ke Alternativo'!$W:$X,2,0)</f>
        <v>113144</v>
      </c>
      <c r="J705" s="294">
        <f t="shared" si="54"/>
        <v>5.4384530622400007E-3</v>
      </c>
    </row>
    <row r="706" spans="1:10" x14ac:dyDescent="0.3">
      <c r="A706" s="167">
        <v>45231</v>
      </c>
      <c r="B706" s="219">
        <f>VLOOKUP('Ke Alternativo'!A706,'Dados para Ke Alternativo'!$A:$B,2,0)</f>
        <v>47.99</v>
      </c>
      <c r="C706" s="294">
        <f t="shared" si="51"/>
        <v>7.7698446031080337E-3</v>
      </c>
      <c r="D706" s="296">
        <f>VLOOKUP(A706,'Dados para Ke Alternativo'!$P:$Q,2,0)</f>
        <v>4.9534000000000002</v>
      </c>
      <c r="E706" s="296">
        <f t="shared" ref="E706:E769" si="55">B706/D706</f>
        <v>9.6882949085476646</v>
      </c>
      <c r="F706" s="294">
        <f t="shared" si="52"/>
        <v>2.4371374727792938E-2</v>
      </c>
      <c r="G706" s="296">
        <f>VLOOKUP($A706,'Dados para Ke Alternativo'!$I:$J,2,0)</f>
        <v>2797.49</v>
      </c>
      <c r="H706" s="294">
        <f t="shared" si="53"/>
        <v>1.0427577637956764E-2</v>
      </c>
      <c r="I706" s="297">
        <f>VLOOKUP(A706,'Dados para Ke Alternativo'!$W:$X,2,0)</f>
        <v>115053</v>
      </c>
      <c r="J706" s="294">
        <f t="shared" si="54"/>
        <v>1.6872304320158404E-2</v>
      </c>
    </row>
    <row r="707" spans="1:10" x14ac:dyDescent="0.3">
      <c r="A707" s="168">
        <v>45233</v>
      </c>
      <c r="B707" s="219">
        <f>VLOOKUP('Ke Alternativo'!A707,'Dados para Ke Alternativo'!$A:$B,2,0)</f>
        <v>48.12</v>
      </c>
      <c r="C707" s="294">
        <f t="shared" ref="C707:C770" si="56">B707/B706-1</f>
        <v>2.7088976870179859E-3</v>
      </c>
      <c r="D707" s="296">
        <f>VLOOKUP(A707,'Dados para Ke Alternativo'!$P:$Q,2,0)</f>
        <v>4.9012000000000002</v>
      </c>
      <c r="E707" s="296">
        <f t="shared" si="55"/>
        <v>9.8180037541826479</v>
      </c>
      <c r="F707" s="294">
        <f t="shared" ref="F707:F770" si="57">E707/E706-1</f>
        <v>1.3388201624678686E-2</v>
      </c>
      <c r="G707" s="296">
        <f>VLOOKUP($A707,'Dados para Ke Alternativo'!$I:$J,2,0)</f>
        <v>2883.8</v>
      </c>
      <c r="H707" s="294">
        <f t="shared" ref="H707:H770" si="58">G707/G706-1</f>
        <v>3.0852657203421785E-2</v>
      </c>
      <c r="I707" s="297">
        <f>VLOOKUP(A707,'Dados para Ke Alternativo'!$W:$X,2,0)</f>
        <v>118160</v>
      </c>
      <c r="J707" s="294">
        <f t="shared" ref="J707:J770" si="59">I707/I706-1</f>
        <v>2.7004945546834858E-2</v>
      </c>
    </row>
    <row r="708" spans="1:10" x14ac:dyDescent="0.3">
      <c r="A708" s="167">
        <v>45236</v>
      </c>
      <c r="B708" s="219">
        <f>VLOOKUP('Ke Alternativo'!A708,'Dados para Ke Alternativo'!$A:$B,2,0)</f>
        <v>47.93</v>
      </c>
      <c r="C708" s="294">
        <f t="shared" si="56"/>
        <v>-3.9484621778885787E-3</v>
      </c>
      <c r="D708" s="296">
        <f>VLOOKUP(A708,'Dados para Ke Alternativo'!$P:$Q,2,0)</f>
        <v>4.8853</v>
      </c>
      <c r="E708" s="296">
        <f t="shared" si="55"/>
        <v>9.8110658506130637</v>
      </c>
      <c r="F708" s="294">
        <f t="shared" si="57"/>
        <v>-7.0665114246148963E-4</v>
      </c>
      <c r="G708" s="296">
        <f>VLOOKUP($A708,'Dados para Ke Alternativo'!$I:$J,2,0)</f>
        <v>2889.44</v>
      </c>
      <c r="H708" s="294">
        <f t="shared" si="58"/>
        <v>1.955752826132251E-3</v>
      </c>
      <c r="I708" s="297">
        <f>VLOOKUP(A708,'Dados para Ke Alternativo'!$W:$X,2,0)</f>
        <v>118431</v>
      </c>
      <c r="J708" s="294">
        <f t="shared" si="59"/>
        <v>2.293500338524046E-3</v>
      </c>
    </row>
    <row r="709" spans="1:10" x14ac:dyDescent="0.3">
      <c r="A709" s="168">
        <v>45237</v>
      </c>
      <c r="B709" s="219">
        <f>VLOOKUP('Ke Alternativo'!A709,'Dados para Ke Alternativo'!$A:$B,2,0)</f>
        <v>46.74</v>
      </c>
      <c r="C709" s="294">
        <f t="shared" si="56"/>
        <v>-2.4827873982891657E-2</v>
      </c>
      <c r="D709" s="296">
        <f>VLOOKUP(A709,'Dados para Ke Alternativo'!$P:$Q,2,0)</f>
        <v>4.8723999999999998</v>
      </c>
      <c r="E709" s="296">
        <f t="shared" si="55"/>
        <v>9.5928084722108213</v>
      </c>
      <c r="F709" s="294">
        <f t="shared" si="57"/>
        <v>-2.2246041533663163E-2</v>
      </c>
      <c r="G709" s="296">
        <f>VLOOKUP($A709,'Dados para Ke Alternativo'!$I:$J,2,0)</f>
        <v>2887.39</v>
      </c>
      <c r="H709" s="294">
        <f t="shared" si="58"/>
        <v>-7.0948003765436418E-4</v>
      </c>
      <c r="I709" s="297">
        <f>VLOOKUP(A709,'Dados para Ke Alternativo'!$W:$X,2,0)</f>
        <v>119268</v>
      </c>
      <c r="J709" s="294">
        <f t="shared" si="59"/>
        <v>7.06740633786751E-3</v>
      </c>
    </row>
    <row r="710" spans="1:10" x14ac:dyDescent="0.3">
      <c r="A710" s="167">
        <v>45238</v>
      </c>
      <c r="B710" s="219">
        <f>VLOOKUP('Ke Alternativo'!A710,'Dados para Ke Alternativo'!$A:$B,2,0)</f>
        <v>45.41</v>
      </c>
      <c r="C710" s="294">
        <f t="shared" si="56"/>
        <v>-2.8455284552845628E-2</v>
      </c>
      <c r="D710" s="296">
        <f>VLOOKUP(A710,'Dados para Ke Alternativo'!$P:$Q,2,0)</f>
        <v>4.9103000000000003</v>
      </c>
      <c r="E710" s="296">
        <f t="shared" si="55"/>
        <v>9.2479074598293369</v>
      </c>
      <c r="F710" s="294">
        <f t="shared" si="57"/>
        <v>-3.5954122651423726E-2</v>
      </c>
      <c r="G710" s="296">
        <f>VLOOKUP($A710,'Dados para Ke Alternativo'!$I:$J,2,0)</f>
        <v>2888.41</v>
      </c>
      <c r="H710" s="294">
        <f t="shared" si="58"/>
        <v>3.5326021077852765E-4</v>
      </c>
      <c r="I710" s="297">
        <f>VLOOKUP(A710,'Dados para Ke Alternativo'!$W:$X,2,0)</f>
        <v>119177</v>
      </c>
      <c r="J710" s="294">
        <f t="shared" si="59"/>
        <v>-7.6298755743364755E-4</v>
      </c>
    </row>
    <row r="711" spans="1:10" x14ac:dyDescent="0.3">
      <c r="A711" s="168">
        <v>45239</v>
      </c>
      <c r="B711" s="219">
        <f>VLOOKUP('Ke Alternativo'!A711,'Dados para Ke Alternativo'!$A:$B,2,0)</f>
        <v>44.66</v>
      </c>
      <c r="C711" s="294">
        <f t="shared" si="56"/>
        <v>-1.6516185862144872E-2</v>
      </c>
      <c r="D711" s="296">
        <f>VLOOKUP(A711,'Dados para Ke Alternativo'!$P:$Q,2,0)</f>
        <v>4.9341999999999997</v>
      </c>
      <c r="E711" s="296">
        <f t="shared" si="55"/>
        <v>9.0511126423736368</v>
      </c>
      <c r="F711" s="294">
        <f t="shared" si="57"/>
        <v>-2.1279929358130945E-2</v>
      </c>
      <c r="G711" s="296">
        <f>VLOOKUP($A711,'Dados para Ke Alternativo'!$I:$J,2,0)</f>
        <v>2878.98</v>
      </c>
      <c r="H711" s="294">
        <f t="shared" si="58"/>
        <v>-3.2647719679684828E-3</v>
      </c>
      <c r="I711" s="297">
        <f>VLOOKUP(A711,'Dados para Ke Alternativo'!$W:$X,2,0)</f>
        <v>119034</v>
      </c>
      <c r="J711" s="294">
        <f t="shared" si="59"/>
        <v>-1.1998959530782338E-3</v>
      </c>
    </row>
    <row r="712" spans="1:10" x14ac:dyDescent="0.3">
      <c r="A712" s="167">
        <v>45240</v>
      </c>
      <c r="B712" s="219">
        <f>VLOOKUP('Ke Alternativo'!A712,'Dados para Ke Alternativo'!$A:$B,2,0)</f>
        <v>46.4</v>
      </c>
      <c r="C712" s="294">
        <f t="shared" si="56"/>
        <v>3.8961038961039085E-2</v>
      </c>
      <c r="D712" s="296">
        <f>VLOOKUP(A712,'Dados para Ke Alternativo'!$P:$Q,2,0)</f>
        <v>4.9013</v>
      </c>
      <c r="E712" s="296">
        <f t="shared" si="55"/>
        <v>9.466876134902984</v>
      </c>
      <c r="F712" s="294">
        <f t="shared" si="57"/>
        <v>4.5935069969509801E-2</v>
      </c>
      <c r="G712" s="296">
        <f>VLOOKUP($A712,'Dados para Ke Alternativo'!$I:$J,2,0)</f>
        <v>2900.76</v>
      </c>
      <c r="H712" s="294">
        <f t="shared" si="58"/>
        <v>7.5651793343476381E-3</v>
      </c>
      <c r="I712" s="297">
        <f>VLOOKUP(A712,'Dados para Ke Alternativo'!$W:$X,2,0)</f>
        <v>120568</v>
      </c>
      <c r="J712" s="294">
        <f t="shared" si="59"/>
        <v>1.2887074281297872E-2</v>
      </c>
    </row>
    <row r="713" spans="1:10" x14ac:dyDescent="0.3">
      <c r="A713" s="168">
        <v>45243</v>
      </c>
      <c r="B713" s="219">
        <f>VLOOKUP('Ke Alternativo'!A713,'Dados para Ke Alternativo'!$A:$B,2,0)</f>
        <v>46.23</v>
      </c>
      <c r="C713" s="294">
        <f t="shared" si="56"/>
        <v>-3.6637931034483318E-3</v>
      </c>
      <c r="D713" s="296">
        <f>VLOOKUP(A713,'Dados para Ke Alternativo'!$P:$Q,2,0)</f>
        <v>4.9074999999999998</v>
      </c>
      <c r="E713" s="296">
        <f t="shared" si="55"/>
        <v>9.4202750891492606</v>
      </c>
      <c r="F713" s="294">
        <f t="shared" si="57"/>
        <v>-4.922536757601792E-3</v>
      </c>
      <c r="G713" s="296">
        <f>VLOOKUP($A713,'Dados para Ke Alternativo'!$I:$J,2,0)</f>
        <v>2904.64</v>
      </c>
      <c r="H713" s="294">
        <f t="shared" si="58"/>
        <v>1.3375804961457405E-3</v>
      </c>
      <c r="I713" s="297">
        <f>VLOOKUP(A713,'Dados para Ke Alternativo'!$W:$X,2,0)</f>
        <v>120410</v>
      </c>
      <c r="J713" s="294">
        <f t="shared" si="59"/>
        <v>-1.3104638046579353E-3</v>
      </c>
    </row>
    <row r="714" spans="1:10" x14ac:dyDescent="0.3">
      <c r="A714" s="167">
        <v>45244</v>
      </c>
      <c r="B714" s="219">
        <f>VLOOKUP('Ke Alternativo'!A714,'Dados para Ke Alternativo'!$A:$B,2,0)</f>
        <v>46.91</v>
      </c>
      <c r="C714" s="294">
        <f t="shared" si="56"/>
        <v>1.4709063378758325E-2</v>
      </c>
      <c r="D714" s="296">
        <f>VLOOKUP(A714,'Dados para Ke Alternativo'!$P:$Q,2,0)</f>
        <v>4.8654000000000002</v>
      </c>
      <c r="E714" s="296">
        <f t="shared" si="55"/>
        <v>9.6415505405516502</v>
      </c>
      <c r="F714" s="294">
        <f t="shared" si="57"/>
        <v>2.3489277044283607E-2</v>
      </c>
      <c r="G714" s="296">
        <f>VLOOKUP($A714,'Dados para Ke Alternativo'!$I:$J,2,0)</f>
        <v>2963.36</v>
      </c>
      <c r="H714" s="294">
        <f t="shared" si="58"/>
        <v>2.0215930373471469E-2</v>
      </c>
      <c r="I714" s="297">
        <f>VLOOKUP(A714,'Dados para Ke Alternativo'!$W:$X,2,0)</f>
        <v>123166</v>
      </c>
      <c r="J714" s="294">
        <f t="shared" si="59"/>
        <v>2.2888464413254761E-2</v>
      </c>
    </row>
    <row r="715" spans="1:10" x14ac:dyDescent="0.3">
      <c r="A715" s="168">
        <v>45246</v>
      </c>
      <c r="B715" s="219">
        <f>VLOOKUP('Ke Alternativo'!A715,'Dados para Ke Alternativo'!$A:$B,2,0)</f>
        <v>45.26</v>
      </c>
      <c r="C715" s="294">
        <f t="shared" si="56"/>
        <v>-3.5173736943082456E-2</v>
      </c>
      <c r="D715" s="296">
        <f>VLOOKUP(A715,'Dados para Ke Alternativo'!$P:$Q,2,0)</f>
        <v>4.8632</v>
      </c>
      <c r="E715" s="296">
        <f t="shared" si="55"/>
        <v>9.3066293798322093</v>
      </c>
      <c r="F715" s="294">
        <f t="shared" si="57"/>
        <v>-3.4737271698238481E-2</v>
      </c>
      <c r="G715" s="296">
        <f>VLOOKUP($A715,'Dados para Ke Alternativo'!$I:$J,2,0)</f>
        <v>2973</v>
      </c>
      <c r="H715" s="294">
        <f t="shared" si="58"/>
        <v>3.25306408941195E-3</v>
      </c>
      <c r="I715" s="297">
        <f>VLOOKUP(A715,'Dados para Ke Alternativo'!$W:$X,2,0)</f>
        <v>124639</v>
      </c>
      <c r="J715" s="294">
        <f t="shared" si="59"/>
        <v>1.1959469334069439E-2</v>
      </c>
    </row>
    <row r="716" spans="1:10" x14ac:dyDescent="0.3">
      <c r="A716" s="167">
        <v>45247</v>
      </c>
      <c r="B716" s="219">
        <f>VLOOKUP('Ke Alternativo'!A716,'Dados para Ke Alternativo'!$A:$B,2,0)</f>
        <v>46.41</v>
      </c>
      <c r="C716" s="294">
        <f t="shared" si="56"/>
        <v>2.5408749447635826E-2</v>
      </c>
      <c r="D716" s="296">
        <f>VLOOKUP(A716,'Dados para Ke Alternativo'!$P:$Q,2,0)</f>
        <v>4.9058999999999999</v>
      </c>
      <c r="E716" s="296">
        <f t="shared" si="55"/>
        <v>9.460037913532684</v>
      </c>
      <c r="F716" s="294">
        <f t="shared" si="57"/>
        <v>1.648379100954811E-2</v>
      </c>
      <c r="G716" s="296">
        <f>VLOOKUP($A716,'Dados para Ke Alternativo'!$I:$J,2,0)</f>
        <v>2985.19</v>
      </c>
      <c r="H716" s="294">
        <f t="shared" si="58"/>
        <v>4.100235452404899E-3</v>
      </c>
      <c r="I716" s="297">
        <f>VLOOKUP(A716,'Dados para Ke Alternativo'!$W:$X,2,0)</f>
        <v>124773</v>
      </c>
      <c r="J716" s="294">
        <f t="shared" si="59"/>
        <v>1.0751049029598114E-3</v>
      </c>
    </row>
    <row r="717" spans="1:10" x14ac:dyDescent="0.3">
      <c r="A717" s="168">
        <v>45250</v>
      </c>
      <c r="B717" s="219">
        <f>VLOOKUP('Ke Alternativo'!A717,'Dados para Ke Alternativo'!$A:$B,2,0)</f>
        <v>47.45</v>
      </c>
      <c r="C717" s="294">
        <f t="shared" si="56"/>
        <v>2.2408963585434316E-2</v>
      </c>
      <c r="D717" s="296">
        <f>VLOOKUP(A717,'Dados para Ke Alternativo'!$P:$Q,2,0)</f>
        <v>4.8543000000000003</v>
      </c>
      <c r="E717" s="296">
        <f t="shared" si="55"/>
        <v>9.7748388027109989</v>
      </c>
      <c r="F717" s="294">
        <f t="shared" si="57"/>
        <v>3.3276916229689535E-2</v>
      </c>
      <c r="G717" s="296">
        <f>VLOOKUP($A717,'Dados para Ke Alternativo'!$I:$J,2,0)</f>
        <v>3004.88</v>
      </c>
      <c r="H717" s="294">
        <f t="shared" si="58"/>
        <v>6.595895068655544E-3</v>
      </c>
      <c r="I717" s="297">
        <f>VLOOKUP(A717,'Dados para Ke Alternativo'!$W:$X,2,0)</f>
        <v>125957</v>
      </c>
      <c r="J717" s="294">
        <f t="shared" si="59"/>
        <v>9.4892324461222088E-3</v>
      </c>
    </row>
    <row r="718" spans="1:10" x14ac:dyDescent="0.3">
      <c r="A718" s="167">
        <v>45251</v>
      </c>
      <c r="B718" s="219">
        <f>VLOOKUP('Ke Alternativo'!A718,'Dados para Ke Alternativo'!$A:$B,2,0)</f>
        <v>47.9</v>
      </c>
      <c r="C718" s="294">
        <f t="shared" si="56"/>
        <v>9.4836670179134774E-3</v>
      </c>
      <c r="D718" s="296">
        <f>VLOOKUP(A718,'Dados para Ke Alternativo'!$P:$Q,2,0)</f>
        <v>4.9005999999999998</v>
      </c>
      <c r="E718" s="296">
        <f t="shared" si="55"/>
        <v>9.774313349385789</v>
      </c>
      <c r="F718" s="294">
        <f t="shared" si="57"/>
        <v>-5.3755702351221402E-5</v>
      </c>
      <c r="G718" s="296">
        <f>VLOOKUP($A718,'Dados para Ke Alternativo'!$I:$J,2,0)</f>
        <v>2999.87</v>
      </c>
      <c r="H718" s="294">
        <f t="shared" si="58"/>
        <v>-1.6672878783845491E-3</v>
      </c>
      <c r="I718" s="297">
        <f>VLOOKUP(A718,'Dados para Ke Alternativo'!$W:$X,2,0)</f>
        <v>125626</v>
      </c>
      <c r="J718" s="294">
        <f t="shared" si="59"/>
        <v>-2.627880943496641E-3</v>
      </c>
    </row>
    <row r="719" spans="1:10" x14ac:dyDescent="0.3">
      <c r="A719" s="168">
        <v>45252</v>
      </c>
      <c r="B719" s="219">
        <f>VLOOKUP('Ke Alternativo'!A719,'Dados para Ke Alternativo'!$A:$B,2,0)</f>
        <v>47.16</v>
      </c>
      <c r="C719" s="294">
        <f t="shared" si="56"/>
        <v>-1.5448851774530259E-2</v>
      </c>
      <c r="D719" s="296">
        <f>VLOOKUP(A719,'Dados para Ke Alternativo'!$P:$Q,2,0)</f>
        <v>4.9067999999999996</v>
      </c>
      <c r="E719" s="296">
        <f t="shared" si="55"/>
        <v>9.6111518708730745</v>
      </c>
      <c r="F719" s="294">
        <f t="shared" si="57"/>
        <v>-1.6692883958233984E-2</v>
      </c>
      <c r="G719" s="296">
        <f>VLOOKUP($A719,'Dados para Ke Alternativo'!$I:$J,2,0)</f>
        <v>3004.76</v>
      </c>
      <c r="H719" s="294">
        <f t="shared" si="58"/>
        <v>1.6300706363943096E-3</v>
      </c>
      <c r="I719" s="297">
        <f>VLOOKUP(A719,'Dados para Ke Alternativo'!$W:$X,2,0)</f>
        <v>126035</v>
      </c>
      <c r="J719" s="294">
        <f t="shared" si="59"/>
        <v>3.2556954770508462E-3</v>
      </c>
    </row>
    <row r="720" spans="1:10" x14ac:dyDescent="0.3">
      <c r="A720" s="167">
        <v>45253</v>
      </c>
      <c r="B720" s="219">
        <f>VLOOKUP('Ke Alternativo'!A720,'Dados para Ke Alternativo'!$A:$B,2,0)</f>
        <v>47.16</v>
      </c>
      <c r="C720" s="294">
        <f t="shared" si="56"/>
        <v>0</v>
      </c>
      <c r="D720" s="296">
        <f>VLOOKUP(A720,'Dados para Ke Alternativo'!$P:$Q,2,0)</f>
        <v>4.9039000000000001</v>
      </c>
      <c r="E720" s="296">
        <f t="shared" si="55"/>
        <v>9.6168355798446132</v>
      </c>
      <c r="F720" s="294">
        <f t="shared" si="57"/>
        <v>5.913660555882938E-4</v>
      </c>
      <c r="G720" s="296">
        <f>VLOOKUP($A720,'Dados para Ke Alternativo'!$I:$J,2,0)</f>
        <v>3008.74</v>
      </c>
      <c r="H720" s="294">
        <f t="shared" si="58"/>
        <v>1.3245650234958717E-3</v>
      </c>
      <c r="I720" s="297">
        <f>VLOOKUP(A720,'Dados para Ke Alternativo'!$W:$X,2,0)</f>
        <v>126576</v>
      </c>
      <c r="J720" s="294">
        <f t="shared" si="59"/>
        <v>4.2924584440831026E-3</v>
      </c>
    </row>
    <row r="721" spans="1:10" x14ac:dyDescent="0.3">
      <c r="A721" s="168">
        <v>45254</v>
      </c>
      <c r="B721" s="219">
        <f>VLOOKUP('Ke Alternativo'!A721,'Dados para Ke Alternativo'!$A:$B,2,0)</f>
        <v>47.13</v>
      </c>
      <c r="C721" s="294">
        <f t="shared" si="56"/>
        <v>-6.3613231552150928E-4</v>
      </c>
      <c r="D721" s="296">
        <f>VLOOKUP(A721,'Dados para Ke Alternativo'!$P:$Q,2,0)</f>
        <v>4.9020000000000001</v>
      </c>
      <c r="E721" s="296">
        <f t="shared" si="55"/>
        <v>9.6144430844553241</v>
      </c>
      <c r="F721" s="294">
        <f t="shared" si="57"/>
        <v>-2.4878197920985556E-4</v>
      </c>
      <c r="G721" s="296">
        <f>VLOOKUP($A721,'Dados para Ke Alternativo'!$I:$J,2,0)</f>
        <v>3015.19</v>
      </c>
      <c r="H721" s="294">
        <f t="shared" si="58"/>
        <v>2.143754528473707E-3</v>
      </c>
      <c r="I721" s="297">
        <f>VLOOKUP(A721,'Dados para Ke Alternativo'!$W:$X,2,0)</f>
        <v>125517</v>
      </c>
      <c r="J721" s="294">
        <f t="shared" si="59"/>
        <v>-8.3665149791429805E-3</v>
      </c>
    </row>
    <row r="722" spans="1:10" x14ac:dyDescent="0.3">
      <c r="A722" s="167">
        <v>45257</v>
      </c>
      <c r="B722" s="219">
        <f>VLOOKUP('Ke Alternativo'!A722,'Dados para Ke Alternativo'!$A:$B,2,0)</f>
        <v>46.15</v>
      </c>
      <c r="C722" s="294">
        <f t="shared" si="56"/>
        <v>-2.0793549755994123E-2</v>
      </c>
      <c r="D722" s="296">
        <f>VLOOKUP(A722,'Dados para Ke Alternativo'!$P:$Q,2,0)</f>
        <v>4.8963999999999999</v>
      </c>
      <c r="E722" s="296">
        <f t="shared" si="55"/>
        <v>9.4252920513029981</v>
      </c>
      <c r="F722" s="294">
        <f t="shared" si="57"/>
        <v>-1.967363387465948E-2</v>
      </c>
      <c r="G722" s="296">
        <f>VLOOKUP($A722,'Dados para Ke Alternativo'!$I:$J,2,0)</f>
        <v>3007.99</v>
      </c>
      <c r="H722" s="294">
        <f t="shared" si="58"/>
        <v>-2.387909219651263E-3</v>
      </c>
      <c r="I722" s="297">
        <f>VLOOKUP(A722,'Dados para Ke Alternativo'!$W:$X,2,0)</f>
        <v>125731</v>
      </c>
      <c r="J722" s="294">
        <f t="shared" si="59"/>
        <v>1.7049483336919469E-3</v>
      </c>
    </row>
    <row r="723" spans="1:10" x14ac:dyDescent="0.3">
      <c r="A723" s="168">
        <v>45258</v>
      </c>
      <c r="B723" s="219">
        <f>VLOOKUP('Ke Alternativo'!A723,'Dados para Ke Alternativo'!$A:$B,2,0)</f>
        <v>46.02</v>
      </c>
      <c r="C723" s="294">
        <f t="shared" si="56"/>
        <v>-2.8169014084505895E-3</v>
      </c>
      <c r="D723" s="296">
        <f>VLOOKUP(A723,'Dados para Ke Alternativo'!$P:$Q,2,0)</f>
        <v>4.8704999999999998</v>
      </c>
      <c r="E723" s="296">
        <f t="shared" si="55"/>
        <v>9.4487218971358189</v>
      </c>
      <c r="F723" s="294">
        <f t="shared" si="57"/>
        <v>2.4858482586309627E-3</v>
      </c>
      <c r="G723" s="296">
        <f>VLOOKUP($A723,'Dados para Ke Alternativo'!$I:$J,2,0)</f>
        <v>3012.57</v>
      </c>
      <c r="H723" s="294">
        <f t="shared" si="58"/>
        <v>1.5226114448521066E-3</v>
      </c>
      <c r="I723" s="297">
        <f>VLOOKUP(A723,'Dados para Ke Alternativo'!$W:$X,2,0)</f>
        <v>126538</v>
      </c>
      <c r="J723" s="294">
        <f t="shared" si="59"/>
        <v>6.4184648177458836E-3</v>
      </c>
    </row>
    <row r="724" spans="1:10" x14ac:dyDescent="0.3">
      <c r="A724" s="167">
        <v>45259</v>
      </c>
      <c r="B724" s="219">
        <f>VLOOKUP('Ke Alternativo'!A724,'Dados para Ke Alternativo'!$A:$B,2,0)</f>
        <v>45.84</v>
      </c>
      <c r="C724" s="294">
        <f t="shared" si="56"/>
        <v>-3.9113428943937656E-3</v>
      </c>
      <c r="D724" s="296">
        <f>VLOOKUP(A724,'Dados para Ke Alternativo'!$P:$Q,2,0)</f>
        <v>4.9028999999999998</v>
      </c>
      <c r="E724" s="296">
        <f t="shared" si="55"/>
        <v>9.3495686226519013</v>
      </c>
      <c r="F724" s="294">
        <f t="shared" si="57"/>
        <v>-1.0493829278007794E-2</v>
      </c>
      <c r="G724" s="296">
        <f>VLOOKUP($A724,'Dados para Ke Alternativo'!$I:$J,2,0)</f>
        <v>3013.93</v>
      </c>
      <c r="H724" s="294">
        <f t="shared" si="58"/>
        <v>4.5144179222389447E-4</v>
      </c>
      <c r="I724" s="297">
        <f>VLOOKUP(A724,'Dados para Ke Alternativo'!$W:$X,2,0)</f>
        <v>126166</v>
      </c>
      <c r="J724" s="294">
        <f t="shared" si="59"/>
        <v>-2.9398283519574964E-3</v>
      </c>
    </row>
    <row r="725" spans="1:10" x14ac:dyDescent="0.3">
      <c r="A725" s="168">
        <v>45260</v>
      </c>
      <c r="B725" s="219">
        <f>VLOOKUP('Ke Alternativo'!A725,'Dados para Ke Alternativo'!$A:$B,2,0)</f>
        <v>45.86</v>
      </c>
      <c r="C725" s="294">
        <f t="shared" si="56"/>
        <v>4.3630017452001013E-4</v>
      </c>
      <c r="D725" s="296">
        <f>VLOOKUP(A725,'Dados para Ke Alternativo'!$P:$Q,2,0)</f>
        <v>4.9204999999999997</v>
      </c>
      <c r="E725" s="296">
        <f t="shared" si="55"/>
        <v>9.3201910374961905</v>
      </c>
      <c r="F725" s="294">
        <f t="shared" si="57"/>
        <v>-3.1421326845535447E-3</v>
      </c>
      <c r="G725" s="296">
        <f>VLOOKUP($A725,'Dados para Ke Alternativo'!$I:$J,2,0)</f>
        <v>3023.63</v>
      </c>
      <c r="H725" s="294">
        <f t="shared" si="58"/>
        <v>3.2183892791139979E-3</v>
      </c>
      <c r="I725" s="297">
        <f>VLOOKUP(A725,'Dados para Ke Alternativo'!$W:$X,2,0)</f>
        <v>127331</v>
      </c>
      <c r="J725" s="294">
        <f t="shared" si="59"/>
        <v>9.233866493350007E-3</v>
      </c>
    </row>
    <row r="726" spans="1:10" x14ac:dyDescent="0.3">
      <c r="A726" s="167">
        <v>45261</v>
      </c>
      <c r="B726" s="219">
        <f>VLOOKUP('Ke Alternativo'!A726,'Dados para Ke Alternativo'!$A:$B,2,0)</f>
        <v>44.5</v>
      </c>
      <c r="C726" s="294">
        <f t="shared" si="56"/>
        <v>-2.965547317924111E-2</v>
      </c>
      <c r="D726" s="296">
        <f>VLOOKUP(A726,'Dados para Ke Alternativo'!$P:$Q,2,0)</f>
        <v>4.8800999999999997</v>
      </c>
      <c r="E726" s="296">
        <f t="shared" si="55"/>
        <v>9.1186656011147313</v>
      </c>
      <c r="F726" s="294">
        <f t="shared" si="57"/>
        <v>-2.1622457691124475E-2</v>
      </c>
      <c r="G726" s="296">
        <f>VLOOKUP($A726,'Dados para Ke Alternativo'!$I:$J,2,0)</f>
        <v>3040.7</v>
      </c>
      <c r="H726" s="294">
        <f t="shared" si="58"/>
        <v>5.6455320260744291E-3</v>
      </c>
      <c r="I726" s="297">
        <f>VLOOKUP(A726,'Dados para Ke Alternativo'!$W:$X,2,0)</f>
        <v>128185</v>
      </c>
      <c r="J726" s="294">
        <f t="shared" si="59"/>
        <v>6.7069291845662793E-3</v>
      </c>
    </row>
    <row r="727" spans="1:10" x14ac:dyDescent="0.3">
      <c r="A727" s="168">
        <v>45264</v>
      </c>
      <c r="B727" s="219">
        <f>VLOOKUP('Ke Alternativo'!A727,'Dados para Ke Alternativo'!$A:$B,2,0)</f>
        <v>44.15</v>
      </c>
      <c r="C727" s="294">
        <f t="shared" si="56"/>
        <v>-7.8651685393258397E-3</v>
      </c>
      <c r="D727" s="296">
        <f>VLOOKUP(A727,'Dados para Ke Alternativo'!$P:$Q,2,0)</f>
        <v>4.9432</v>
      </c>
      <c r="E727" s="296">
        <f t="shared" si="55"/>
        <v>8.9314614015212808</v>
      </c>
      <c r="F727" s="294">
        <f t="shared" si="57"/>
        <v>-2.0529780099685313E-2</v>
      </c>
      <c r="G727" s="296">
        <f>VLOOKUP($A727,'Dados para Ke Alternativo'!$I:$J,2,0)</f>
        <v>3026.59</v>
      </c>
      <c r="H727" s="294">
        <f t="shared" si="58"/>
        <v>-4.6403788601308005E-3</v>
      </c>
      <c r="I727" s="297">
        <f>VLOOKUP(A727,'Dados para Ke Alternativo'!$W:$X,2,0)</f>
        <v>126803</v>
      </c>
      <c r="J727" s="294">
        <f t="shared" si="59"/>
        <v>-1.0781292662948028E-2</v>
      </c>
    </row>
    <row r="728" spans="1:10" x14ac:dyDescent="0.3">
      <c r="A728" s="167">
        <v>45265</v>
      </c>
      <c r="B728" s="219">
        <f>VLOOKUP('Ke Alternativo'!A728,'Dados para Ke Alternativo'!$A:$B,2,0)</f>
        <v>43.09</v>
      </c>
      <c r="C728" s="294">
        <f t="shared" si="56"/>
        <v>-2.4009060022649908E-2</v>
      </c>
      <c r="D728" s="296">
        <f>VLOOKUP(A728,'Dados para Ke Alternativo'!$P:$Q,2,0)</f>
        <v>4.9306000000000001</v>
      </c>
      <c r="E728" s="296">
        <f t="shared" si="55"/>
        <v>8.7393015048878446</v>
      </c>
      <c r="F728" s="294">
        <f t="shared" si="57"/>
        <v>-2.1514944530881097E-2</v>
      </c>
      <c r="G728" s="296">
        <f>VLOOKUP($A728,'Dados para Ke Alternativo'!$I:$J,2,0)</f>
        <v>3023.22</v>
      </c>
      <c r="H728" s="294">
        <f t="shared" si="58"/>
        <v>-1.113464327840985E-3</v>
      </c>
      <c r="I728" s="297">
        <f>VLOOKUP(A728,'Dados para Ke Alternativo'!$W:$X,2,0)</f>
        <v>126903</v>
      </c>
      <c r="J728" s="294">
        <f t="shared" si="59"/>
        <v>7.8862487480590993E-4</v>
      </c>
    </row>
    <row r="729" spans="1:10" x14ac:dyDescent="0.3">
      <c r="A729" s="168">
        <v>45266</v>
      </c>
      <c r="B729" s="219">
        <f>VLOOKUP('Ke Alternativo'!A729,'Dados para Ke Alternativo'!$A:$B,2,0)</f>
        <v>41.37</v>
      </c>
      <c r="C729" s="294">
        <f t="shared" si="56"/>
        <v>-3.9916453933627416E-2</v>
      </c>
      <c r="D729" s="296">
        <f>VLOOKUP(A729,'Dados para Ke Alternativo'!$P:$Q,2,0)</f>
        <v>4.9021999999999997</v>
      </c>
      <c r="E729" s="296">
        <f t="shared" si="55"/>
        <v>8.4390681734731352</v>
      </c>
      <c r="F729" s="294">
        <f t="shared" si="57"/>
        <v>-3.4354385330085058E-2</v>
      </c>
      <c r="G729" s="296">
        <f>VLOOKUP($A729,'Dados para Ke Alternativo'!$I:$J,2,0)</f>
        <v>3020.98</v>
      </c>
      <c r="H729" s="294">
        <f t="shared" si="58"/>
        <v>-7.4093185411572282E-4</v>
      </c>
      <c r="I729" s="297">
        <f>VLOOKUP(A729,'Dados para Ke Alternativo'!$W:$X,2,0)</f>
        <v>125623</v>
      </c>
      <c r="J729" s="294">
        <f t="shared" si="59"/>
        <v>-1.0086443976895731E-2</v>
      </c>
    </row>
    <row r="730" spans="1:10" x14ac:dyDescent="0.3">
      <c r="A730" s="167">
        <v>45267</v>
      </c>
      <c r="B730" s="219">
        <f>VLOOKUP('Ke Alternativo'!A730,'Dados para Ke Alternativo'!$A:$B,2,0)</f>
        <v>42.35</v>
      </c>
      <c r="C730" s="294">
        <f t="shared" si="56"/>
        <v>2.3688663282571909E-2</v>
      </c>
      <c r="D730" s="296">
        <f>VLOOKUP(A730,'Dados para Ke Alternativo'!$P:$Q,2,0)</f>
        <v>4.9115000000000002</v>
      </c>
      <c r="E730" s="296">
        <f t="shared" si="55"/>
        <v>8.6226203807390824</v>
      </c>
      <c r="F730" s="294">
        <f t="shared" si="57"/>
        <v>2.1750293218736338E-2</v>
      </c>
      <c r="G730" s="296">
        <f>VLOOKUP($A730,'Dados para Ke Alternativo'!$I:$J,2,0)</f>
        <v>3037.45</v>
      </c>
      <c r="H730" s="294">
        <f t="shared" si="58"/>
        <v>5.4518732331891862E-3</v>
      </c>
      <c r="I730" s="297">
        <f>VLOOKUP(A730,'Dados para Ke Alternativo'!$W:$X,2,0)</f>
        <v>126010</v>
      </c>
      <c r="J730" s="294">
        <f t="shared" si="59"/>
        <v>3.0806460600367735E-3</v>
      </c>
    </row>
    <row r="731" spans="1:10" x14ac:dyDescent="0.3">
      <c r="A731" s="168">
        <v>45268</v>
      </c>
      <c r="B731" s="219">
        <f>VLOOKUP('Ke Alternativo'!A731,'Dados para Ke Alternativo'!$A:$B,2,0)</f>
        <v>44.48</v>
      </c>
      <c r="C731" s="294">
        <f t="shared" si="56"/>
        <v>5.0295159386068322E-2</v>
      </c>
      <c r="D731" s="296">
        <f>VLOOKUP(A731,'Dados para Ke Alternativo'!$P:$Q,2,0)</f>
        <v>4.9317000000000002</v>
      </c>
      <c r="E731" s="296">
        <f t="shared" si="55"/>
        <v>9.0192023034653364</v>
      </c>
      <c r="F731" s="294">
        <f t="shared" si="57"/>
        <v>4.5993202207083694E-2</v>
      </c>
      <c r="G731" s="296">
        <f>VLOOKUP($A731,'Dados para Ke Alternativo'!$I:$J,2,0)</f>
        <v>3047.21</v>
      </c>
      <c r="H731" s="294">
        <f t="shared" si="58"/>
        <v>3.2132216168168082E-3</v>
      </c>
      <c r="I731" s="297">
        <f>VLOOKUP(A731,'Dados para Ke Alternativo'!$W:$X,2,0)</f>
        <v>127094</v>
      </c>
      <c r="J731" s="294">
        <f t="shared" si="59"/>
        <v>8.6024918657250371E-3</v>
      </c>
    </row>
    <row r="732" spans="1:10" x14ac:dyDescent="0.3">
      <c r="A732" s="167">
        <v>45271</v>
      </c>
      <c r="B732" s="219">
        <f>VLOOKUP('Ke Alternativo'!A732,'Dados para Ke Alternativo'!$A:$B,2,0)</f>
        <v>44.61</v>
      </c>
      <c r="C732" s="294">
        <f t="shared" si="56"/>
        <v>2.9226618705036067E-3</v>
      </c>
      <c r="D732" s="296">
        <f>VLOOKUP(A732,'Dados para Ke Alternativo'!$P:$Q,2,0)</f>
        <v>4.9386000000000001</v>
      </c>
      <c r="E732" s="296">
        <f t="shared" si="55"/>
        <v>9.0329243105333497</v>
      </c>
      <c r="F732" s="294">
        <f t="shared" si="57"/>
        <v>1.5214213636987051E-3</v>
      </c>
      <c r="G732" s="296">
        <f>VLOOKUP($A732,'Dados para Ke Alternativo'!$I:$J,2,0)</f>
        <v>3056.42</v>
      </c>
      <c r="H732" s="294">
        <f t="shared" si="58"/>
        <v>3.0224369177049848E-3</v>
      </c>
      <c r="I732" s="297">
        <f>VLOOKUP(A732,'Dados para Ke Alternativo'!$W:$X,2,0)</f>
        <v>126916</v>
      </c>
      <c r="J732" s="294">
        <f t="shared" si="59"/>
        <v>-1.4005381843360531E-3</v>
      </c>
    </row>
    <row r="733" spans="1:10" x14ac:dyDescent="0.3">
      <c r="A733" s="168">
        <v>45272</v>
      </c>
      <c r="B733" s="219">
        <f>VLOOKUP('Ke Alternativo'!A733,'Dados para Ke Alternativo'!$A:$B,2,0)</f>
        <v>43.73</v>
      </c>
      <c r="C733" s="294">
        <f t="shared" si="56"/>
        <v>-1.9726518717776309E-2</v>
      </c>
      <c r="D733" s="296">
        <f>VLOOKUP(A733,'Dados para Ke Alternativo'!$P:$Q,2,0)</f>
        <v>4.9630999999999998</v>
      </c>
      <c r="E733" s="296">
        <f t="shared" si="55"/>
        <v>8.811025367210009</v>
      </c>
      <c r="F733" s="294">
        <f t="shared" si="57"/>
        <v>-2.4565570981767593E-2</v>
      </c>
      <c r="G733" s="296">
        <f>VLOOKUP($A733,'Dados para Ke Alternativo'!$I:$J,2,0)</f>
        <v>3067.44</v>
      </c>
      <c r="H733" s="294">
        <f t="shared" si="58"/>
        <v>3.6055254186269092E-3</v>
      </c>
      <c r="I733" s="297">
        <f>VLOOKUP(A733,'Dados para Ke Alternativo'!$W:$X,2,0)</f>
        <v>126403</v>
      </c>
      <c r="J733" s="294">
        <f t="shared" si="59"/>
        <v>-4.0420435563679469E-3</v>
      </c>
    </row>
    <row r="734" spans="1:10" x14ac:dyDescent="0.3">
      <c r="A734" s="167">
        <v>45273</v>
      </c>
      <c r="B734" s="219">
        <f>VLOOKUP('Ke Alternativo'!A734,'Dados para Ke Alternativo'!$A:$B,2,0)</f>
        <v>45.23</v>
      </c>
      <c r="C734" s="294">
        <f t="shared" si="56"/>
        <v>3.4301394923393458E-2</v>
      </c>
      <c r="D734" s="296">
        <f>VLOOKUP(A734,'Dados para Ke Alternativo'!$P:$Q,2,0)</f>
        <v>4.9196999999999997</v>
      </c>
      <c r="E734" s="296">
        <f t="shared" si="55"/>
        <v>9.1936500193101196</v>
      </c>
      <c r="F734" s="294">
        <f t="shared" si="57"/>
        <v>4.3425666838281751E-2</v>
      </c>
      <c r="G734" s="296">
        <f>VLOOKUP($A734,'Dados para Ke Alternativo'!$I:$J,2,0)</f>
        <v>3101.08</v>
      </c>
      <c r="H734" s="294">
        <f t="shared" si="58"/>
        <v>1.0966799676603189E-2</v>
      </c>
      <c r="I734" s="297">
        <f>VLOOKUP(A734,'Dados para Ke Alternativo'!$W:$X,2,0)</f>
        <v>129465</v>
      </c>
      <c r="J734" s="294">
        <f t="shared" si="59"/>
        <v>2.4224108605017225E-2</v>
      </c>
    </row>
    <row r="735" spans="1:10" x14ac:dyDescent="0.3">
      <c r="A735" s="168">
        <v>45274</v>
      </c>
      <c r="B735" s="219">
        <f>VLOOKUP('Ke Alternativo'!A735,'Dados para Ke Alternativo'!$A:$B,2,0)</f>
        <v>47.28</v>
      </c>
      <c r="C735" s="294">
        <f t="shared" si="56"/>
        <v>4.5323900066327694E-2</v>
      </c>
      <c r="D735" s="296">
        <f>VLOOKUP(A735,'Dados para Ke Alternativo'!$P:$Q,2,0)</f>
        <v>4.9154999999999998</v>
      </c>
      <c r="E735" s="296">
        <f t="shared" si="55"/>
        <v>9.618553555080867</v>
      </c>
      <c r="F735" s="294">
        <f t="shared" si="57"/>
        <v>4.6217066657779027E-2</v>
      </c>
      <c r="G735" s="296">
        <f>VLOOKUP($A735,'Dados para Ke Alternativo'!$I:$J,2,0)</f>
        <v>3128.89</v>
      </c>
      <c r="H735" s="294">
        <f t="shared" si="58"/>
        <v>8.9678434609876678E-3</v>
      </c>
      <c r="I735" s="297">
        <f>VLOOKUP(A735,'Dados para Ke Alternativo'!$W:$X,2,0)</f>
        <v>130842</v>
      </c>
      <c r="J735" s="294">
        <f t="shared" si="59"/>
        <v>1.0636079249217945E-2</v>
      </c>
    </row>
    <row r="736" spans="1:10" x14ac:dyDescent="0.3">
      <c r="A736" s="167">
        <v>45275</v>
      </c>
      <c r="B736" s="219">
        <f>VLOOKUP('Ke Alternativo'!A736,'Dados para Ke Alternativo'!$A:$B,2,0)</f>
        <v>46.25</v>
      </c>
      <c r="C736" s="294">
        <f t="shared" si="56"/>
        <v>-2.1785109983079587E-2</v>
      </c>
      <c r="D736" s="296">
        <f>VLOOKUP(A736,'Dados para Ke Alternativo'!$P:$Q,2,0)</f>
        <v>4.9371</v>
      </c>
      <c r="E736" s="296">
        <f t="shared" si="55"/>
        <v>9.3678475218245527</v>
      </c>
      <c r="F736" s="294">
        <f t="shared" si="57"/>
        <v>-2.6064837277314123E-2</v>
      </c>
      <c r="G736" s="296">
        <f>VLOOKUP($A736,'Dados para Ke Alternativo'!$I:$J,2,0)</f>
        <v>3126.14</v>
      </c>
      <c r="H736" s="294">
        <f t="shared" si="58"/>
        <v>-8.7890593788853E-4</v>
      </c>
      <c r="I736" s="297">
        <f>VLOOKUP(A736,'Dados para Ke Alternativo'!$W:$X,2,0)</f>
        <v>130197</v>
      </c>
      <c r="J736" s="294">
        <f t="shared" si="59"/>
        <v>-4.9296097583344523E-3</v>
      </c>
    </row>
    <row r="737" spans="1:10" x14ac:dyDescent="0.3">
      <c r="A737" s="168">
        <v>45278</v>
      </c>
      <c r="B737" s="219">
        <f>VLOOKUP('Ke Alternativo'!A737,'Dados para Ke Alternativo'!$A:$B,2,0)</f>
        <v>46.1</v>
      </c>
      <c r="C737" s="294">
        <f t="shared" si="56"/>
        <v>-3.2432432432432101E-3</v>
      </c>
      <c r="D737" s="296">
        <f>VLOOKUP(A737,'Dados para Ke Alternativo'!$P:$Q,2,0)</f>
        <v>4.8967000000000001</v>
      </c>
      <c r="E737" s="296">
        <f t="shared" si="55"/>
        <v>9.4145036453121484</v>
      </c>
      <c r="F737" s="294">
        <f t="shared" si="57"/>
        <v>4.9804529139592102E-3</v>
      </c>
      <c r="G737" s="296">
        <f>VLOOKUP($A737,'Dados para Ke Alternativo'!$I:$J,2,0)</f>
        <v>3131.35</v>
      </c>
      <c r="H737" s="294">
        <f t="shared" si="58"/>
        <v>1.6665920272285195E-3</v>
      </c>
      <c r="I737" s="297">
        <f>VLOOKUP(A737,'Dados para Ke Alternativo'!$W:$X,2,0)</f>
        <v>131084</v>
      </c>
      <c r="J737" s="294">
        <f t="shared" si="59"/>
        <v>6.8127529820196653E-3</v>
      </c>
    </row>
    <row r="738" spans="1:10" x14ac:dyDescent="0.3">
      <c r="A738" s="167">
        <v>45279</v>
      </c>
      <c r="B738" s="219">
        <f>VLOOKUP('Ke Alternativo'!A738,'Dados para Ke Alternativo'!$A:$B,2,0)</f>
        <v>46.71</v>
      </c>
      <c r="C738" s="294">
        <f t="shared" si="56"/>
        <v>1.323210412147513E-2</v>
      </c>
      <c r="D738" s="296">
        <f>VLOOKUP(A738,'Dados para Ke Alternativo'!$P:$Q,2,0)</f>
        <v>4.8674999999999997</v>
      </c>
      <c r="E738" s="296">
        <f t="shared" si="55"/>
        <v>9.5963020030816644</v>
      </c>
      <c r="F738" s="294">
        <f t="shared" si="57"/>
        <v>1.9310455932537662E-2</v>
      </c>
      <c r="G738" s="296">
        <f>VLOOKUP($A738,'Dados para Ke Alternativo'!$I:$J,2,0)</f>
        <v>3153.34</v>
      </c>
      <c r="H738" s="294">
        <f t="shared" si="58"/>
        <v>7.0225302185957794E-3</v>
      </c>
      <c r="I738" s="297">
        <f>VLOOKUP(A738,'Dados para Ke Alternativo'!$W:$X,2,0)</f>
        <v>131851</v>
      </c>
      <c r="J738" s="294">
        <f t="shared" si="59"/>
        <v>5.8512099112020266E-3</v>
      </c>
    </row>
    <row r="739" spans="1:10" x14ac:dyDescent="0.3">
      <c r="A739" s="168">
        <v>45280</v>
      </c>
      <c r="B739" s="219">
        <f>VLOOKUP('Ke Alternativo'!A739,'Dados para Ke Alternativo'!$A:$B,2,0)</f>
        <v>45.54</v>
      </c>
      <c r="C739" s="294">
        <f t="shared" si="56"/>
        <v>-2.5048169556840083E-2</v>
      </c>
      <c r="D739" s="296">
        <f>VLOOKUP(A739,'Dados para Ke Alternativo'!$P:$Q,2,0)</f>
        <v>4.9162999999999997</v>
      </c>
      <c r="E739" s="296">
        <f t="shared" si="55"/>
        <v>9.2630636861054043</v>
      </c>
      <c r="F739" s="294">
        <f t="shared" si="57"/>
        <v>-3.4725701303402801E-2</v>
      </c>
      <c r="G739" s="296">
        <f>VLOOKUP($A739,'Dados para Ke Alternativo'!$I:$J,2,0)</f>
        <v>3121.79</v>
      </c>
      <c r="H739" s="294">
        <f t="shared" si="58"/>
        <v>-1.000526425948367E-2</v>
      </c>
      <c r="I739" s="297">
        <f>VLOOKUP(A739,'Dados para Ke Alternativo'!$W:$X,2,0)</f>
        <v>130804</v>
      </c>
      <c r="J739" s="294">
        <f t="shared" si="59"/>
        <v>-7.9407816398814335E-3</v>
      </c>
    </row>
    <row r="740" spans="1:10" x14ac:dyDescent="0.3">
      <c r="A740" s="167">
        <v>45281</v>
      </c>
      <c r="B740" s="219">
        <f>VLOOKUP('Ke Alternativo'!A740,'Dados para Ke Alternativo'!$A:$B,2,0)</f>
        <v>45.16</v>
      </c>
      <c r="C740" s="294">
        <f t="shared" si="56"/>
        <v>-8.3443126921388666E-3</v>
      </c>
      <c r="D740" s="296">
        <f>VLOOKUP(A740,'Dados para Ke Alternativo'!$P:$Q,2,0)</f>
        <v>4.8844000000000003</v>
      </c>
      <c r="E740" s="296">
        <f t="shared" si="55"/>
        <v>9.2457620178527549</v>
      </c>
      <c r="F740" s="294">
        <f t="shared" si="57"/>
        <v>-1.8678127279424528E-3</v>
      </c>
      <c r="G740" s="296">
        <f>VLOOKUP($A740,'Dados para Ke Alternativo'!$I:$J,2,0)</f>
        <v>3145.09</v>
      </c>
      <c r="H740" s="294">
        <f t="shared" si="58"/>
        <v>7.4636666784120287E-3</v>
      </c>
      <c r="I740" s="297">
        <f>VLOOKUP(A740,'Dados para Ke Alternativo'!$W:$X,2,0)</f>
        <v>132182</v>
      </c>
      <c r="J740" s="294">
        <f t="shared" si="59"/>
        <v>1.0534846029173428E-2</v>
      </c>
    </row>
    <row r="741" spans="1:10" x14ac:dyDescent="0.3">
      <c r="A741" s="168">
        <v>45282</v>
      </c>
      <c r="B741" s="219">
        <f>VLOOKUP('Ke Alternativo'!A741,'Dados para Ke Alternativo'!$A:$B,2,0)</f>
        <v>45.37</v>
      </c>
      <c r="C741" s="294">
        <f t="shared" si="56"/>
        <v>4.6501328609389603E-3</v>
      </c>
      <c r="D741" s="296">
        <f>VLOOKUP(A741,'Dados para Ke Alternativo'!$P:$Q,2,0)</f>
        <v>4.8585000000000003</v>
      </c>
      <c r="E741" s="296">
        <f t="shared" si="55"/>
        <v>9.3382731295667369</v>
      </c>
      <c r="F741" s="294">
        <f t="shared" si="57"/>
        <v>1.0005785519392685E-2</v>
      </c>
      <c r="G741" s="296">
        <f>VLOOKUP($A741,'Dados para Ke Alternativo'!$I:$J,2,0)</f>
        <v>3152.26</v>
      </c>
      <c r="H741" s="294">
        <f t="shared" si="58"/>
        <v>2.2797439818893483E-3</v>
      </c>
      <c r="I741" s="297">
        <f>VLOOKUP(A741,'Dados para Ke Alternativo'!$W:$X,2,0)</f>
        <v>132753</v>
      </c>
      <c r="J741" s="294">
        <f t="shared" si="59"/>
        <v>4.3198014858301104E-3</v>
      </c>
    </row>
    <row r="742" spans="1:10" x14ac:dyDescent="0.3">
      <c r="A742" s="167">
        <v>45286</v>
      </c>
      <c r="B742" s="219">
        <f>VLOOKUP('Ke Alternativo'!A742,'Dados para Ke Alternativo'!$A:$B,2,0)</f>
        <v>45.92</v>
      </c>
      <c r="C742" s="294">
        <f t="shared" si="56"/>
        <v>1.2122547939166894E-2</v>
      </c>
      <c r="D742" s="296">
        <f>VLOOKUP(A742,'Dados para Ke Alternativo'!$P:$Q,2,0)</f>
        <v>4.8140000000000001</v>
      </c>
      <c r="E742" s="296">
        <f t="shared" si="55"/>
        <v>9.5388450353136687</v>
      </c>
      <c r="F742" s="294">
        <f t="shared" si="57"/>
        <v>2.1478479260997663E-2</v>
      </c>
      <c r="G742" s="296">
        <f>VLOOKUP($A742,'Dados para Ke Alternativo'!$I:$J,2,0)</f>
        <v>3162.65</v>
      </c>
      <c r="H742" s="294">
        <f t="shared" si="58"/>
        <v>3.2960479148294031E-3</v>
      </c>
      <c r="I742" s="297">
        <f>VLOOKUP(A742,'Dados para Ke Alternativo'!$W:$X,2,0)</f>
        <v>133533</v>
      </c>
      <c r="J742" s="294">
        <f t="shared" si="59"/>
        <v>5.8755734333686416E-3</v>
      </c>
    </row>
    <row r="743" spans="1:10" x14ac:dyDescent="0.3">
      <c r="A743" s="168">
        <v>45287</v>
      </c>
      <c r="B743" s="219">
        <f>VLOOKUP('Ke Alternativo'!A743,'Dados para Ke Alternativo'!$A:$B,2,0)</f>
        <v>45.94</v>
      </c>
      <c r="C743" s="294">
        <f t="shared" si="56"/>
        <v>4.3554006968626879E-4</v>
      </c>
      <c r="D743" s="296">
        <f>VLOOKUP(A743,'Dados para Ke Alternativo'!$P:$Q,2,0)</f>
        <v>4.8266999999999998</v>
      </c>
      <c r="E743" s="296">
        <f t="shared" si="55"/>
        <v>9.5178900698199591</v>
      </c>
      <c r="F743" s="294">
        <f t="shared" si="57"/>
        <v>-2.1968032205296195E-3</v>
      </c>
      <c r="G743" s="296">
        <f>VLOOKUP($A743,'Dados para Ke Alternativo'!$I:$J,2,0)</f>
        <v>3175.65</v>
      </c>
      <c r="H743" s="294">
        <f t="shared" si="58"/>
        <v>4.1104769734241486E-3</v>
      </c>
      <c r="I743" s="297">
        <f>VLOOKUP(A743,'Dados para Ke Alternativo'!$W:$X,2,0)</f>
        <v>134194</v>
      </c>
      <c r="J743" s="294">
        <f t="shared" si="59"/>
        <v>4.9500872443515309E-3</v>
      </c>
    </row>
    <row r="744" spans="1:10" x14ac:dyDescent="0.3">
      <c r="A744" s="167">
        <v>45288</v>
      </c>
      <c r="B744" s="219">
        <f>VLOOKUP('Ke Alternativo'!A744,'Dados para Ke Alternativo'!$A:$B,2,0)</f>
        <v>46.05</v>
      </c>
      <c r="C744" s="294">
        <f t="shared" si="56"/>
        <v>2.3944275141489779E-3</v>
      </c>
      <c r="D744" s="296">
        <f>VLOOKUP(A744,'Dados para Ke Alternativo'!$P:$Q,2,0)</f>
        <v>4.8521000000000001</v>
      </c>
      <c r="E744" s="296">
        <f t="shared" si="55"/>
        <v>9.4907359699923735</v>
      </c>
      <c r="F744" s="294">
        <f t="shared" si="57"/>
        <v>-2.8529537143623385E-3</v>
      </c>
      <c r="G744" s="296">
        <f>VLOOKUP($A744,'Dados para Ke Alternativo'!$I:$J,2,0)</f>
        <v>3178.05</v>
      </c>
      <c r="H744" s="294">
        <f t="shared" si="58"/>
        <v>7.5575079117662369E-4</v>
      </c>
      <c r="I744" s="297">
        <f>VLOOKUP(A744,'Dados para Ke Alternativo'!$W:$X,2,0)</f>
        <v>134185</v>
      </c>
      <c r="J744" s="294">
        <f t="shared" si="59"/>
        <v>-6.7067081985783261E-5</v>
      </c>
    </row>
    <row r="745" spans="1:10" x14ac:dyDescent="0.3">
      <c r="A745" s="168">
        <v>45293</v>
      </c>
      <c r="B745" s="219">
        <f>VLOOKUP('Ke Alternativo'!A745,'Dados para Ke Alternativo'!$A:$B,2,0)</f>
        <v>45.35</v>
      </c>
      <c r="C745" s="294">
        <f t="shared" si="56"/>
        <v>-1.5200868621063957E-2</v>
      </c>
      <c r="D745" s="296">
        <f>VLOOKUP(A745,'Dados para Ke Alternativo'!$P:$Q,2,0)</f>
        <v>4.9234999999999998</v>
      </c>
      <c r="E745" s="296">
        <f t="shared" si="55"/>
        <v>9.2109271859449589</v>
      </c>
      <c r="F745" s="294">
        <f t="shared" si="57"/>
        <v>-2.9482306212300968E-2</v>
      </c>
      <c r="G745" s="296">
        <f>VLOOKUP($A745,'Dados para Ke Alternativo'!$I:$J,2,0)</f>
        <v>3145.42</v>
      </c>
      <c r="H745" s="294">
        <f t="shared" si="58"/>
        <v>-1.0267302276553258E-2</v>
      </c>
      <c r="I745" s="297">
        <f>VLOOKUP(A745,'Dados para Ke Alternativo'!$W:$X,2,0)</f>
        <v>132697</v>
      </c>
      <c r="J745" s="294">
        <f t="shared" si="59"/>
        <v>-1.108916793978465E-2</v>
      </c>
    </row>
    <row r="746" spans="1:10" x14ac:dyDescent="0.3">
      <c r="A746" s="167">
        <v>45294</v>
      </c>
      <c r="B746" s="219">
        <f>VLOOKUP('Ke Alternativo'!A746,'Dados para Ke Alternativo'!$A:$B,2,0)</f>
        <v>46.88</v>
      </c>
      <c r="C746" s="294">
        <f t="shared" si="56"/>
        <v>3.3737596471885345E-2</v>
      </c>
      <c r="D746" s="296">
        <f>VLOOKUP(A746,'Dados para Ke Alternativo'!$P:$Q,2,0)</f>
        <v>4.9198000000000004</v>
      </c>
      <c r="E746" s="296">
        <f t="shared" si="55"/>
        <v>9.5288426358795064</v>
      </c>
      <c r="F746" s="294">
        <f t="shared" si="57"/>
        <v>3.4515032364999865E-2</v>
      </c>
      <c r="G746" s="296">
        <f>VLOOKUP($A746,'Dados para Ke Alternativo'!$I:$J,2,0)</f>
        <v>3115.68</v>
      </c>
      <c r="H746" s="294">
        <f t="shared" si="58"/>
        <v>-9.4550171360264779E-3</v>
      </c>
      <c r="I746" s="297">
        <f>VLOOKUP(A746,'Dados para Ke Alternativo'!$W:$X,2,0)</f>
        <v>132834</v>
      </c>
      <c r="J746" s="294">
        <f t="shared" si="59"/>
        <v>1.0324272590940264E-3</v>
      </c>
    </row>
    <row r="747" spans="1:10" x14ac:dyDescent="0.3">
      <c r="A747" s="168">
        <v>45295</v>
      </c>
      <c r="B747" s="219">
        <f>VLOOKUP('Ke Alternativo'!A747,'Dados para Ke Alternativo'!$A:$B,2,0)</f>
        <v>46.42</v>
      </c>
      <c r="C747" s="294">
        <f t="shared" si="56"/>
        <v>-9.8122866894198024E-3</v>
      </c>
      <c r="D747" s="296">
        <f>VLOOKUP(A747,'Dados para Ke Alternativo'!$P:$Q,2,0)</f>
        <v>4.8967999999999998</v>
      </c>
      <c r="E747" s="296">
        <f t="shared" si="55"/>
        <v>9.4796601862440788</v>
      </c>
      <c r="F747" s="294">
        <f t="shared" si="57"/>
        <v>-5.1614295161342971E-3</v>
      </c>
      <c r="G747" s="296">
        <f>VLOOKUP($A747,'Dados para Ke Alternativo'!$I:$J,2,0)</f>
        <v>3114.12</v>
      </c>
      <c r="H747" s="294">
        <f t="shared" si="58"/>
        <v>-5.0069326760127097E-4</v>
      </c>
      <c r="I747" s="297">
        <f>VLOOKUP(A747,'Dados para Ke Alternativo'!$W:$X,2,0)</f>
        <v>131226</v>
      </c>
      <c r="J747" s="294">
        <f t="shared" si="59"/>
        <v>-1.2105334477618634E-2</v>
      </c>
    </row>
    <row r="748" spans="1:10" x14ac:dyDescent="0.3">
      <c r="A748" s="167">
        <v>45296</v>
      </c>
      <c r="B748" s="219">
        <f>VLOOKUP('Ke Alternativo'!A748,'Dados para Ke Alternativo'!$A:$B,2,0)</f>
        <v>46.08</v>
      </c>
      <c r="C748" s="294">
        <f t="shared" si="56"/>
        <v>-7.3244291253771188E-3</v>
      </c>
      <c r="D748" s="296">
        <f>VLOOKUP(A748,'Dados para Ke Alternativo'!$P:$Q,2,0)</f>
        <v>4.8742999999999999</v>
      </c>
      <c r="E748" s="296">
        <f t="shared" si="55"/>
        <v>9.4536651416613662</v>
      </c>
      <c r="F748" s="294">
        <f t="shared" si="57"/>
        <v>-2.7421916051837414E-3</v>
      </c>
      <c r="G748" s="296">
        <f>VLOOKUP($A748,'Dados para Ke Alternativo'!$I:$J,2,0)</f>
        <v>3120.55</v>
      </c>
      <c r="H748" s="294">
        <f t="shared" si="58"/>
        <v>2.0647887685767419E-3</v>
      </c>
      <c r="I748" s="297">
        <f>VLOOKUP(A748,'Dados para Ke Alternativo'!$W:$X,2,0)</f>
        <v>132023</v>
      </c>
      <c r="J748" s="294">
        <f t="shared" si="59"/>
        <v>6.0734915336899675E-3</v>
      </c>
    </row>
    <row r="749" spans="1:10" x14ac:dyDescent="0.3">
      <c r="A749" s="168">
        <v>45299</v>
      </c>
      <c r="B749" s="219">
        <f>VLOOKUP('Ke Alternativo'!A749,'Dados para Ke Alternativo'!$A:$B,2,0)</f>
        <v>45.75</v>
      </c>
      <c r="C749" s="294">
        <f t="shared" si="56"/>
        <v>-7.1614583333332593E-3</v>
      </c>
      <c r="D749" s="296">
        <f>VLOOKUP(A749,'Dados para Ke Alternativo'!$P:$Q,2,0)</f>
        <v>4.87</v>
      </c>
      <c r="E749" s="296">
        <f t="shared" si="55"/>
        <v>9.3942505133470231</v>
      </c>
      <c r="F749" s="294">
        <f t="shared" si="57"/>
        <v>-6.2848247133810986E-3</v>
      </c>
      <c r="G749" s="296">
        <f>VLOOKUP($A749,'Dados para Ke Alternativo'!$I:$J,2,0)</f>
        <v>3153.62</v>
      </c>
      <c r="H749" s="294">
        <f t="shared" si="58"/>
        <v>1.0597490826937506E-2</v>
      </c>
      <c r="I749" s="297">
        <f>VLOOKUP(A749,'Dados para Ke Alternativo'!$W:$X,2,0)</f>
        <v>132427</v>
      </c>
      <c r="J749" s="294">
        <f t="shared" si="59"/>
        <v>3.0600728660914456E-3</v>
      </c>
    </row>
    <row r="750" spans="1:10" x14ac:dyDescent="0.3">
      <c r="A750" s="167">
        <v>45300</v>
      </c>
      <c r="B750" s="219">
        <f>VLOOKUP('Ke Alternativo'!A750,'Dados para Ke Alternativo'!$A:$B,2,0)</f>
        <v>46.28</v>
      </c>
      <c r="C750" s="294">
        <f t="shared" si="56"/>
        <v>1.1584699453552005E-2</v>
      </c>
      <c r="D750" s="296">
        <f>VLOOKUP(A750,'Dados para Ke Alternativo'!$P:$Q,2,0)</f>
        <v>4.9038000000000004</v>
      </c>
      <c r="E750" s="296">
        <f t="shared" si="55"/>
        <v>9.4375790203515635</v>
      </c>
      <c r="F750" s="294">
        <f t="shared" si="57"/>
        <v>4.6122367019041377E-3</v>
      </c>
      <c r="G750" s="296">
        <f>VLOOKUP($A750,'Dados para Ke Alternativo'!$I:$J,2,0)</f>
        <v>3146.97</v>
      </c>
      <c r="H750" s="294">
        <f t="shared" si="58"/>
        <v>-2.1086877937100956E-3</v>
      </c>
      <c r="I750" s="297">
        <f>VLOOKUP(A750,'Dados para Ke Alternativo'!$W:$X,2,0)</f>
        <v>131447</v>
      </c>
      <c r="J750" s="294">
        <f t="shared" si="59"/>
        <v>-7.4003035634726544E-3</v>
      </c>
    </row>
    <row r="751" spans="1:10" x14ac:dyDescent="0.3">
      <c r="A751" s="168">
        <v>45301</v>
      </c>
      <c r="B751" s="219">
        <f>VLOOKUP('Ke Alternativo'!A751,'Dados para Ke Alternativo'!$A:$B,2,0)</f>
        <v>44.35</v>
      </c>
      <c r="C751" s="294">
        <f t="shared" si="56"/>
        <v>-4.1702679343128768E-2</v>
      </c>
      <c r="D751" s="296">
        <f>VLOOKUP(A751,'Dados para Ke Alternativo'!$P:$Q,2,0)</f>
        <v>4.8909000000000002</v>
      </c>
      <c r="E751" s="296">
        <f t="shared" si="55"/>
        <v>9.0678607209307085</v>
      </c>
      <c r="F751" s="294">
        <f t="shared" si="57"/>
        <v>-3.917512093128761E-2</v>
      </c>
      <c r="G751" s="296">
        <f>VLOOKUP($A751,'Dados para Ke Alternativo'!$I:$J,2,0)</f>
        <v>3161.5</v>
      </c>
      <c r="H751" s="294">
        <f t="shared" si="58"/>
        <v>4.6171396613250426E-3</v>
      </c>
      <c r="I751" s="297">
        <f>VLOOKUP(A751,'Dados para Ke Alternativo'!$W:$X,2,0)</f>
        <v>130841</v>
      </c>
      <c r="J751" s="294">
        <f t="shared" si="59"/>
        <v>-4.610223131756519E-3</v>
      </c>
    </row>
    <row r="752" spans="1:10" x14ac:dyDescent="0.3">
      <c r="A752" s="167">
        <v>45302</v>
      </c>
      <c r="B752" s="219">
        <f>VLOOKUP('Ke Alternativo'!A752,'Dados para Ke Alternativo'!$A:$B,2,0)</f>
        <v>45.5</v>
      </c>
      <c r="C752" s="294">
        <f t="shared" si="56"/>
        <v>2.5930101465614364E-2</v>
      </c>
      <c r="D752" s="296">
        <f>VLOOKUP(A752,'Dados para Ke Alternativo'!$P:$Q,2,0)</f>
        <v>4.87</v>
      </c>
      <c r="E752" s="296">
        <f t="shared" si="55"/>
        <v>9.3429158110882948</v>
      </c>
      <c r="F752" s="294">
        <f t="shared" si="57"/>
        <v>3.0332963708043614E-2</v>
      </c>
      <c r="G752" s="296">
        <f>VLOOKUP($A752,'Dados para Ke Alternativo'!$I:$J,2,0)</f>
        <v>3157.32</v>
      </c>
      <c r="H752" s="294">
        <f t="shared" si="58"/>
        <v>-1.3221572038588647E-3</v>
      </c>
      <c r="I752" s="297">
        <f>VLOOKUP(A752,'Dados para Ke Alternativo'!$W:$X,2,0)</f>
        <v>130649</v>
      </c>
      <c r="J752" s="294">
        <f t="shared" si="59"/>
        <v>-1.4674299340420305E-3</v>
      </c>
    </row>
    <row r="753" spans="1:10" x14ac:dyDescent="0.3">
      <c r="A753" s="168">
        <v>45303</v>
      </c>
      <c r="B753" s="219">
        <f>VLOOKUP('Ke Alternativo'!A753,'Dados para Ke Alternativo'!$A:$B,2,0)</f>
        <v>46.08</v>
      </c>
      <c r="C753" s="294">
        <f t="shared" si="56"/>
        <v>1.2747252747252746E-2</v>
      </c>
      <c r="D753" s="296">
        <f>VLOOKUP(A753,'Dados para Ke Alternativo'!$P:$Q,2,0)</f>
        <v>4.8539000000000003</v>
      </c>
      <c r="E753" s="296">
        <f t="shared" si="55"/>
        <v>9.4933970621562036</v>
      </c>
      <c r="F753" s="294">
        <f t="shared" si="57"/>
        <v>1.6106454784631019E-2</v>
      </c>
      <c r="G753" s="296">
        <f>VLOOKUP($A753,'Dados para Ke Alternativo'!$I:$J,2,0)</f>
        <v>3168.31</v>
      </c>
      <c r="H753" s="294">
        <f t="shared" si="58"/>
        <v>3.4808001722979043E-3</v>
      </c>
      <c r="I753" s="297">
        <f>VLOOKUP(A753,'Dados para Ke Alternativo'!$W:$X,2,0)</f>
        <v>130988</v>
      </c>
      <c r="J753" s="294">
        <f t="shared" si="59"/>
        <v>2.5947385743481099E-3</v>
      </c>
    </row>
    <row r="754" spans="1:10" x14ac:dyDescent="0.3">
      <c r="A754" s="167">
        <v>45306</v>
      </c>
      <c r="B754" s="219">
        <f>VLOOKUP('Ke Alternativo'!A754,'Dados para Ke Alternativo'!$A:$B,2,0)</f>
        <v>47.07</v>
      </c>
      <c r="C754" s="294">
        <f t="shared" si="56"/>
        <v>2.1484375E-2</v>
      </c>
      <c r="D754" s="296">
        <f>VLOOKUP(A754,'Dados para Ke Alternativo'!$P:$Q,2,0)</f>
        <v>4.8628</v>
      </c>
      <c r="E754" s="296">
        <f t="shared" si="55"/>
        <v>9.6796084560335611</v>
      </c>
      <c r="F754" s="294">
        <f t="shared" si="57"/>
        <v>1.9614832568170648E-2</v>
      </c>
      <c r="G754" s="296">
        <f>VLOOKUP($A754,'Dados para Ke Alternativo'!$I:$J,2,0)</f>
        <v>3165.14</v>
      </c>
      <c r="H754" s="294">
        <f t="shared" si="58"/>
        <v>-1.0005334074001393E-3</v>
      </c>
      <c r="I754" s="297">
        <f>VLOOKUP(A754,'Dados para Ke Alternativo'!$W:$X,2,0)</f>
        <v>131521</v>
      </c>
      <c r="J754" s="294">
        <f t="shared" si="59"/>
        <v>4.0690750297738276E-3</v>
      </c>
    </row>
    <row r="755" spans="1:10" x14ac:dyDescent="0.3">
      <c r="A755" s="168">
        <v>45307</v>
      </c>
      <c r="B755" s="219">
        <f>VLOOKUP('Ke Alternativo'!A755,'Dados para Ke Alternativo'!$A:$B,2,0)</f>
        <v>45.88</v>
      </c>
      <c r="C755" s="294">
        <f t="shared" si="56"/>
        <v>-2.5281495644784324E-2</v>
      </c>
      <c r="D755" s="296">
        <f>VLOOKUP(A755,'Dados para Ke Alternativo'!$P:$Q,2,0)</f>
        <v>4.9257999999999997</v>
      </c>
      <c r="E755" s="296">
        <f t="shared" si="55"/>
        <v>9.3142230703642053</v>
      </c>
      <c r="F755" s="294">
        <f t="shared" si="57"/>
        <v>-3.7747950997088275E-2</v>
      </c>
      <c r="G755" s="296">
        <f>VLOOKUP($A755,'Dados para Ke Alternativo'!$I:$J,2,0)</f>
        <v>3146.04</v>
      </c>
      <c r="H755" s="294">
        <f t="shared" si="58"/>
        <v>-6.0344882058929183E-3</v>
      </c>
      <c r="I755" s="297">
        <f>VLOOKUP(A755,'Dados para Ke Alternativo'!$W:$X,2,0)</f>
        <v>129294</v>
      </c>
      <c r="J755" s="294">
        <f t="shared" si="59"/>
        <v>-1.6932657142205376E-2</v>
      </c>
    </row>
    <row r="756" spans="1:10" x14ac:dyDescent="0.3">
      <c r="A756" s="167">
        <v>45308</v>
      </c>
      <c r="B756" s="219">
        <f>VLOOKUP('Ke Alternativo'!A756,'Dados para Ke Alternativo'!$A:$B,2,0)</f>
        <v>45.05</v>
      </c>
      <c r="C756" s="294">
        <f t="shared" si="56"/>
        <v>-1.8090671316477902E-2</v>
      </c>
      <c r="D756" s="296">
        <f>VLOOKUP(A756,'Dados para Ke Alternativo'!$P:$Q,2,0)</f>
        <v>4.9348999999999998</v>
      </c>
      <c r="E756" s="296">
        <f t="shared" si="55"/>
        <v>9.1288577276135285</v>
      </c>
      <c r="F756" s="294">
        <f t="shared" si="57"/>
        <v>-1.9901320952948609E-2</v>
      </c>
      <c r="G756" s="296">
        <f>VLOOKUP($A756,'Dados para Ke Alternativo'!$I:$J,2,0)</f>
        <v>3120.44</v>
      </c>
      <c r="H756" s="294">
        <f t="shared" si="58"/>
        <v>-8.1372137671484879E-3</v>
      </c>
      <c r="I756" s="297">
        <f>VLOOKUP(A756,'Dados para Ke Alternativo'!$W:$X,2,0)</f>
        <v>128524</v>
      </c>
      <c r="J756" s="294">
        <f t="shared" si="59"/>
        <v>-5.9554194316828735E-3</v>
      </c>
    </row>
    <row r="757" spans="1:10" x14ac:dyDescent="0.3">
      <c r="A757" s="168">
        <v>45309</v>
      </c>
      <c r="B757" s="219">
        <f>VLOOKUP('Ke Alternativo'!A757,'Dados para Ke Alternativo'!$A:$B,2,0)</f>
        <v>44.76</v>
      </c>
      <c r="C757" s="294">
        <f t="shared" si="56"/>
        <v>-6.4372918978912175E-3</v>
      </c>
      <c r="D757" s="296">
        <f>VLOOKUP(A757,'Dados para Ke Alternativo'!$P:$Q,2,0)</f>
        <v>4.9268999999999998</v>
      </c>
      <c r="E757" s="296">
        <f t="shared" si="55"/>
        <v>9.0848200694148442</v>
      </c>
      <c r="F757" s="294">
        <f t="shared" si="57"/>
        <v>-4.8240053150874207E-3</v>
      </c>
      <c r="G757" s="296">
        <f>VLOOKUP($A757,'Dados para Ke Alternativo'!$I:$J,2,0)</f>
        <v>3143.2</v>
      </c>
      <c r="H757" s="294">
        <f t="shared" si="58"/>
        <v>7.2938431759623779E-3</v>
      </c>
      <c r="I757" s="297">
        <f>VLOOKUP(A757,'Dados para Ke Alternativo'!$W:$X,2,0)</f>
        <v>127316</v>
      </c>
      <c r="J757" s="294">
        <f t="shared" si="59"/>
        <v>-9.3990227506146606E-3</v>
      </c>
    </row>
    <row r="758" spans="1:10" x14ac:dyDescent="0.3">
      <c r="A758" s="167">
        <v>45310</v>
      </c>
      <c r="B758" s="219">
        <f>VLOOKUP('Ke Alternativo'!A758,'Dados para Ke Alternativo'!$A:$B,2,0)</f>
        <v>44.61</v>
      </c>
      <c r="C758" s="294">
        <f t="shared" si="56"/>
        <v>-3.3512064343163006E-3</v>
      </c>
      <c r="D758" s="296">
        <f>VLOOKUP(A758,'Dados para Ke Alternativo'!$P:$Q,2,0)</f>
        <v>4.931</v>
      </c>
      <c r="E758" s="296">
        <f t="shared" si="55"/>
        <v>9.0468464814439251</v>
      </c>
      <c r="F758" s="294">
        <f t="shared" si="57"/>
        <v>-4.1798943381126108E-3</v>
      </c>
      <c r="G758" s="296">
        <f>VLOOKUP($A758,'Dados para Ke Alternativo'!$I:$J,2,0)</f>
        <v>3175.36</v>
      </c>
      <c r="H758" s="294">
        <f t="shared" si="58"/>
        <v>1.0231611096971349E-2</v>
      </c>
      <c r="I758" s="297">
        <f>VLOOKUP(A758,'Dados para Ke Alternativo'!$W:$X,2,0)</f>
        <v>127636</v>
      </c>
      <c r="J758" s="294">
        <f t="shared" si="59"/>
        <v>2.5134311476955329E-3</v>
      </c>
    </row>
    <row r="759" spans="1:10" x14ac:dyDescent="0.3">
      <c r="A759" s="168">
        <v>45313</v>
      </c>
      <c r="B759" s="219">
        <f>VLOOKUP('Ke Alternativo'!A759,'Dados para Ke Alternativo'!$A:$B,2,0)</f>
        <v>44.16</v>
      </c>
      <c r="C759" s="294">
        <f t="shared" si="56"/>
        <v>-1.008742434431753E-2</v>
      </c>
      <c r="D759" s="296">
        <f>VLOOKUP(A759,'Dados para Ke Alternativo'!$P:$Q,2,0)</f>
        <v>4.9892000000000003</v>
      </c>
      <c r="E759" s="296">
        <f t="shared" si="55"/>
        <v>8.85111841577808</v>
      </c>
      <c r="F759" s="294">
        <f t="shared" si="57"/>
        <v>-2.1634949379024437E-2</v>
      </c>
      <c r="G759" s="296">
        <f>VLOOKUP($A759,'Dados para Ke Alternativo'!$I:$J,2,0)</f>
        <v>3189.1</v>
      </c>
      <c r="H759" s="294">
        <f t="shared" si="58"/>
        <v>4.3270684268870152E-3</v>
      </c>
      <c r="I759" s="297">
        <f>VLOOKUP(A759,'Dados para Ke Alternativo'!$W:$X,2,0)</f>
        <v>126602</v>
      </c>
      <c r="J759" s="294">
        <f t="shared" si="59"/>
        <v>-8.1011626813751736E-3</v>
      </c>
    </row>
    <row r="760" spans="1:10" x14ac:dyDescent="0.3">
      <c r="A760" s="167">
        <v>45314</v>
      </c>
      <c r="B760" s="219">
        <f>VLOOKUP('Ke Alternativo'!A760,'Dados para Ke Alternativo'!$A:$B,2,0)</f>
        <v>44.33</v>
      </c>
      <c r="C760" s="294">
        <f t="shared" si="56"/>
        <v>3.8496376811594235E-3</v>
      </c>
      <c r="D760" s="296">
        <f>VLOOKUP(A760,'Dados para Ke Alternativo'!$P:$Q,2,0)</f>
        <v>4.9535</v>
      </c>
      <c r="E760" s="296">
        <f t="shared" si="55"/>
        <v>8.949227818714041</v>
      </c>
      <c r="F760" s="294">
        <f t="shared" si="57"/>
        <v>1.1084407453081813E-2</v>
      </c>
      <c r="G760" s="296">
        <f>VLOOKUP($A760,'Dados para Ke Alternativo'!$I:$J,2,0)</f>
        <v>3190.9</v>
      </c>
      <c r="H760" s="294">
        <f t="shared" si="58"/>
        <v>5.6442256435995652E-4</v>
      </c>
      <c r="I760" s="297">
        <f>VLOOKUP(A760,'Dados para Ke Alternativo'!$W:$X,2,0)</f>
        <v>128263</v>
      </c>
      <c r="J760" s="294">
        <f t="shared" si="59"/>
        <v>1.3119855926446711E-2</v>
      </c>
    </row>
    <row r="761" spans="1:10" x14ac:dyDescent="0.3">
      <c r="A761" s="168">
        <v>45315</v>
      </c>
      <c r="B761" s="219">
        <f>VLOOKUP('Ke Alternativo'!A761,'Dados para Ke Alternativo'!$A:$B,2,0)</f>
        <v>44.6</v>
      </c>
      <c r="C761" s="294">
        <f t="shared" si="56"/>
        <v>6.0906835100384971E-3</v>
      </c>
      <c r="D761" s="296">
        <f>VLOOKUP(A761,'Dados para Ke Alternativo'!$P:$Q,2,0)</f>
        <v>4.9335000000000004</v>
      </c>
      <c r="E761" s="296">
        <f t="shared" si="55"/>
        <v>9.0402351271916483</v>
      </c>
      <c r="F761" s="294">
        <f t="shared" si="57"/>
        <v>1.0169291733449715E-2</v>
      </c>
      <c r="G761" s="296">
        <f>VLOOKUP($A761,'Dados para Ke Alternativo'!$I:$J,2,0)</f>
        <v>3203.55</v>
      </c>
      <c r="H761" s="294">
        <f t="shared" si="58"/>
        <v>3.9643987589708107E-3</v>
      </c>
      <c r="I761" s="297">
        <f>VLOOKUP(A761,'Dados para Ke Alternativo'!$W:$X,2,0)</f>
        <v>127816</v>
      </c>
      <c r="J761" s="294">
        <f t="shared" si="59"/>
        <v>-3.4850268588758615E-3</v>
      </c>
    </row>
    <row r="762" spans="1:10" x14ac:dyDescent="0.3">
      <c r="A762" s="167">
        <v>45316</v>
      </c>
      <c r="B762" s="219">
        <f>VLOOKUP('Ke Alternativo'!A762,'Dados para Ke Alternativo'!$A:$B,2,0)</f>
        <v>44.8</v>
      </c>
      <c r="C762" s="294">
        <f t="shared" si="56"/>
        <v>4.484304932735439E-3</v>
      </c>
      <c r="D762" s="296">
        <f>VLOOKUP(A762,'Dados para Ke Alternativo'!$P:$Q,2,0)</f>
        <v>4.9165000000000001</v>
      </c>
      <c r="E762" s="296">
        <f t="shared" si="55"/>
        <v>9.1121732940099651</v>
      </c>
      <c r="F762" s="294">
        <f t="shared" si="57"/>
        <v>7.9575548430081966E-3</v>
      </c>
      <c r="G762" s="296">
        <f>VLOOKUP($A762,'Dados para Ke Alternativo'!$I:$J,2,0)</f>
        <v>3212.32</v>
      </c>
      <c r="H762" s="294">
        <f t="shared" si="58"/>
        <v>2.7375879883253518E-3</v>
      </c>
      <c r="I762" s="297">
        <f>VLOOKUP(A762,'Dados para Ke Alternativo'!$W:$X,2,0)</f>
        <v>128169</v>
      </c>
      <c r="J762" s="294">
        <f t="shared" si="59"/>
        <v>2.7617825624335346E-3</v>
      </c>
    </row>
    <row r="763" spans="1:10" x14ac:dyDescent="0.3">
      <c r="A763" s="168">
        <v>45317</v>
      </c>
      <c r="B763" s="219">
        <f>VLOOKUP('Ke Alternativo'!A763,'Dados para Ke Alternativo'!$A:$B,2,0)</f>
        <v>45.69</v>
      </c>
      <c r="C763" s="294">
        <f t="shared" si="56"/>
        <v>1.9866071428571441E-2</v>
      </c>
      <c r="D763" s="296">
        <f>VLOOKUP(A763,'Dados para Ke Alternativo'!$P:$Q,2,0)</f>
        <v>4.9168000000000003</v>
      </c>
      <c r="E763" s="296">
        <f t="shared" si="55"/>
        <v>9.2926293524243402</v>
      </c>
      <c r="F763" s="294">
        <f t="shared" si="57"/>
        <v>1.9803843999872228E-2</v>
      </c>
      <c r="G763" s="296">
        <f>VLOOKUP($A763,'Dados para Ke Alternativo'!$I:$J,2,0)</f>
        <v>3216.23</v>
      </c>
      <c r="H763" s="294">
        <f t="shared" si="58"/>
        <v>1.2171888230312344E-3</v>
      </c>
      <c r="I763" s="297">
        <f>VLOOKUP(A763,'Dados para Ke Alternativo'!$W:$X,2,0)</f>
        <v>128967</v>
      </c>
      <c r="J763" s="294">
        <f t="shared" si="59"/>
        <v>6.2261545303465837E-3</v>
      </c>
    </row>
    <row r="764" spans="1:10" x14ac:dyDescent="0.3">
      <c r="A764" s="167">
        <v>45320</v>
      </c>
      <c r="B764" s="219">
        <f>VLOOKUP('Ke Alternativo'!A764,'Dados para Ke Alternativo'!$A:$B,2,0)</f>
        <v>44.76</v>
      </c>
      <c r="C764" s="294">
        <f t="shared" si="56"/>
        <v>-2.0354563361785982E-2</v>
      </c>
      <c r="D764" s="296">
        <f>VLOOKUP(A764,'Dados para Ke Alternativo'!$P:$Q,2,0)</f>
        <v>4.9518000000000004</v>
      </c>
      <c r="E764" s="296">
        <f t="shared" si="55"/>
        <v>9.0391372834120922</v>
      </c>
      <c r="F764" s="294">
        <f t="shared" si="57"/>
        <v>-2.7278831361773226E-2</v>
      </c>
      <c r="G764" s="296">
        <f>VLOOKUP($A764,'Dados para Ke Alternativo'!$I:$J,2,0)</f>
        <v>3236.32</v>
      </c>
      <c r="H764" s="294">
        <f t="shared" si="58"/>
        <v>6.2464438177618486E-3</v>
      </c>
      <c r="I764" s="297">
        <f>VLOOKUP(A764,'Dados para Ke Alternativo'!$W:$X,2,0)</f>
        <v>128503</v>
      </c>
      <c r="J764" s="294">
        <f t="shared" si="59"/>
        <v>-3.5978195972613536E-3</v>
      </c>
    </row>
    <row r="765" spans="1:10" x14ac:dyDescent="0.3">
      <c r="A765" s="168">
        <v>45321</v>
      </c>
      <c r="B765" s="219">
        <f>VLOOKUP('Ke Alternativo'!A765,'Dados para Ke Alternativo'!$A:$B,2,0)</f>
        <v>44.09</v>
      </c>
      <c r="C765" s="294">
        <f t="shared" si="56"/>
        <v>-1.4968722073279594E-2</v>
      </c>
      <c r="D765" s="296">
        <f>VLOOKUP(A765,'Dados para Ke Alternativo'!$P:$Q,2,0)</f>
        <v>4.9516</v>
      </c>
      <c r="E765" s="296">
        <f t="shared" si="55"/>
        <v>8.9041925842152043</v>
      </c>
      <c r="F765" s="294">
        <f t="shared" si="57"/>
        <v>-1.4928935689972112E-2</v>
      </c>
      <c r="G765" s="296">
        <f>VLOOKUP($A765,'Dados para Ke Alternativo'!$I:$J,2,0)</f>
        <v>3236.76</v>
      </c>
      <c r="H765" s="294">
        <f t="shared" si="58"/>
        <v>1.3595688930645444E-4</v>
      </c>
      <c r="I765" s="297">
        <f>VLOOKUP(A765,'Dados para Ke Alternativo'!$W:$X,2,0)</f>
        <v>127402</v>
      </c>
      <c r="J765" s="294">
        <f t="shared" si="59"/>
        <v>-8.5678933565753734E-3</v>
      </c>
    </row>
    <row r="766" spans="1:10" x14ac:dyDescent="0.3">
      <c r="A766" s="167">
        <v>45322</v>
      </c>
      <c r="B766" s="219">
        <f>VLOOKUP('Ke Alternativo'!A766,'Dados para Ke Alternativo'!$A:$B,2,0)</f>
        <v>43.93</v>
      </c>
      <c r="C766" s="294">
        <f t="shared" si="56"/>
        <v>-3.6289408029032133E-3</v>
      </c>
      <c r="D766" s="296">
        <f>VLOOKUP(A766,'Dados para Ke Alternativo'!$P:$Q,2,0)</f>
        <v>4.9526000000000003</v>
      </c>
      <c r="E766" s="296">
        <f t="shared" si="55"/>
        <v>8.8700884383959941</v>
      </c>
      <c r="F766" s="294">
        <f t="shared" si="57"/>
        <v>-3.8301222145248337E-3</v>
      </c>
      <c r="G766" s="296">
        <f>VLOOKUP($A766,'Dados para Ke Alternativo'!$I:$J,2,0)</f>
        <v>3205.32</v>
      </c>
      <c r="H766" s="294">
        <f t="shared" si="58"/>
        <v>-9.713417120824519E-3</v>
      </c>
      <c r="I766" s="297">
        <f>VLOOKUP(A766,'Dados para Ke Alternativo'!$W:$X,2,0)</f>
        <v>127752</v>
      </c>
      <c r="J766" s="294">
        <f t="shared" si="59"/>
        <v>2.7472096199432361E-3</v>
      </c>
    </row>
    <row r="767" spans="1:10" x14ac:dyDescent="0.3">
      <c r="A767" s="168">
        <v>45323</v>
      </c>
      <c r="B767" s="219">
        <f>VLOOKUP('Ke Alternativo'!A767,'Dados para Ke Alternativo'!$A:$B,2,0)</f>
        <v>43.15</v>
      </c>
      <c r="C767" s="294">
        <f t="shared" si="56"/>
        <v>-1.7755520145686376E-2</v>
      </c>
      <c r="D767" s="296">
        <f>VLOOKUP(A767,'Dados para Ke Alternativo'!$P:$Q,2,0)</f>
        <v>4.9162999999999997</v>
      </c>
      <c r="E767" s="296">
        <f t="shared" si="55"/>
        <v>8.7769257368346114</v>
      </c>
      <c r="F767" s="294">
        <f t="shared" si="57"/>
        <v>-1.0503018341746051E-2</v>
      </c>
      <c r="G767" s="296">
        <f>VLOOKUP($A767,'Dados para Ke Alternativo'!$I:$J,2,0)</f>
        <v>3226.8</v>
      </c>
      <c r="H767" s="294">
        <f t="shared" si="58"/>
        <v>6.7013589906779192E-3</v>
      </c>
      <c r="I767" s="297">
        <f>VLOOKUP(A767,'Dados para Ke Alternativo'!$W:$X,2,0)</f>
        <v>128481</v>
      </c>
      <c r="J767" s="294">
        <f t="shared" si="59"/>
        <v>5.7063685891414195E-3</v>
      </c>
    </row>
    <row r="768" spans="1:10" x14ac:dyDescent="0.3">
      <c r="A768" s="167">
        <v>45324</v>
      </c>
      <c r="B768" s="219">
        <f>VLOOKUP('Ke Alternativo'!A768,'Dados para Ke Alternativo'!$A:$B,2,0)</f>
        <v>42.45</v>
      </c>
      <c r="C768" s="294">
        <f t="shared" si="56"/>
        <v>-1.6222479721900274E-2</v>
      </c>
      <c r="D768" s="296">
        <f>VLOOKUP(A768,'Dados para Ke Alternativo'!$P:$Q,2,0)</f>
        <v>4.9699</v>
      </c>
      <c r="E768" s="296">
        <f t="shared" si="55"/>
        <v>8.5414193444536117</v>
      </c>
      <c r="F768" s="294">
        <f t="shared" si="57"/>
        <v>-2.6832446740734817E-2</v>
      </c>
      <c r="G768" s="296">
        <f>VLOOKUP($A768,'Dados para Ke Alternativo'!$I:$J,2,0)</f>
        <v>3247.64</v>
      </c>
      <c r="H768" s="294">
        <f t="shared" si="58"/>
        <v>6.4584108094705162E-3</v>
      </c>
      <c r="I768" s="297">
        <f>VLOOKUP(A768,'Dados para Ke Alternativo'!$W:$X,2,0)</f>
        <v>127182</v>
      </c>
      <c r="J768" s="294">
        <f t="shared" si="59"/>
        <v>-1.0110444345856617E-2</v>
      </c>
    </row>
    <row r="769" spans="1:10" x14ac:dyDescent="0.3">
      <c r="A769" s="168">
        <v>45327</v>
      </c>
      <c r="B769" s="219">
        <f>VLOOKUP('Ke Alternativo'!A769,'Dados para Ke Alternativo'!$A:$B,2,0)</f>
        <v>42.05</v>
      </c>
      <c r="C769" s="294">
        <f t="shared" si="56"/>
        <v>-9.4228504122498835E-3</v>
      </c>
      <c r="D769" s="296">
        <f>VLOOKUP(A769,'Dados para Ke Alternativo'!$P:$Q,2,0)</f>
        <v>4.9854000000000003</v>
      </c>
      <c r="E769" s="296">
        <f t="shared" si="55"/>
        <v>8.4346291170217018</v>
      </c>
      <c r="F769" s="294">
        <f t="shared" si="57"/>
        <v>-1.2502632539784453E-2</v>
      </c>
      <c r="G769" s="296">
        <f>VLOOKUP($A769,'Dados para Ke Alternativo'!$I:$J,2,0)</f>
        <v>3233.53</v>
      </c>
      <c r="H769" s="294">
        <f t="shared" si="58"/>
        <v>-4.3446933773446661E-3</v>
      </c>
      <c r="I769" s="297">
        <f>VLOOKUP(A769,'Dados para Ke Alternativo'!$W:$X,2,0)</f>
        <v>127593</v>
      </c>
      <c r="J769" s="294">
        <f t="shared" si="59"/>
        <v>3.231589375854993E-3</v>
      </c>
    </row>
    <row r="770" spans="1:10" x14ac:dyDescent="0.3">
      <c r="A770" s="167">
        <v>45328</v>
      </c>
      <c r="B770" s="219">
        <f>VLOOKUP('Ke Alternativo'!A770,'Dados para Ke Alternativo'!$A:$B,2,0)</f>
        <v>43.6</v>
      </c>
      <c r="C770" s="294">
        <f t="shared" si="56"/>
        <v>3.6860879904875299E-2</v>
      </c>
      <c r="D770" s="296">
        <f>VLOOKUP(A770,'Dados para Ke Alternativo'!$P:$Q,2,0)</f>
        <v>4.9634</v>
      </c>
      <c r="E770" s="296">
        <f t="shared" ref="E770:E796" si="60">B770/D770</f>
        <v>8.7843010839344</v>
      </c>
      <c r="F770" s="294">
        <f t="shared" si="57"/>
        <v>4.1456709247242873E-2</v>
      </c>
      <c r="G770" s="296">
        <f>VLOOKUP($A770,'Dados para Ke Alternativo'!$I:$J,2,0)</f>
        <v>3244.51</v>
      </c>
      <c r="H770" s="294">
        <f t="shared" si="58"/>
        <v>3.3956697479224918E-3</v>
      </c>
      <c r="I770" s="297">
        <f>VLOOKUP(A770,'Dados para Ke Alternativo'!$W:$X,2,0)</f>
        <v>130416</v>
      </c>
      <c r="J770" s="294">
        <f t="shared" si="59"/>
        <v>2.2125038207425174E-2</v>
      </c>
    </row>
    <row r="771" spans="1:10" x14ac:dyDescent="0.3">
      <c r="A771" s="168">
        <v>45329</v>
      </c>
      <c r="B771" s="219">
        <f>VLOOKUP('Ke Alternativo'!A771,'Dados para Ke Alternativo'!$A:$B,2,0)</f>
        <v>43.97</v>
      </c>
      <c r="C771" s="294">
        <f t="shared" ref="C771:C796" si="61">B771/B770-1</f>
        <v>8.4862385321100575E-3</v>
      </c>
      <c r="D771" s="296">
        <f>VLOOKUP(A771,'Dados para Ke Alternativo'!$P:$Q,2,0)</f>
        <v>4.9684999999999997</v>
      </c>
      <c r="E771" s="296">
        <f t="shared" si="60"/>
        <v>8.8497534467143009</v>
      </c>
      <c r="F771" s="294">
        <f t="shared" ref="F771:F796" si="62">E771/E770-1</f>
        <v>7.4510609500404446E-3</v>
      </c>
      <c r="G771" s="296">
        <f>VLOOKUP($A771,'Dados para Ke Alternativo'!$I:$J,2,0)</f>
        <v>3265.07</v>
      </c>
      <c r="H771" s="294">
        <f t="shared" ref="H771:H796" si="63">G771/G770-1</f>
        <v>6.3368582621103897E-3</v>
      </c>
      <c r="I771" s="297">
        <f>VLOOKUP(A771,'Dados para Ke Alternativo'!$W:$X,2,0)</f>
        <v>129950</v>
      </c>
      <c r="J771" s="294">
        <f t="shared" ref="J771:J796" si="64">I771/I770-1</f>
        <v>-3.5731812047601341E-3</v>
      </c>
    </row>
    <row r="772" spans="1:10" x14ac:dyDescent="0.3">
      <c r="A772" s="167">
        <v>45330</v>
      </c>
      <c r="B772" s="219">
        <f>VLOOKUP('Ke Alternativo'!A772,'Dados para Ke Alternativo'!$A:$B,2,0)</f>
        <v>43.4</v>
      </c>
      <c r="C772" s="294">
        <f t="shared" si="61"/>
        <v>-1.2963384125540101E-2</v>
      </c>
      <c r="D772" s="296">
        <f>VLOOKUP(A772,'Dados para Ke Alternativo'!$P:$Q,2,0)</f>
        <v>4.992</v>
      </c>
      <c r="E772" s="296">
        <f t="shared" si="60"/>
        <v>8.6939102564102555</v>
      </c>
      <c r="F772" s="294">
        <f t="shared" si="62"/>
        <v>-1.7609890630558289E-2</v>
      </c>
      <c r="G772" s="296">
        <f>VLOOKUP($A772,'Dados para Ke Alternativo'!$I:$J,2,0)</f>
        <v>3266.14</v>
      </c>
      <c r="H772" s="294">
        <f t="shared" si="63"/>
        <v>3.2771119761587642E-4</v>
      </c>
      <c r="I772" s="297">
        <f>VLOOKUP(A772,'Dados para Ke Alternativo'!$W:$X,2,0)</f>
        <v>128217</v>
      </c>
      <c r="J772" s="294">
        <f t="shared" si="64"/>
        <v>-1.3335898422470183E-2</v>
      </c>
    </row>
    <row r="773" spans="1:10" x14ac:dyDescent="0.3">
      <c r="A773" s="168">
        <v>45331</v>
      </c>
      <c r="B773" s="219">
        <f>VLOOKUP('Ke Alternativo'!A773,'Dados para Ke Alternativo'!$A:$B,2,0)</f>
        <v>42.36</v>
      </c>
      <c r="C773" s="294">
        <f t="shared" si="61"/>
        <v>-2.3963133640553025E-2</v>
      </c>
      <c r="D773" s="296">
        <f>VLOOKUP(A773,'Dados para Ke Alternativo'!$P:$Q,2,0)</f>
        <v>4.9516999999999998</v>
      </c>
      <c r="E773" s="296">
        <f t="shared" si="60"/>
        <v>8.5546378011591973</v>
      </c>
      <c r="F773" s="294">
        <f t="shared" si="62"/>
        <v>-1.601954139661943E-2</v>
      </c>
      <c r="G773" s="296">
        <f>VLOOKUP($A773,'Dados para Ke Alternativo'!$I:$J,2,0)</f>
        <v>3281.42</v>
      </c>
      <c r="H773" s="294">
        <f t="shared" si="63"/>
        <v>4.6783052777896739E-3</v>
      </c>
      <c r="I773" s="297">
        <f>VLOOKUP(A773,'Dados para Ke Alternativo'!$W:$X,2,0)</f>
        <v>128026</v>
      </c>
      <c r="J773" s="294">
        <f t="shared" si="64"/>
        <v>-1.489662057293506E-3</v>
      </c>
    </row>
    <row r="774" spans="1:10" x14ac:dyDescent="0.3">
      <c r="A774" s="167">
        <v>45336</v>
      </c>
      <c r="B774" s="219">
        <f>VLOOKUP('Ke Alternativo'!A774,'Dados para Ke Alternativo'!$A:$B,2,0)</f>
        <v>42.55</v>
      </c>
      <c r="C774" s="294">
        <f t="shared" si="61"/>
        <v>4.4853635505193168E-3</v>
      </c>
      <c r="D774" s="296">
        <f>VLOOKUP(A774,'Dados para Ke Alternativo'!$P:$Q,2,0)</f>
        <v>4.9690000000000003</v>
      </c>
      <c r="E774" s="296">
        <f t="shared" si="60"/>
        <v>8.5630911652243906</v>
      </c>
      <c r="F774" s="294">
        <f t="shared" si="62"/>
        <v>9.881615401703403E-4</v>
      </c>
      <c r="G774" s="296">
        <f>VLOOKUP($A774,'Dados para Ke Alternativo'!$I:$J,2,0)</f>
        <v>3265.67</v>
      </c>
      <c r="H774" s="294">
        <f t="shared" si="63"/>
        <v>-4.7997513271693659E-3</v>
      </c>
      <c r="I774" s="297">
        <f>VLOOKUP(A774,'Dados para Ke Alternativo'!$W:$X,2,0)</f>
        <v>127018</v>
      </c>
      <c r="J774" s="294">
        <f t="shared" si="64"/>
        <v>-7.8734007154797059E-3</v>
      </c>
    </row>
    <row r="775" spans="1:10" x14ac:dyDescent="0.3">
      <c r="A775" s="168">
        <v>45337</v>
      </c>
      <c r="B775" s="219">
        <f>VLOOKUP('Ke Alternativo'!A775,'Dados para Ke Alternativo'!$A:$B,2,0)</f>
        <v>44.57</v>
      </c>
      <c r="C775" s="294">
        <f t="shared" si="61"/>
        <v>4.7473560517038882E-2</v>
      </c>
      <c r="D775" s="296">
        <f>VLOOKUP(A775,'Dados para Ke Alternativo'!$P:$Q,2,0)</f>
        <v>4.9732000000000003</v>
      </c>
      <c r="E775" s="296">
        <f t="shared" si="60"/>
        <v>8.9620365157242823</v>
      </c>
      <c r="F775" s="294">
        <f t="shared" si="62"/>
        <v>4.6588941166485487E-2</v>
      </c>
      <c r="G775" s="296">
        <f>VLOOKUP($A775,'Dados para Ke Alternativo'!$I:$J,2,0)</f>
        <v>3289.74</v>
      </c>
      <c r="H775" s="294">
        <f t="shared" si="63"/>
        <v>7.3706161369642142E-3</v>
      </c>
      <c r="I775" s="297">
        <f>VLOOKUP(A775,'Dados para Ke Alternativo'!$W:$X,2,0)</f>
        <v>127804</v>
      </c>
      <c r="J775" s="294">
        <f t="shared" si="64"/>
        <v>6.1880993245051474E-3</v>
      </c>
    </row>
    <row r="776" spans="1:10" x14ac:dyDescent="0.3">
      <c r="A776" s="167">
        <v>45338</v>
      </c>
      <c r="B776" s="219">
        <f>VLOOKUP('Ke Alternativo'!A776,'Dados para Ke Alternativo'!$A:$B,2,0)</f>
        <v>45.4</v>
      </c>
      <c r="C776" s="294">
        <f t="shared" si="61"/>
        <v>1.8622391743325029E-2</v>
      </c>
      <c r="D776" s="296">
        <f>VLOOKUP(A776,'Dados para Ke Alternativo'!$P:$Q,2,0)</f>
        <v>4.9664999999999999</v>
      </c>
      <c r="E776" s="296">
        <f t="shared" si="60"/>
        <v>9.1412463505486752</v>
      </c>
      <c r="F776" s="294">
        <f t="shared" si="62"/>
        <v>1.9996552626176056E-2</v>
      </c>
      <c r="G776" s="296">
        <f>VLOOKUP($A776,'Dados para Ke Alternativo'!$I:$J,2,0)</f>
        <v>3285.12</v>
      </c>
      <c r="H776" s="294">
        <f t="shared" si="63"/>
        <v>-1.4043663025040676E-3</v>
      </c>
      <c r="I776" s="297">
        <f>VLOOKUP(A776,'Dados para Ke Alternativo'!$W:$X,2,0)</f>
        <v>128726</v>
      </c>
      <c r="J776" s="294">
        <f t="shared" si="64"/>
        <v>7.214171700416161E-3</v>
      </c>
    </row>
    <row r="777" spans="1:10" x14ac:dyDescent="0.3">
      <c r="A777" s="168">
        <v>45341</v>
      </c>
      <c r="B777" s="219">
        <f>VLOOKUP('Ke Alternativo'!A777,'Dados para Ke Alternativo'!$A:$B,2,0)</f>
        <v>45.89</v>
      </c>
      <c r="C777" s="294">
        <f t="shared" si="61"/>
        <v>1.0792951541850337E-2</v>
      </c>
      <c r="D777" s="296">
        <f>VLOOKUP(A777,'Dados para Ke Alternativo'!$P:$Q,2,0)</f>
        <v>4.9564000000000004</v>
      </c>
      <c r="E777" s="296">
        <f t="shared" si="60"/>
        <v>9.2587361794851102</v>
      </c>
      <c r="F777" s="294">
        <f t="shared" si="62"/>
        <v>1.2852714436405455E-2</v>
      </c>
      <c r="G777" s="296">
        <f>VLOOKUP($A777,'Dados para Ke Alternativo'!$I:$J,2,0)</f>
        <v>3286.86</v>
      </c>
      <c r="H777" s="294">
        <f t="shared" si="63"/>
        <v>5.2966101694917889E-4</v>
      </c>
      <c r="I777" s="297">
        <f>VLOOKUP(A777,'Dados para Ke Alternativo'!$W:$X,2,0)</f>
        <v>129036</v>
      </c>
      <c r="J777" s="294">
        <f t="shared" si="64"/>
        <v>2.4082159004397141E-3</v>
      </c>
    </row>
    <row r="778" spans="1:10" x14ac:dyDescent="0.3">
      <c r="A778" s="167">
        <v>45342</v>
      </c>
      <c r="B778" s="219">
        <f>VLOOKUP('Ke Alternativo'!A778,'Dados para Ke Alternativo'!$A:$B,2,0)</f>
        <v>46.12</v>
      </c>
      <c r="C778" s="294">
        <f t="shared" si="61"/>
        <v>5.0119851819567796E-3</v>
      </c>
      <c r="D778" s="296">
        <f>VLOOKUP(A778,'Dados para Ke Alternativo'!$P:$Q,2,0)</f>
        <v>4.9275000000000002</v>
      </c>
      <c r="E778" s="296">
        <f t="shared" si="60"/>
        <v>9.3597158802638241</v>
      </c>
      <c r="F778" s="294">
        <f t="shared" si="62"/>
        <v>1.0906423816509525E-2</v>
      </c>
      <c r="G778" s="296">
        <f>VLOOKUP($A778,'Dados para Ke Alternativo'!$I:$J,2,0)</f>
        <v>3274.33</v>
      </c>
      <c r="H778" s="294">
        <f t="shared" si="63"/>
        <v>-3.8121489810944986E-3</v>
      </c>
      <c r="I778" s="297">
        <f>VLOOKUP(A778,'Dados para Ke Alternativo'!$W:$X,2,0)</f>
        <v>129916</v>
      </c>
      <c r="J778" s="294">
        <f t="shared" si="64"/>
        <v>6.8198022257355273E-3</v>
      </c>
    </row>
    <row r="779" spans="1:10" x14ac:dyDescent="0.3">
      <c r="A779" s="168">
        <v>45343</v>
      </c>
      <c r="B779" s="219">
        <f>VLOOKUP('Ke Alternativo'!A779,'Dados para Ke Alternativo'!$A:$B,2,0)</f>
        <v>47</v>
      </c>
      <c r="C779" s="294">
        <f t="shared" si="61"/>
        <v>1.9080659150043422E-2</v>
      </c>
      <c r="D779" s="296">
        <f>VLOOKUP(A779,'Dados para Ke Alternativo'!$P:$Q,2,0)</f>
        <v>4.9358000000000004</v>
      </c>
      <c r="E779" s="296">
        <f t="shared" si="60"/>
        <v>9.522265894079986</v>
      </c>
      <c r="F779" s="294">
        <f t="shared" si="62"/>
        <v>1.7366981636581569E-2</v>
      </c>
      <c r="G779" s="296">
        <f>VLOOKUP($A779,'Dados para Ke Alternativo'!$I:$J,2,0)</f>
        <v>3272.19</v>
      </c>
      <c r="H779" s="294">
        <f t="shared" si="63"/>
        <v>-6.5356882171307973E-4</v>
      </c>
      <c r="I779" s="297">
        <f>VLOOKUP(A779,'Dados para Ke Alternativo'!$W:$X,2,0)</f>
        <v>130032</v>
      </c>
      <c r="J779" s="294">
        <f t="shared" si="64"/>
        <v>8.9288463314751709E-4</v>
      </c>
    </row>
    <row r="780" spans="1:10" x14ac:dyDescent="0.3">
      <c r="A780" s="167">
        <v>45344</v>
      </c>
      <c r="B780" s="219">
        <f>VLOOKUP('Ke Alternativo'!A780,'Dados para Ke Alternativo'!$A:$B,2,0)</f>
        <v>46.95</v>
      </c>
      <c r="C780" s="294">
        <f t="shared" si="61"/>
        <v>-1.0638297872339608E-3</v>
      </c>
      <c r="D780" s="296">
        <f>VLOOKUP(A780,'Dados para Ke Alternativo'!$P:$Q,2,0)</f>
        <v>4.9604999999999997</v>
      </c>
      <c r="E780" s="296">
        <f t="shared" si="60"/>
        <v>9.4647716964015736</v>
      </c>
      <c r="F780" s="294">
        <f t="shared" si="62"/>
        <v>-6.0378693808746942E-3</v>
      </c>
      <c r="G780" s="296">
        <f>VLOOKUP($A780,'Dados para Ke Alternativo'!$I:$J,2,0)</f>
        <v>3329.86</v>
      </c>
      <c r="H780" s="294">
        <f t="shared" si="63"/>
        <v>1.7624282208551501E-2</v>
      </c>
      <c r="I780" s="297">
        <f>VLOOKUP(A780,'Dados para Ke Alternativo'!$W:$X,2,0)</f>
        <v>130241</v>
      </c>
      <c r="J780" s="294">
        <f t="shared" si="64"/>
        <v>1.6072966654361309E-3</v>
      </c>
    </row>
    <row r="781" spans="1:10" x14ac:dyDescent="0.3">
      <c r="A781" s="168">
        <v>45345</v>
      </c>
      <c r="B781" s="219">
        <f>VLOOKUP('Ke Alternativo'!A781,'Dados para Ke Alternativo'!$A:$B,2,0)</f>
        <v>45.8</v>
      </c>
      <c r="C781" s="294">
        <f t="shared" si="61"/>
        <v>-2.4494142705005495E-2</v>
      </c>
      <c r="D781" s="296">
        <f>VLOOKUP(A781,'Dados para Ke Alternativo'!$P:$Q,2,0)</f>
        <v>4.9950999999999999</v>
      </c>
      <c r="E781" s="296">
        <f t="shared" si="60"/>
        <v>9.1689856058937753</v>
      </c>
      <c r="F781" s="294">
        <f t="shared" si="62"/>
        <v>-3.1251265217549173E-2</v>
      </c>
      <c r="G781" s="296">
        <f>VLOOKUP($A781,'Dados para Ke Alternativo'!$I:$J,2,0)</f>
        <v>3334.04</v>
      </c>
      <c r="H781" s="294">
        <f t="shared" si="63"/>
        <v>1.255308030968294E-3</v>
      </c>
      <c r="I781" s="297">
        <f>VLOOKUP(A781,'Dados para Ke Alternativo'!$W:$X,2,0)</f>
        <v>129419</v>
      </c>
      <c r="J781" s="294">
        <f t="shared" si="64"/>
        <v>-6.3113766018381146E-3</v>
      </c>
    </row>
    <row r="782" spans="1:10" x14ac:dyDescent="0.3">
      <c r="A782" s="167">
        <v>45348</v>
      </c>
      <c r="B782" s="219">
        <f>VLOOKUP('Ke Alternativo'!A782,'Dados para Ke Alternativo'!$A:$B,2,0)</f>
        <v>45.86</v>
      </c>
      <c r="C782" s="294">
        <f t="shared" si="61"/>
        <v>1.3100436681223737E-3</v>
      </c>
      <c r="D782" s="296">
        <f>VLOOKUP(A782,'Dados para Ke Alternativo'!$P:$Q,2,0)</f>
        <v>4.9798999999999998</v>
      </c>
      <c r="E782" s="296">
        <f t="shared" si="60"/>
        <v>9.2090202614510339</v>
      </c>
      <c r="F782" s="294">
        <f t="shared" si="62"/>
        <v>4.36631240118035E-3</v>
      </c>
      <c r="G782" s="296">
        <f>VLOOKUP($A782,'Dados para Ke Alternativo'!$I:$J,2,0)</f>
        <v>3325.79</v>
      </c>
      <c r="H782" s="294">
        <f t="shared" si="63"/>
        <v>-2.4744754112128176E-3</v>
      </c>
      <c r="I782" s="297">
        <f>VLOOKUP(A782,'Dados para Ke Alternativo'!$W:$X,2,0)</f>
        <v>129609</v>
      </c>
      <c r="J782" s="294">
        <f t="shared" si="64"/>
        <v>1.468099738060058E-3</v>
      </c>
    </row>
    <row r="783" spans="1:10" x14ac:dyDescent="0.3">
      <c r="A783" s="168">
        <v>45349</v>
      </c>
      <c r="B783" s="219">
        <f>VLOOKUP('Ke Alternativo'!A783,'Dados para Ke Alternativo'!$A:$B,2,0)</f>
        <v>45.4</v>
      </c>
      <c r="C783" s="294">
        <f t="shared" si="61"/>
        <v>-1.003052769297863E-2</v>
      </c>
      <c r="D783" s="296">
        <f>VLOOKUP(A783,'Dados para Ke Alternativo'!$P:$Q,2,0)</f>
        <v>4.9335000000000004</v>
      </c>
      <c r="E783" s="296">
        <f t="shared" si="60"/>
        <v>9.2023918110874625</v>
      </c>
      <c r="F783" s="294">
        <f t="shared" si="62"/>
        <v>-7.1977801930989127E-4</v>
      </c>
      <c r="G783" s="296">
        <f>VLOOKUP($A783,'Dados para Ke Alternativo'!$I:$J,2,0)</f>
        <v>3331.88</v>
      </c>
      <c r="H783" s="294">
        <f t="shared" si="63"/>
        <v>1.8311438785973966E-3</v>
      </c>
      <c r="I783" s="297">
        <f>VLOOKUP(A783,'Dados para Ke Alternativo'!$W:$X,2,0)</f>
        <v>131689</v>
      </c>
      <c r="J783" s="294">
        <f t="shared" si="64"/>
        <v>1.6048268252976339E-2</v>
      </c>
    </row>
    <row r="784" spans="1:10" x14ac:dyDescent="0.3">
      <c r="A784" s="167">
        <v>45350</v>
      </c>
      <c r="B784" s="219">
        <f>VLOOKUP('Ke Alternativo'!A784,'Dados para Ke Alternativo'!$A:$B,2,0)</f>
        <v>44.5</v>
      </c>
      <c r="C784" s="294">
        <f t="shared" si="61"/>
        <v>-1.9823788546255439E-2</v>
      </c>
      <c r="D784" s="296">
        <f>VLOOKUP(A784,'Dados para Ke Alternativo'!$P:$Q,2,0)</f>
        <v>4.9675000000000002</v>
      </c>
      <c r="E784" s="296">
        <f t="shared" si="60"/>
        <v>8.9582284851534979</v>
      </c>
      <c r="F784" s="294">
        <f t="shared" si="62"/>
        <v>-2.6532594019718414E-2</v>
      </c>
      <c r="G784" s="296">
        <f>VLOOKUP($A784,'Dados para Ke Alternativo'!$I:$J,2,0)</f>
        <v>3322.64</v>
      </c>
      <c r="H784" s="294">
        <f t="shared" si="63"/>
        <v>-2.7732091191760011E-3</v>
      </c>
      <c r="I784" s="297">
        <f>VLOOKUP(A784,'Dados para Ke Alternativo'!$W:$X,2,0)</f>
        <v>130155</v>
      </c>
      <c r="J784" s="294">
        <f t="shared" si="64"/>
        <v>-1.1648657063232259E-2</v>
      </c>
    </row>
    <row r="785" spans="1:10" x14ac:dyDescent="0.3">
      <c r="A785" s="168">
        <v>45351</v>
      </c>
      <c r="B785" s="219">
        <f>VLOOKUP('Ke Alternativo'!A785,'Dados para Ke Alternativo'!$A:$B,2,0)</f>
        <v>43.71</v>
      </c>
      <c r="C785" s="294">
        <f t="shared" si="61"/>
        <v>-1.7752808988764079E-2</v>
      </c>
      <c r="D785" s="296">
        <f>VLOOKUP(A785,'Dados para Ke Alternativo'!$P:$Q,2,0)</f>
        <v>4.9715999999999996</v>
      </c>
      <c r="E785" s="296">
        <f t="shared" si="60"/>
        <v>8.7919382090272755</v>
      </c>
      <c r="F785" s="294">
        <f t="shared" si="62"/>
        <v>-1.8562852733865376E-2</v>
      </c>
      <c r="G785" s="296">
        <f>VLOOKUP($A785,'Dados para Ke Alternativo'!$I:$J,2,0)</f>
        <v>3337.2</v>
      </c>
      <c r="H785" s="294">
        <f t="shared" si="63"/>
        <v>4.3820576409119294E-3</v>
      </c>
      <c r="I785" s="297">
        <f>VLOOKUP(A785,'Dados para Ke Alternativo'!$W:$X,2,0)</f>
        <v>129020</v>
      </c>
      <c r="J785" s="294">
        <f t="shared" si="64"/>
        <v>-8.7203718643156236E-3</v>
      </c>
    </row>
    <row r="786" spans="1:10" x14ac:dyDescent="0.3">
      <c r="A786" s="167">
        <v>45352</v>
      </c>
      <c r="B786" s="219">
        <f>VLOOKUP('Ke Alternativo'!A786,'Dados para Ke Alternativo'!$A:$B,2,0)</f>
        <v>44.35</v>
      </c>
      <c r="C786" s="294">
        <f t="shared" si="61"/>
        <v>1.4641958361930829E-2</v>
      </c>
      <c r="D786" s="296">
        <f>VLOOKUP(A786,'Dados para Ke Alternativo'!$P:$Q,2,0)</f>
        <v>4.9541000000000004</v>
      </c>
      <c r="E786" s="296">
        <f t="shared" si="60"/>
        <v>8.9521810217799391</v>
      </c>
      <c r="F786" s="294">
        <f t="shared" si="62"/>
        <v>1.8226107707187023E-2</v>
      </c>
      <c r="G786" s="296">
        <f>VLOOKUP($A786,'Dados para Ke Alternativo'!$I:$J,2,0)</f>
        <v>3364.04</v>
      </c>
      <c r="H786" s="294">
        <f t="shared" si="63"/>
        <v>8.0426705022174083E-3</v>
      </c>
      <c r="I786" s="297">
        <f>VLOOKUP(A786,'Dados para Ke Alternativo'!$W:$X,2,0)</f>
        <v>129180</v>
      </c>
      <c r="J786" s="294">
        <f t="shared" si="64"/>
        <v>1.240117811192043E-3</v>
      </c>
    </row>
    <row r="787" spans="1:10" x14ac:dyDescent="0.3">
      <c r="A787" s="168">
        <v>45355</v>
      </c>
      <c r="B787" s="219">
        <f>VLOOKUP('Ke Alternativo'!A787,'Dados para Ke Alternativo'!$A:$B,2,0)</f>
        <v>44.11</v>
      </c>
      <c r="C787" s="294">
        <f t="shared" si="61"/>
        <v>-5.4114994363021474E-3</v>
      </c>
      <c r="D787" s="296">
        <f>VLOOKUP(A787,'Dados para Ke Alternativo'!$P:$Q,2,0)</f>
        <v>4.9458000000000002</v>
      </c>
      <c r="E787" s="296">
        <f t="shared" si="60"/>
        <v>8.9186784746653718</v>
      </c>
      <c r="F787" s="294">
        <f t="shared" si="62"/>
        <v>-3.7423893722723367E-3</v>
      </c>
      <c r="G787" s="296">
        <f>VLOOKUP($A787,'Dados para Ke Alternativo'!$I:$J,2,0)</f>
        <v>3362.28</v>
      </c>
      <c r="H787" s="294">
        <f t="shared" si="63"/>
        <v>-5.2318046158783549E-4</v>
      </c>
      <c r="I787" s="297">
        <f>VLOOKUP(A787,'Dados para Ke Alternativo'!$W:$X,2,0)</f>
        <v>128341</v>
      </c>
      <c r="J787" s="294">
        <f t="shared" si="64"/>
        <v>-6.4948134386128009E-3</v>
      </c>
    </row>
    <row r="788" spans="1:10" x14ac:dyDescent="0.3">
      <c r="A788" s="167">
        <v>45356</v>
      </c>
      <c r="B788" s="219">
        <f>VLOOKUP('Ke Alternativo'!A788,'Dados para Ke Alternativo'!$A:$B,2,0)</f>
        <v>44.32</v>
      </c>
      <c r="C788" s="294">
        <f t="shared" si="61"/>
        <v>4.7608252097031123E-3</v>
      </c>
      <c r="D788" s="296">
        <f>VLOOKUP(A788,'Dados para Ke Alternativo'!$P:$Q,2,0)</f>
        <v>4.9581</v>
      </c>
      <c r="E788" s="296">
        <f t="shared" si="60"/>
        <v>8.9389080494544277</v>
      </c>
      <c r="F788" s="294">
        <f t="shared" si="62"/>
        <v>2.2682255949153518E-3</v>
      </c>
      <c r="G788" s="296">
        <f>VLOOKUP($A788,'Dados para Ke Alternativo'!$I:$J,2,0)</f>
        <v>3337.2</v>
      </c>
      <c r="H788" s="294">
        <f t="shared" si="63"/>
        <v>-7.4592240979336477E-3</v>
      </c>
      <c r="I788" s="297">
        <f>VLOOKUP(A788,'Dados para Ke Alternativo'!$W:$X,2,0)</f>
        <v>128098</v>
      </c>
      <c r="J788" s="294">
        <f t="shared" si="64"/>
        <v>-1.8933933816940307E-3</v>
      </c>
    </row>
    <row r="789" spans="1:10" x14ac:dyDescent="0.3">
      <c r="A789" s="168">
        <v>45357</v>
      </c>
      <c r="B789" s="219">
        <f>VLOOKUP('Ke Alternativo'!A789,'Dados para Ke Alternativo'!$A:$B,2,0)</f>
        <v>43.64</v>
      </c>
      <c r="C789" s="294">
        <f t="shared" si="61"/>
        <v>-1.534296028880866E-2</v>
      </c>
      <c r="D789" s="296">
        <f>VLOOKUP(A789,'Dados para Ke Alternativo'!$P:$Q,2,0)</f>
        <v>4.9446000000000003</v>
      </c>
      <c r="E789" s="296">
        <f t="shared" si="60"/>
        <v>8.8257897504348168</v>
      </c>
      <c r="F789" s="294">
        <f t="shared" si="62"/>
        <v>-1.2654599241180842E-2</v>
      </c>
      <c r="G789" s="296">
        <f>VLOOKUP($A789,'Dados para Ke Alternativo'!$I:$J,2,0)</f>
        <v>3357.03</v>
      </c>
      <c r="H789" s="294">
        <f t="shared" si="63"/>
        <v>5.9421071556995386E-3</v>
      </c>
      <c r="I789" s="297">
        <f>VLOOKUP(A789,'Dados para Ke Alternativo'!$W:$X,2,0)</f>
        <v>128890</v>
      </c>
      <c r="J789" s="294">
        <f t="shared" si="64"/>
        <v>6.1827663195366256E-3</v>
      </c>
    </row>
    <row r="790" spans="1:10" x14ac:dyDescent="0.3">
      <c r="A790" s="167">
        <v>45358</v>
      </c>
      <c r="B790" s="219">
        <f>VLOOKUP('Ke Alternativo'!A790,'Dados para Ke Alternativo'!$A:$B,2,0)</f>
        <v>43.35</v>
      </c>
      <c r="C790" s="294">
        <f t="shared" si="61"/>
        <v>-6.6452795600366876E-3</v>
      </c>
      <c r="D790" s="296">
        <f>VLOOKUP(A790,'Dados para Ke Alternativo'!$P:$Q,2,0)</f>
        <v>4.9349999999999996</v>
      </c>
      <c r="E790" s="296">
        <f t="shared" si="60"/>
        <v>8.7841945288753802</v>
      </c>
      <c r="F790" s="294">
        <f t="shared" si="62"/>
        <v>-4.7129177938310951E-3</v>
      </c>
      <c r="G790" s="296">
        <f>VLOOKUP($A790,'Dados para Ke Alternativo'!$I:$J,2,0)</f>
        <v>3391.26</v>
      </c>
      <c r="H790" s="294">
        <f t="shared" si="63"/>
        <v>1.0196512989160134E-2</v>
      </c>
      <c r="I790" s="297">
        <f>VLOOKUP(A790,'Dados para Ke Alternativo'!$W:$X,2,0)</f>
        <v>128340</v>
      </c>
      <c r="J790" s="294">
        <f t="shared" si="64"/>
        <v>-4.2672045930638447E-3</v>
      </c>
    </row>
    <row r="791" spans="1:10" x14ac:dyDescent="0.3">
      <c r="A791" s="168">
        <v>45359</v>
      </c>
      <c r="B791" s="219">
        <f>VLOOKUP('Ke Alternativo'!A791,'Dados para Ke Alternativo'!$A:$B,2,0)</f>
        <v>44.7</v>
      </c>
      <c r="C791" s="294">
        <f t="shared" si="61"/>
        <v>3.114186851211076E-2</v>
      </c>
      <c r="D791" s="296">
        <f>VLOOKUP(A791,'Dados para Ke Alternativo'!$P:$Q,2,0)</f>
        <v>4.9805999999999999</v>
      </c>
      <c r="E791" s="296">
        <f t="shared" si="60"/>
        <v>8.974822310564992</v>
      </c>
      <c r="F791" s="294">
        <f t="shared" si="62"/>
        <v>2.1701224974353783E-2</v>
      </c>
      <c r="G791" s="296">
        <f>VLOOKUP($A791,'Dados para Ke Alternativo'!$I:$J,2,0)</f>
        <v>3380.14</v>
      </c>
      <c r="H791" s="294">
        <f t="shared" si="63"/>
        <v>-3.2790172384306038E-3</v>
      </c>
      <c r="I791" s="297">
        <f>VLOOKUP(A791,'Dados para Ke Alternativo'!$W:$X,2,0)</f>
        <v>127071</v>
      </c>
      <c r="J791" s="294">
        <f t="shared" si="64"/>
        <v>-9.887798036465667E-3</v>
      </c>
    </row>
    <row r="792" spans="1:10" x14ac:dyDescent="0.3">
      <c r="A792" s="167">
        <v>45362</v>
      </c>
      <c r="B792" s="219">
        <f>VLOOKUP('Ke Alternativo'!A792,'Dados para Ke Alternativo'!$A:$B,2,0)</f>
        <v>44.9</v>
      </c>
      <c r="C792" s="294">
        <f t="shared" si="61"/>
        <v>4.4742729306486151E-3</v>
      </c>
      <c r="D792" s="296">
        <f>VLOOKUP(A792,'Dados para Ke Alternativo'!$P:$Q,2,0)</f>
        <v>4.9771000000000001</v>
      </c>
      <c r="E792" s="296">
        <f t="shared" si="60"/>
        <v>9.0213176347672341</v>
      </c>
      <c r="F792" s="294">
        <f t="shared" si="62"/>
        <v>5.180640083259247E-3</v>
      </c>
      <c r="G792" s="296">
        <f>VLOOKUP($A792,'Dados para Ke Alternativo'!$I:$J,2,0)</f>
        <v>3367.08</v>
      </c>
      <c r="H792" s="294">
        <f t="shared" si="63"/>
        <v>-3.8637452886566281E-3</v>
      </c>
      <c r="I792" s="297">
        <f>VLOOKUP(A792,'Dados para Ke Alternativo'!$W:$X,2,0)</f>
        <v>126124</v>
      </c>
      <c r="J792" s="294">
        <f t="shared" si="64"/>
        <v>-7.4525265402806129E-3</v>
      </c>
    </row>
    <row r="793" spans="1:10" x14ac:dyDescent="0.3">
      <c r="A793" s="168">
        <v>45363</v>
      </c>
      <c r="B793" s="219">
        <f>VLOOKUP('Ke Alternativo'!A793,'Dados para Ke Alternativo'!$A:$B,2,0)</f>
        <v>47.5</v>
      </c>
      <c r="C793" s="294">
        <f t="shared" si="61"/>
        <v>5.7906458797327476E-2</v>
      </c>
      <c r="D793" s="296">
        <f>VLOOKUP(A793,'Dados para Ke Alternativo'!$P:$Q,2,0)</f>
        <v>4.9718</v>
      </c>
      <c r="E793" s="296">
        <f t="shared" si="60"/>
        <v>9.5538839052254723</v>
      </c>
      <c r="F793" s="294">
        <f t="shared" si="62"/>
        <v>5.9034200104625789E-2</v>
      </c>
      <c r="G793" s="296">
        <f>VLOOKUP($A793,'Dados para Ke Alternativo'!$I:$J,2,0)</f>
        <v>3397.25</v>
      </c>
      <c r="H793" s="294">
        <f t="shared" si="63"/>
        <v>8.9602860638891002E-3</v>
      </c>
      <c r="I793" s="297">
        <f>VLOOKUP(A793,'Dados para Ke Alternativo'!$W:$X,2,0)</f>
        <v>127668</v>
      </c>
      <c r="J793" s="294">
        <f t="shared" si="64"/>
        <v>1.2241920649519455E-2</v>
      </c>
    </row>
    <row r="794" spans="1:10" x14ac:dyDescent="0.3">
      <c r="A794" s="167">
        <v>45364</v>
      </c>
      <c r="B794" s="219">
        <f>VLOOKUP('Ke Alternativo'!A794,'Dados para Ke Alternativo'!$A:$B,2,0)</f>
        <v>48.92</v>
      </c>
      <c r="C794" s="294">
        <f t="shared" si="61"/>
        <v>2.9894736842105196E-2</v>
      </c>
      <c r="D794" s="296">
        <f>VLOOKUP(A794,'Dados para Ke Alternativo'!$P:$Q,2,0)</f>
        <v>4.97</v>
      </c>
      <c r="E794" s="296">
        <f t="shared" si="60"/>
        <v>9.8430583501006037</v>
      </c>
      <c r="F794" s="294">
        <f t="shared" si="62"/>
        <v>3.0267736948003776E-2</v>
      </c>
      <c r="G794" s="296">
        <f>VLOOKUP($A794,'Dados para Ke Alternativo'!$I:$J,2,0)</f>
        <v>3396.19</v>
      </c>
      <c r="H794" s="294">
        <f t="shared" si="63"/>
        <v>-3.1201707263228684E-4</v>
      </c>
      <c r="I794" s="297">
        <f>VLOOKUP(A794,'Dados para Ke Alternativo'!$W:$X,2,0)</f>
        <v>128006</v>
      </c>
      <c r="J794" s="294">
        <f t="shared" si="64"/>
        <v>2.647491932199042E-3</v>
      </c>
    </row>
    <row r="795" spans="1:10" x14ac:dyDescent="0.3">
      <c r="A795" s="168">
        <v>45365</v>
      </c>
      <c r="B795" s="219">
        <f>VLOOKUP('Ke Alternativo'!A795,'Dados para Ke Alternativo'!$A:$B,2,0)</f>
        <v>48.6</v>
      </c>
      <c r="C795" s="294">
        <f t="shared" si="61"/>
        <v>-6.5412919051512919E-3</v>
      </c>
      <c r="D795" s="296">
        <f>VLOOKUP(A795,'Dados para Ke Alternativo'!$P:$Q,2,0)</f>
        <v>4.9894999999999996</v>
      </c>
      <c r="E795" s="296">
        <f t="shared" si="60"/>
        <v>9.7404549554063546</v>
      </c>
      <c r="F795" s="294">
        <f t="shared" si="62"/>
        <v>-1.0423934415993874E-2</v>
      </c>
      <c r="G795" s="296">
        <f>VLOOKUP($A795,'Dados para Ke Alternativo'!$I:$J,2,0)</f>
        <v>3382.48</v>
      </c>
      <c r="H795" s="294">
        <f t="shared" si="63"/>
        <v>-4.036876617621532E-3</v>
      </c>
      <c r="I795" s="297">
        <f>VLOOKUP(A795,'Dados para Ke Alternativo'!$W:$X,2,0)</f>
        <v>127690</v>
      </c>
      <c r="J795" s="294">
        <f t="shared" si="64"/>
        <v>-2.4686342827680008E-3</v>
      </c>
    </row>
    <row r="796" spans="1:10" x14ac:dyDescent="0.3">
      <c r="A796" s="167">
        <v>45366</v>
      </c>
      <c r="B796" s="219">
        <f>VLOOKUP('Ke Alternativo'!A796,'Dados para Ke Alternativo'!$A:$B,2,0)</f>
        <v>47.8</v>
      </c>
      <c r="C796" s="294">
        <f t="shared" si="61"/>
        <v>-1.6460905349794275E-2</v>
      </c>
      <c r="D796" s="296">
        <f>VLOOKUP(A796,'Dados para Ke Alternativo'!$P:$Q,2,0)</f>
        <v>4.9949000000000003</v>
      </c>
      <c r="E796" s="296">
        <f t="shared" si="60"/>
        <v>9.5697611563795064</v>
      </c>
      <c r="F796" s="294">
        <f t="shared" si="62"/>
        <v>-1.7524212144947704E-2</v>
      </c>
      <c r="G796" s="296">
        <f>VLOOKUP($A796,'Dados para Ke Alternativo'!$I:$J,2,0)</f>
        <v>3363.03</v>
      </c>
      <c r="H796" s="294">
        <f t="shared" si="63"/>
        <v>-5.7502187743903033E-3</v>
      </c>
      <c r="I796" s="297">
        <f>VLOOKUP(A796,'Dados para Ke Alternativo'!$W:$X,2,0)</f>
        <v>126742</v>
      </c>
      <c r="J796" s="294">
        <f t="shared" si="64"/>
        <v>-7.4242305583835932E-3</v>
      </c>
    </row>
  </sheetData>
  <pageMargins left="0.511811024" right="0.511811024" top="0.78740157499999996" bottom="0.78740157499999996" header="0.31496062000000002" footer="0.31496062000000002"/>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F839-27E3-40E3-B030-C339D15FFC26}">
  <sheetPr>
    <tabColor rgb="FFC00000"/>
  </sheetPr>
  <dimension ref="A2:AT237"/>
  <sheetViews>
    <sheetView showGridLines="0" topLeftCell="A98" zoomScale="85" zoomScaleNormal="85" workbookViewId="0">
      <selection activeCell="E248" sqref="E248"/>
    </sheetView>
  </sheetViews>
  <sheetFormatPr defaultRowHeight="14.4" x14ac:dyDescent="0.3"/>
  <cols>
    <col min="1" max="1" width="33.77734375" customWidth="1"/>
    <col min="2" max="21" width="11.109375" customWidth="1"/>
  </cols>
  <sheetData>
    <row r="2" spans="1:7" x14ac:dyDescent="0.3">
      <c r="A2" s="112" t="s">
        <v>549</v>
      </c>
      <c r="B2" s="101">
        <v>2018</v>
      </c>
      <c r="C2" s="101">
        <v>2019</v>
      </c>
      <c r="D2" s="101">
        <v>2020</v>
      </c>
      <c r="E2" s="101">
        <v>2021</v>
      </c>
      <c r="F2" s="101">
        <v>2022</v>
      </c>
      <c r="G2" s="101">
        <v>2023</v>
      </c>
    </row>
    <row r="3" spans="1:7" x14ac:dyDescent="0.3">
      <c r="A3" s="106" t="s">
        <v>110</v>
      </c>
      <c r="B3" s="107">
        <v>1516180</v>
      </c>
      <c r="C3" s="107">
        <v>5489751</v>
      </c>
      <c r="D3" s="107">
        <v>6792833</v>
      </c>
      <c r="E3" s="107">
        <v>12221416</v>
      </c>
      <c r="F3" s="107">
        <v>20302520</v>
      </c>
      <c r="G3" s="107">
        <v>28310932</v>
      </c>
    </row>
    <row r="4" spans="1:7" x14ac:dyDescent="0.3">
      <c r="A4" s="108" t="s">
        <v>112</v>
      </c>
      <c r="B4" s="109">
        <v>1035616</v>
      </c>
      <c r="C4" s="109">
        <v>1513090</v>
      </c>
      <c r="D4" s="109">
        <v>1841415</v>
      </c>
      <c r="E4" s="109">
        <v>6106295</v>
      </c>
      <c r="F4" s="109">
        <v>10602627</v>
      </c>
      <c r="G4" s="109">
        <v>5294874</v>
      </c>
    </row>
    <row r="5" spans="1:7" x14ac:dyDescent="0.3">
      <c r="A5" s="102" t="s">
        <v>114</v>
      </c>
      <c r="B5" s="103">
        <v>186993</v>
      </c>
      <c r="C5" s="103">
        <v>459396</v>
      </c>
      <c r="D5" s="103">
        <v>809273</v>
      </c>
      <c r="E5" s="103">
        <v>970681</v>
      </c>
      <c r="F5" s="103">
        <v>9612961</v>
      </c>
      <c r="G5" s="103">
        <v>2335403</v>
      </c>
    </row>
    <row r="6" spans="1:7" x14ac:dyDescent="0.3">
      <c r="A6" s="104" t="s">
        <v>116</v>
      </c>
      <c r="B6" s="105">
        <v>607441</v>
      </c>
      <c r="C6" s="105">
        <v>226301</v>
      </c>
      <c r="D6" s="105">
        <v>22793</v>
      </c>
      <c r="E6" s="105">
        <v>3680185</v>
      </c>
      <c r="F6" s="105">
        <v>0</v>
      </c>
      <c r="G6" s="105">
        <v>0</v>
      </c>
    </row>
    <row r="7" spans="1:7" x14ac:dyDescent="0.3">
      <c r="A7" s="102" t="s">
        <v>118</v>
      </c>
      <c r="B7" s="103">
        <v>34932</v>
      </c>
      <c r="C7" s="103">
        <v>374598</v>
      </c>
      <c r="D7" s="103">
        <v>386165</v>
      </c>
      <c r="E7" s="103">
        <v>915033</v>
      </c>
      <c r="F7" s="103">
        <v>166304</v>
      </c>
      <c r="G7" s="103">
        <v>1743491</v>
      </c>
    </row>
    <row r="8" spans="1:7" x14ac:dyDescent="0.3">
      <c r="A8" s="104" t="s">
        <v>120</v>
      </c>
      <c r="B8" s="105">
        <v>58298</v>
      </c>
      <c r="C8" s="105">
        <v>125474</v>
      </c>
      <c r="D8" s="105">
        <v>194666</v>
      </c>
      <c r="E8" s="105">
        <v>217536</v>
      </c>
      <c r="F8" s="105">
        <v>0</v>
      </c>
      <c r="G8" s="105">
        <v>651651</v>
      </c>
    </row>
    <row r="9" spans="1:7" x14ac:dyDescent="0.3">
      <c r="A9" s="102" t="s">
        <v>126</v>
      </c>
      <c r="B9" s="103">
        <v>147952</v>
      </c>
      <c r="C9" s="103">
        <v>327321</v>
      </c>
      <c r="D9" s="103">
        <v>428518</v>
      </c>
      <c r="E9" s="103">
        <v>322860</v>
      </c>
      <c r="F9" s="103">
        <v>823362</v>
      </c>
      <c r="G9" s="103">
        <v>564329</v>
      </c>
    </row>
    <row r="10" spans="1:7" x14ac:dyDescent="0.3">
      <c r="A10" s="108" t="s">
        <v>128</v>
      </c>
      <c r="B10" s="109">
        <v>480564</v>
      </c>
      <c r="C10" s="109">
        <v>3976661</v>
      </c>
      <c r="D10" s="109">
        <v>4951418</v>
      </c>
      <c r="E10" s="109">
        <v>6115121</v>
      </c>
      <c r="F10" s="109">
        <v>9699893</v>
      </c>
      <c r="G10" s="109">
        <v>23016058</v>
      </c>
    </row>
    <row r="11" spans="1:7" x14ac:dyDescent="0.3">
      <c r="A11" s="102" t="s">
        <v>130</v>
      </c>
      <c r="B11" s="103">
        <v>69268</v>
      </c>
      <c r="C11" s="103">
        <v>232542</v>
      </c>
      <c r="D11" s="103">
        <v>265703</v>
      </c>
      <c r="E11" s="103">
        <v>397883</v>
      </c>
      <c r="F11" s="103">
        <v>729759</v>
      </c>
      <c r="G11" s="103">
        <v>631701</v>
      </c>
    </row>
    <row r="12" spans="1:7" x14ac:dyDescent="0.3">
      <c r="A12" s="104" t="s">
        <v>532</v>
      </c>
      <c r="B12" s="105">
        <v>0</v>
      </c>
      <c r="C12" s="105">
        <v>0</v>
      </c>
      <c r="D12" s="105">
        <v>0</v>
      </c>
      <c r="E12" s="105">
        <v>425867</v>
      </c>
      <c r="F12" s="105">
        <v>1470973</v>
      </c>
      <c r="G12" s="105">
        <v>2044361</v>
      </c>
    </row>
    <row r="13" spans="1:7" x14ac:dyDescent="0.3">
      <c r="A13" s="102" t="s">
        <v>133</v>
      </c>
      <c r="B13" s="103">
        <v>270347</v>
      </c>
      <c r="C13" s="103">
        <v>3054590</v>
      </c>
      <c r="D13" s="103">
        <v>3728849</v>
      </c>
      <c r="E13" s="103">
        <v>3549045</v>
      </c>
      <c r="F13" s="103">
        <v>4665206</v>
      </c>
      <c r="G13" s="103">
        <v>9425118</v>
      </c>
    </row>
    <row r="14" spans="1:7" x14ac:dyDescent="0.3">
      <c r="A14" s="104" t="s">
        <v>135</v>
      </c>
      <c r="B14" s="105">
        <v>140949</v>
      </c>
      <c r="C14" s="105">
        <v>689529</v>
      </c>
      <c r="D14" s="105">
        <v>956866</v>
      </c>
      <c r="E14" s="105">
        <v>1742326</v>
      </c>
      <c r="F14" s="105">
        <v>2833955</v>
      </c>
      <c r="G14" s="105">
        <v>10914878</v>
      </c>
    </row>
    <row r="16" spans="1:7" x14ac:dyDescent="0.3">
      <c r="A16" s="112" t="s">
        <v>549</v>
      </c>
      <c r="B16" s="101">
        <v>2018</v>
      </c>
      <c r="C16" s="101">
        <v>2019</v>
      </c>
      <c r="D16" s="101">
        <v>2020</v>
      </c>
      <c r="E16" s="101">
        <v>2021</v>
      </c>
      <c r="F16" s="101">
        <v>2022</v>
      </c>
      <c r="G16" s="101">
        <v>2023</v>
      </c>
    </row>
    <row r="17" spans="1:7" x14ac:dyDescent="0.3">
      <c r="A17" s="106" t="s">
        <v>138</v>
      </c>
      <c r="B17" s="107">
        <v>1516180</v>
      </c>
      <c r="C17" s="107">
        <v>5489751</v>
      </c>
      <c r="D17" s="107">
        <v>6792833</v>
      </c>
      <c r="E17" s="107">
        <v>12221416</v>
      </c>
      <c r="F17" s="107">
        <v>20302520</v>
      </c>
      <c r="G17" s="107">
        <v>28310932</v>
      </c>
    </row>
    <row r="18" spans="1:7" x14ac:dyDescent="0.3">
      <c r="A18" s="108" t="s">
        <v>140</v>
      </c>
      <c r="B18" s="109">
        <v>370986</v>
      </c>
      <c r="C18" s="109">
        <v>1669783</v>
      </c>
      <c r="D18" s="109">
        <v>2149449</v>
      </c>
      <c r="E18" s="109">
        <v>1085997</v>
      </c>
      <c r="F18" s="109">
        <v>1387739</v>
      </c>
      <c r="G18" s="109">
        <v>3463811</v>
      </c>
    </row>
    <row r="19" spans="1:7" x14ac:dyDescent="0.3">
      <c r="A19" s="102" t="s">
        <v>144</v>
      </c>
      <c r="B19" s="103">
        <v>73258</v>
      </c>
      <c r="C19" s="103">
        <v>87232</v>
      </c>
      <c r="D19" s="103">
        <v>236889</v>
      </c>
      <c r="E19" s="103">
        <v>292204</v>
      </c>
      <c r="F19" s="103">
        <v>565926</v>
      </c>
      <c r="G19" s="103">
        <v>834778</v>
      </c>
    </row>
    <row r="20" spans="1:7" x14ac:dyDescent="0.3">
      <c r="A20" s="104" t="s">
        <v>148</v>
      </c>
      <c r="B20" s="105">
        <v>222743</v>
      </c>
      <c r="C20" s="105">
        <v>1447355</v>
      </c>
      <c r="D20" s="105">
        <v>1772611</v>
      </c>
      <c r="E20" s="105">
        <v>553</v>
      </c>
      <c r="F20" s="105">
        <v>433772</v>
      </c>
      <c r="G20" s="105">
        <v>1252062</v>
      </c>
    </row>
    <row r="21" spans="1:7" x14ac:dyDescent="0.3">
      <c r="A21" s="102" t="s">
        <v>533</v>
      </c>
      <c r="B21" s="103" t="s">
        <v>612</v>
      </c>
      <c r="C21" s="103" t="s">
        <v>612</v>
      </c>
      <c r="D21" s="103" t="s">
        <v>612</v>
      </c>
      <c r="E21" s="103">
        <v>105905</v>
      </c>
      <c r="F21" s="103">
        <v>64547</v>
      </c>
      <c r="G21" s="103">
        <v>224502</v>
      </c>
    </row>
    <row r="22" spans="1:7" x14ac:dyDescent="0.3">
      <c r="A22" s="104" t="s">
        <v>150</v>
      </c>
      <c r="B22" s="105">
        <v>74985</v>
      </c>
      <c r="C22" s="105">
        <v>135196</v>
      </c>
      <c r="D22" s="105">
        <v>139949</v>
      </c>
      <c r="E22" s="105">
        <v>687335</v>
      </c>
      <c r="F22" s="105">
        <v>323494</v>
      </c>
      <c r="G22" s="105">
        <v>1152469</v>
      </c>
    </row>
    <row r="23" spans="1:7" x14ac:dyDescent="0.3">
      <c r="A23" s="108" t="s">
        <v>155</v>
      </c>
      <c r="B23" s="107">
        <v>163020</v>
      </c>
      <c r="C23" s="107">
        <v>1654867</v>
      </c>
      <c r="D23" s="107">
        <v>1492121</v>
      </c>
      <c r="E23" s="107">
        <v>4515170</v>
      </c>
      <c r="F23" s="107">
        <v>9022764</v>
      </c>
      <c r="G23" s="107">
        <v>10968841</v>
      </c>
    </row>
    <row r="24" spans="1:7" x14ac:dyDescent="0.3">
      <c r="A24" s="104" t="s">
        <v>148</v>
      </c>
      <c r="B24" s="105">
        <v>95084</v>
      </c>
      <c r="C24" s="105">
        <v>810703</v>
      </c>
      <c r="D24" s="105">
        <v>763208</v>
      </c>
      <c r="E24" s="105">
        <v>3307368</v>
      </c>
      <c r="F24" s="105">
        <v>7287626</v>
      </c>
      <c r="G24" s="105">
        <v>6141102</v>
      </c>
    </row>
    <row r="25" spans="1:7" x14ac:dyDescent="0.3">
      <c r="A25" s="102" t="s">
        <v>533</v>
      </c>
      <c r="B25" s="103" t="s">
        <v>612</v>
      </c>
      <c r="C25" s="103" t="s">
        <v>612</v>
      </c>
      <c r="D25" s="103" t="s">
        <v>612</v>
      </c>
      <c r="E25" s="103">
        <v>487467</v>
      </c>
      <c r="F25" s="103">
        <v>1436811</v>
      </c>
      <c r="G25" s="103">
        <v>1936736</v>
      </c>
    </row>
    <row r="26" spans="1:7" x14ac:dyDescent="0.3">
      <c r="A26" s="104" t="s">
        <v>150</v>
      </c>
      <c r="B26" s="105">
        <v>67936</v>
      </c>
      <c r="C26" s="105">
        <v>844164</v>
      </c>
      <c r="D26" s="105">
        <v>728913</v>
      </c>
      <c r="E26" s="105">
        <v>720335</v>
      </c>
      <c r="F26" s="105">
        <v>298327</v>
      </c>
      <c r="G26" s="105">
        <v>2891003</v>
      </c>
    </row>
    <row r="27" spans="1:7" x14ac:dyDescent="0.3">
      <c r="A27" s="106" t="s">
        <v>174</v>
      </c>
      <c r="B27" s="107">
        <v>982174</v>
      </c>
      <c r="C27" s="107">
        <v>2165101</v>
      </c>
      <c r="D27" s="107">
        <v>3151263</v>
      </c>
      <c r="E27" s="107">
        <v>6620249</v>
      </c>
      <c r="F27" s="107">
        <v>9892017</v>
      </c>
      <c r="G27" s="107">
        <v>13878280</v>
      </c>
    </row>
    <row r="29" spans="1:7" x14ac:dyDescent="0.3">
      <c r="A29" s="112" t="s">
        <v>550</v>
      </c>
      <c r="B29" s="101">
        <v>2018</v>
      </c>
      <c r="C29" s="101">
        <v>2019</v>
      </c>
      <c r="D29" s="101">
        <v>2020</v>
      </c>
      <c r="E29" s="101">
        <v>2021</v>
      </c>
      <c r="F29" s="101">
        <v>2022</v>
      </c>
      <c r="G29" s="101">
        <v>2023</v>
      </c>
    </row>
    <row r="30" spans="1:7" ht="26.4" x14ac:dyDescent="0.3">
      <c r="A30" s="106" t="s">
        <v>177</v>
      </c>
      <c r="B30" s="107">
        <v>848920</v>
      </c>
      <c r="C30" s="107">
        <v>1644346</v>
      </c>
      <c r="D30" s="107">
        <v>1904185</v>
      </c>
      <c r="E30" s="107">
        <v>4396003</v>
      </c>
      <c r="F30" s="107">
        <v>6363475</v>
      </c>
      <c r="G30" s="107">
        <v>11905041</v>
      </c>
    </row>
    <row r="31" spans="1:7" x14ac:dyDescent="0.3">
      <c r="A31" s="104" t="s">
        <v>178</v>
      </c>
      <c r="B31" s="105">
        <v>-524489</v>
      </c>
      <c r="C31" s="105">
        <v>-940379</v>
      </c>
      <c r="D31" s="105">
        <v>-1286926</v>
      </c>
      <c r="E31" s="105">
        <v>-1883358</v>
      </c>
      <c r="F31" s="105">
        <v>-2106303</v>
      </c>
      <c r="G31" s="105">
        <v>-4246137</v>
      </c>
    </row>
    <row r="32" spans="1:7" x14ac:dyDescent="0.3">
      <c r="A32" s="110" t="s">
        <v>511</v>
      </c>
      <c r="B32" s="103" t="s">
        <v>612</v>
      </c>
      <c r="C32" s="103" t="s">
        <v>612</v>
      </c>
      <c r="D32" s="103" t="s">
        <v>612</v>
      </c>
      <c r="E32" s="103">
        <v>-791968</v>
      </c>
      <c r="F32" s="103">
        <v>-866189</v>
      </c>
      <c r="G32" s="103">
        <v>-1194128</v>
      </c>
    </row>
    <row r="33" spans="1:44" x14ac:dyDescent="0.3">
      <c r="A33" s="111" t="s">
        <v>288</v>
      </c>
      <c r="B33" s="105">
        <v>-70132</v>
      </c>
      <c r="C33" s="105">
        <v>-382878</v>
      </c>
      <c r="D33" s="105">
        <v>-650284</v>
      </c>
      <c r="E33" s="105">
        <v>-770298</v>
      </c>
      <c r="F33" s="105">
        <v>-741729</v>
      </c>
      <c r="G33" s="105">
        <v>-1917395</v>
      </c>
    </row>
    <row r="34" spans="1:44" x14ac:dyDescent="0.3">
      <c r="A34" s="110" t="s">
        <v>377</v>
      </c>
      <c r="B34" s="103" t="s">
        <v>612</v>
      </c>
      <c r="C34" s="103" t="s">
        <v>612</v>
      </c>
      <c r="D34" s="103" t="s">
        <v>612</v>
      </c>
      <c r="E34" s="103">
        <v>-321092</v>
      </c>
      <c r="F34" s="103">
        <v>-498385</v>
      </c>
      <c r="G34" s="103">
        <v>-1134614</v>
      </c>
    </row>
    <row r="35" spans="1:44" x14ac:dyDescent="0.3">
      <c r="A35" s="108" t="s">
        <v>179</v>
      </c>
      <c r="B35" s="109">
        <v>324431</v>
      </c>
      <c r="C35" s="109">
        <v>703967</v>
      </c>
      <c r="D35" s="109">
        <v>617259</v>
      </c>
      <c r="E35" s="109">
        <v>2512645</v>
      </c>
      <c r="F35" s="109">
        <v>4257172</v>
      </c>
      <c r="G35" s="109">
        <v>7658904</v>
      </c>
    </row>
    <row r="36" spans="1:44" x14ac:dyDescent="0.3">
      <c r="A36" s="102" t="s">
        <v>180</v>
      </c>
      <c r="B36" s="103">
        <v>-216929</v>
      </c>
      <c r="C36" s="103">
        <v>174289</v>
      </c>
      <c r="D36" s="103">
        <v>325490</v>
      </c>
      <c r="E36" s="103">
        <v>-391202</v>
      </c>
      <c r="F36" s="103">
        <v>-340959</v>
      </c>
      <c r="G36" s="103">
        <v>-503042</v>
      </c>
    </row>
    <row r="37" spans="1:44" x14ac:dyDescent="0.3">
      <c r="A37" s="110" t="s">
        <v>182</v>
      </c>
      <c r="B37" s="103">
        <v>-197084</v>
      </c>
      <c r="C37" s="103">
        <v>-245716</v>
      </c>
      <c r="D37" s="103">
        <v>-337947</v>
      </c>
      <c r="E37" s="103">
        <v>-315640</v>
      </c>
      <c r="F37" s="103">
        <v>-367529</v>
      </c>
      <c r="G37" s="103">
        <v>-567393</v>
      </c>
    </row>
    <row r="38" spans="1:44" x14ac:dyDescent="0.3">
      <c r="A38" s="111" t="s">
        <v>633</v>
      </c>
      <c r="B38" s="105">
        <f t="shared" ref="B38:G38" si="0">-(-B36+B37)</f>
        <v>-19845</v>
      </c>
      <c r="C38" s="105">
        <f t="shared" si="0"/>
        <v>420005</v>
      </c>
      <c r="D38" s="105">
        <f t="shared" si="0"/>
        <v>663437</v>
      </c>
      <c r="E38" s="105">
        <f t="shared" si="0"/>
        <v>-75562</v>
      </c>
      <c r="F38" s="105">
        <f t="shared" si="0"/>
        <v>26570</v>
      </c>
      <c r="G38" s="105">
        <f t="shared" si="0"/>
        <v>64351</v>
      </c>
    </row>
    <row r="39" spans="1:44" x14ac:dyDescent="0.3">
      <c r="A39" s="143" t="s">
        <v>192</v>
      </c>
      <c r="B39" s="107">
        <v>107502</v>
      </c>
      <c r="C39" s="107">
        <v>878256</v>
      </c>
      <c r="D39" s="107">
        <v>942749</v>
      </c>
      <c r="E39" s="107">
        <v>2121443</v>
      </c>
      <c r="F39" s="107">
        <v>3916213</v>
      </c>
      <c r="G39" s="107">
        <v>7155862</v>
      </c>
    </row>
    <row r="40" spans="1:44" x14ac:dyDescent="0.3">
      <c r="A40" s="104" t="s">
        <v>96</v>
      </c>
      <c r="B40" s="105">
        <v>50870</v>
      </c>
      <c r="C40" s="105">
        <v>-337254</v>
      </c>
      <c r="D40" s="105">
        <v>-458669</v>
      </c>
      <c r="E40" s="105">
        <v>-622322</v>
      </c>
      <c r="F40" s="105">
        <v>-254393</v>
      </c>
      <c r="G40" s="105">
        <v>-1051190</v>
      </c>
    </row>
    <row r="41" spans="1:44" x14ac:dyDescent="0.3">
      <c r="A41" s="143" t="s">
        <v>195</v>
      </c>
      <c r="B41" s="107">
        <v>158372</v>
      </c>
      <c r="C41" s="107">
        <v>541002</v>
      </c>
      <c r="D41" s="107">
        <v>484080</v>
      </c>
      <c r="E41" s="107">
        <v>1499121</v>
      </c>
      <c r="F41" s="107">
        <v>3661820</v>
      </c>
      <c r="G41" s="107">
        <v>6104672</v>
      </c>
    </row>
    <row r="42" spans="1:44" x14ac:dyDescent="0.3">
      <c r="A42" s="144" t="s">
        <v>196</v>
      </c>
      <c r="B42" s="105">
        <v>-31189</v>
      </c>
      <c r="C42" s="105">
        <v>301344</v>
      </c>
      <c r="D42" s="105">
        <v>-31167</v>
      </c>
      <c r="E42" s="105">
        <v>-166075</v>
      </c>
      <c r="F42" s="105">
        <v>-234748</v>
      </c>
      <c r="G42" s="105">
        <v>-924767</v>
      </c>
    </row>
    <row r="43" spans="1:44" x14ac:dyDescent="0.3">
      <c r="A43" s="143" t="s">
        <v>203</v>
      </c>
      <c r="B43" s="107">
        <v>127183</v>
      </c>
      <c r="C43" s="107">
        <v>842346</v>
      </c>
      <c r="D43" s="107">
        <v>452913</v>
      </c>
      <c r="E43" s="107">
        <v>1333046</v>
      </c>
      <c r="F43" s="107">
        <v>3427072</v>
      </c>
      <c r="G43" s="107">
        <v>5179905</v>
      </c>
    </row>
    <row r="44" spans="1:44" x14ac:dyDescent="0.3">
      <c r="B44" s="16"/>
      <c r="C44" s="16"/>
      <c r="D44" s="16"/>
      <c r="E44" s="16"/>
      <c r="F44" s="16"/>
      <c r="G44" s="16"/>
    </row>
    <row r="46" spans="1:44" x14ac:dyDescent="0.3">
      <c r="B46" s="114">
        <f>'Receita Líquida - O&amp;G'!AG1</f>
        <v>2024</v>
      </c>
      <c r="C46" s="114">
        <f>'Receita Líquida - O&amp;G'!AH1</f>
        <v>2025</v>
      </c>
      <c r="D46" s="114">
        <f>'Receita Líquida - O&amp;G'!AI1</f>
        <v>2026</v>
      </c>
      <c r="E46" s="114">
        <f>'Receita Líquida - O&amp;G'!AJ1</f>
        <v>2027</v>
      </c>
      <c r="F46" s="114">
        <f>'Receita Líquida - O&amp;G'!AK1</f>
        <v>2028</v>
      </c>
      <c r="G46" s="114">
        <f>'Receita Líquida - O&amp;G'!AL1</f>
        <v>2029</v>
      </c>
      <c r="H46" s="114">
        <f>'Receita Líquida - O&amp;G'!AM1</f>
        <v>2030</v>
      </c>
      <c r="I46" s="114">
        <f>'Receita Líquida - O&amp;G'!AN1</f>
        <v>2031</v>
      </c>
      <c r="J46" s="114">
        <f>'Receita Líquida - O&amp;G'!AO1</f>
        <v>2032</v>
      </c>
      <c r="K46" s="114">
        <f>'Receita Líquida - O&amp;G'!AP1</f>
        <v>2033</v>
      </c>
      <c r="L46" s="114">
        <f>'Receita Líquida - O&amp;G'!AQ1</f>
        <v>2034</v>
      </c>
      <c r="M46" s="114">
        <f>'Receita Líquida - O&amp;G'!AR1</f>
        <v>2035</v>
      </c>
      <c r="N46" s="114">
        <f>'Receita Líquida - O&amp;G'!AS1</f>
        <v>2036</v>
      </c>
      <c r="O46" s="114">
        <f>'Receita Líquida - O&amp;G'!AT1</f>
        <v>2037</v>
      </c>
      <c r="P46" s="114">
        <f>'Receita Líquida - O&amp;G'!AU1</f>
        <v>2038</v>
      </c>
      <c r="Q46" s="114">
        <f>'Receita Líquida - O&amp;G'!AV1</f>
        <v>2039</v>
      </c>
      <c r="R46" s="114">
        <f>'Receita Líquida - O&amp;G'!AW1</f>
        <v>2040</v>
      </c>
      <c r="S46" s="114">
        <f>'Receita Líquida - O&amp;G'!AX1</f>
        <v>2041</v>
      </c>
      <c r="T46" s="114">
        <f>'Receita Líquida - O&amp;G'!AY1</f>
        <v>2042</v>
      </c>
      <c r="U46" s="114">
        <f>'Receita Líquida - O&amp;G'!AZ1</f>
        <v>2043</v>
      </c>
      <c r="V46" s="114">
        <f>'Receita Líquida - O&amp;G'!BA1</f>
        <v>2044</v>
      </c>
      <c r="W46" s="114">
        <f>'Receita Líquida - O&amp;G'!BB1</f>
        <v>2045</v>
      </c>
      <c r="X46" s="114">
        <f>'Receita Líquida - O&amp;G'!BC1</f>
        <v>2046</v>
      </c>
      <c r="Y46" s="114">
        <f>'Receita Líquida - O&amp;G'!BD1</f>
        <v>2047</v>
      </c>
      <c r="Z46" s="114">
        <f>'Receita Líquida - O&amp;G'!BE1</f>
        <v>2048</v>
      </c>
      <c r="AA46" s="114">
        <f>'Receita Líquida - O&amp;G'!BF1</f>
        <v>2049</v>
      </c>
      <c r="AB46" s="114">
        <f>'Receita Líquida - O&amp;G'!BG1</f>
        <v>2050</v>
      </c>
      <c r="AC46" s="114">
        <f>'Receita Líquida - O&amp;G'!BH1</f>
        <v>2051</v>
      </c>
      <c r="AD46" s="114">
        <f>'Receita Líquida - O&amp;G'!BI1</f>
        <v>2052</v>
      </c>
      <c r="AE46" s="114">
        <f>'Receita Líquida - O&amp;G'!BJ1</f>
        <v>2053</v>
      </c>
      <c r="AF46" s="114">
        <f>'Receita Líquida - O&amp;G'!BK1</f>
        <v>2054</v>
      </c>
      <c r="AG46" s="114">
        <f>'Receita Líquida - O&amp;G'!BL1</f>
        <v>2055</v>
      </c>
      <c r="AH46" s="114">
        <f>'Receita Líquida - O&amp;G'!BM1</f>
        <v>2056</v>
      </c>
      <c r="AI46" s="114">
        <f>'Receita Líquida - O&amp;G'!BN1</f>
        <v>2057</v>
      </c>
      <c r="AJ46" s="114">
        <f>'Receita Líquida - O&amp;G'!BO1</f>
        <v>2058</v>
      </c>
      <c r="AK46" s="114">
        <f>'Receita Líquida - O&amp;G'!BP1</f>
        <v>2059</v>
      </c>
      <c r="AL46" s="114">
        <f>'Receita Líquida - O&amp;G'!BQ1</f>
        <v>2060</v>
      </c>
      <c r="AM46" s="114">
        <f>'Receita Líquida - O&amp;G'!BR1</f>
        <v>2061</v>
      </c>
      <c r="AN46" s="114">
        <f>'Receita Líquida - O&amp;G'!BS1</f>
        <v>2062</v>
      </c>
      <c r="AO46" s="114">
        <f>'Receita Líquida - O&amp;G'!BT1</f>
        <v>2063</v>
      </c>
      <c r="AP46" s="114">
        <f>'Receita Líquida - O&amp;G'!BU1</f>
        <v>2064</v>
      </c>
      <c r="AQ46" s="114">
        <f>'Receita Líquida - O&amp;G'!BV1</f>
        <v>2065</v>
      </c>
      <c r="AR46" s="114">
        <f>'Receita Líquida - O&amp;G'!BW1</f>
        <v>2066</v>
      </c>
    </row>
    <row r="47" spans="1:44" x14ac:dyDescent="0.3">
      <c r="A47" s="82" t="s">
        <v>553</v>
      </c>
      <c r="B47">
        <v>38312</v>
      </c>
      <c r="C47">
        <v>45712</v>
      </c>
      <c r="D47">
        <v>46845</v>
      </c>
      <c r="E47">
        <v>47715</v>
      </c>
      <c r="F47">
        <v>45380</v>
      </c>
      <c r="G47">
        <v>44900</v>
      </c>
      <c r="H47">
        <v>40749</v>
      </c>
      <c r="I47">
        <v>34538</v>
      </c>
      <c r="J47">
        <v>29553</v>
      </c>
      <c r="K47">
        <v>25265</v>
      </c>
      <c r="L47">
        <v>21562</v>
      </c>
      <c r="M47">
        <v>17236</v>
      </c>
      <c r="N47">
        <v>14875</v>
      </c>
      <c r="O47">
        <v>12760</v>
      </c>
      <c r="P47">
        <v>11129</v>
      </c>
      <c r="Q47">
        <v>9555</v>
      </c>
      <c r="R47">
        <v>8126</v>
      </c>
      <c r="S47">
        <v>7225</v>
      </c>
      <c r="T47">
        <v>6378</v>
      </c>
      <c r="U47">
        <v>5708</v>
      </c>
      <c r="V47">
        <v>5113</v>
      </c>
      <c r="W47">
        <v>4513</v>
      </c>
      <c r="X47">
        <v>3959</v>
      </c>
      <c r="Y47">
        <v>2160</v>
      </c>
      <c r="Z47">
        <v>1980</v>
      </c>
      <c r="AA47">
        <v>1725</v>
      </c>
      <c r="AB47">
        <v>1566</v>
      </c>
      <c r="AC47">
        <v>1406</v>
      </c>
      <c r="AD47">
        <v>1150</v>
      </c>
      <c r="AE47">
        <v>0</v>
      </c>
      <c r="AF47">
        <v>0</v>
      </c>
      <c r="AG47">
        <v>0</v>
      </c>
      <c r="AH47">
        <v>0</v>
      </c>
      <c r="AI47">
        <v>0</v>
      </c>
      <c r="AJ47">
        <v>0</v>
      </c>
      <c r="AK47">
        <v>0</v>
      </c>
      <c r="AL47">
        <v>0</v>
      </c>
      <c r="AM47">
        <v>0</v>
      </c>
      <c r="AN47">
        <v>0</v>
      </c>
      <c r="AO47">
        <v>0</v>
      </c>
      <c r="AP47">
        <v>0</v>
      </c>
      <c r="AQ47">
        <v>0</v>
      </c>
    </row>
    <row r="48" spans="1:44" x14ac:dyDescent="0.3">
      <c r="A48" s="82" t="s">
        <v>554</v>
      </c>
      <c r="B48">
        <f ca="1">INDEX('Receita Líquida - O&amp;G'!$7:$7,MATCH(B$51,'Receita Líquida - O&amp;G'!$1:$1,0))</f>
        <v>41329</v>
      </c>
      <c r="C48">
        <f ca="1">INDEX('Receita Líquida - O&amp;G'!$7:$7,MATCH(C$51,'Receita Líquida - O&amp;G'!$1:$1,0))</f>
        <v>54228</v>
      </c>
      <c r="D48">
        <f ca="1">INDEX('Receita Líquida - O&amp;G'!$7:$7,MATCH(D$51,'Receita Líquida - O&amp;G'!$1:$1,0))</f>
        <v>57788</v>
      </c>
      <c r="E48">
        <f ca="1">INDEX('Receita Líquida - O&amp;G'!$7:$7,MATCH(E$51,'Receita Líquida - O&amp;G'!$1:$1,0))</f>
        <v>60808</v>
      </c>
      <c r="F48">
        <f ca="1">INDEX('Receita Líquida - O&amp;G'!$7:$7,MATCH(F$51,'Receita Líquida - O&amp;G'!$1:$1,0))</f>
        <v>59713</v>
      </c>
      <c r="G48">
        <f ca="1">INDEX('Receita Líquida - O&amp;G'!$7:$7,MATCH(G$51,'Receita Líquida - O&amp;G'!$1:$1,0))</f>
        <v>60129</v>
      </c>
      <c r="H48">
        <f ca="1">INDEX('Receita Líquida - O&amp;G'!$7:$7,MATCH(H$51,'Receita Líquida - O&amp;G'!$1:$1,0))</f>
        <v>54435</v>
      </c>
      <c r="I48">
        <f ca="1">INDEX('Receita Líquida - O&amp;G'!$7:$7,MATCH(I$51,'Receita Líquida - O&amp;G'!$1:$1,0))</f>
        <v>46226</v>
      </c>
      <c r="J48">
        <f ca="1">INDEX('Receita Líquida - O&amp;G'!$7:$7,MATCH(J$51,'Receita Líquida - O&amp;G'!$1:$1,0))</f>
        <v>40054</v>
      </c>
      <c r="K48">
        <f ca="1">INDEX('Receita Líquida - O&amp;G'!$7:$7,MATCH(K$51,'Receita Líquida - O&amp;G'!$1:$1,0))</f>
        <v>35040</v>
      </c>
      <c r="L48">
        <f ca="1">INDEX('Receita Líquida - O&amp;G'!$7:$7,MATCH(L$51,'Receita Líquida - O&amp;G'!$1:$1,0))</f>
        <v>30882</v>
      </c>
      <c r="M48">
        <f ca="1">INDEX('Receita Líquida - O&amp;G'!$7:$7,MATCH(M$51,'Receita Líquida - O&amp;G'!$1:$1,0))</f>
        <v>26878</v>
      </c>
      <c r="N48">
        <f ca="1">INDEX('Receita Líquida - O&amp;G'!$7:$7,MATCH(N$51,'Receita Líquida - O&amp;G'!$1:$1,0))</f>
        <v>23064</v>
      </c>
      <c r="O48">
        <f ca="1">INDEX('Receita Líquida - O&amp;G'!$7:$7,MATCH(O$51,'Receita Líquida - O&amp;G'!$1:$1,0))</f>
        <v>19874</v>
      </c>
      <c r="P48">
        <f ca="1">INDEX('Receita Líquida - O&amp;G'!$7:$7,MATCH(P$51,'Receita Líquida - O&amp;G'!$1:$1,0))</f>
        <v>17538</v>
      </c>
      <c r="Q48">
        <f ca="1">INDEX('Receita Líquida - O&amp;G'!$7:$7,MATCH(Q$51,'Receita Líquida - O&amp;G'!$1:$1,0))</f>
        <v>15635</v>
      </c>
      <c r="R48">
        <f ca="1">INDEX('Receita Líquida - O&amp;G'!$7:$7,MATCH(R$51,'Receita Líquida - O&amp;G'!$1:$1,0))</f>
        <v>12344</v>
      </c>
      <c r="S48">
        <f ca="1">INDEX('Receita Líquida - O&amp;G'!$7:$7,MATCH(S$51,'Receita Líquida - O&amp;G'!$1:$1,0))</f>
        <v>10815</v>
      </c>
      <c r="T48">
        <f ca="1">INDEX('Receita Líquida - O&amp;G'!$7:$7,MATCH(T$51,'Receita Líquida - O&amp;G'!$1:$1,0))</f>
        <v>9503</v>
      </c>
      <c r="U48">
        <f ca="1">INDEX('Receita Líquida - O&amp;G'!$7:$7,MATCH(U$51,'Receita Líquida - O&amp;G'!$1:$1,0))</f>
        <v>8310</v>
      </c>
      <c r="V48">
        <f ca="1">INDEX('Receita Líquida - O&amp;G'!$7:$7,MATCH(V$51,'Receita Líquida - O&amp;G'!$1:$1,0))</f>
        <v>7380</v>
      </c>
      <c r="W48">
        <f ca="1">INDEX('Receita Líquida - O&amp;G'!$7:$7,MATCH(W$51,'Receita Líquida - O&amp;G'!$1:$1,0))</f>
        <v>6410</v>
      </c>
      <c r="X48">
        <f ca="1">INDEX('Receita Líquida - O&amp;G'!$7:$7,MATCH(X$51,'Receita Líquida - O&amp;G'!$1:$1,0))</f>
        <v>5809</v>
      </c>
      <c r="Y48">
        <f ca="1">INDEX('Receita Líquida - O&amp;G'!$7:$7,MATCH(Y$51,'Receita Líquida - O&amp;G'!$1:$1,0))</f>
        <v>5326</v>
      </c>
      <c r="Z48">
        <f ca="1">INDEX('Receita Líquida - O&amp;G'!$7:$7,MATCH(Z$51,'Receita Líquida - O&amp;G'!$1:$1,0))</f>
        <v>4915</v>
      </c>
      <c r="AA48">
        <f ca="1">INDEX('Receita Líquida - O&amp;G'!$7:$7,MATCH(AA$51,'Receita Líquida - O&amp;G'!$1:$1,0))</f>
        <v>4307</v>
      </c>
      <c r="AB48">
        <f ca="1">INDEX('Receita Líquida - O&amp;G'!$7:$7,MATCH(AB$51,'Receita Líquida - O&amp;G'!$1:$1,0))</f>
        <v>3925</v>
      </c>
      <c r="AC48">
        <f ca="1">INDEX('Receita Líquida - O&amp;G'!$7:$7,MATCH(AC$51,'Receita Líquida - O&amp;G'!$1:$1,0))</f>
        <v>3653</v>
      </c>
      <c r="AD48">
        <f ca="1">INDEX('Receita Líquida - O&amp;G'!$7:$7,MATCH(AD$51,'Receita Líquida - O&amp;G'!$1:$1,0))</f>
        <v>2290</v>
      </c>
      <c r="AE48">
        <f ca="1">INDEX('Receita Líquida - O&amp;G'!$7:$7,MATCH(AE$51,'Receita Líquida - O&amp;G'!$1:$1,0))</f>
        <v>0</v>
      </c>
      <c r="AF48">
        <f ca="1">INDEX('Receita Líquida - O&amp;G'!$7:$7,MATCH(AF$51,'Receita Líquida - O&amp;G'!$1:$1,0))</f>
        <v>0</v>
      </c>
      <c r="AG48">
        <f ca="1">INDEX('Receita Líquida - O&amp;G'!$7:$7,MATCH(AG$51,'Receita Líquida - O&amp;G'!$1:$1,0))</f>
        <v>0</v>
      </c>
      <c r="AH48">
        <f ca="1">INDEX('Receita Líquida - O&amp;G'!$7:$7,MATCH(AH$51,'Receita Líquida - O&amp;G'!$1:$1,0))</f>
        <v>0</v>
      </c>
      <c r="AI48">
        <f ca="1">INDEX('Receita Líquida - O&amp;G'!$7:$7,MATCH(AI$51,'Receita Líquida - O&amp;G'!$1:$1,0))</f>
        <v>0</v>
      </c>
      <c r="AJ48">
        <f ca="1">INDEX('Receita Líquida - O&amp;G'!$7:$7,MATCH(AJ$51,'Receita Líquida - O&amp;G'!$1:$1,0))</f>
        <v>0</v>
      </c>
      <c r="AK48">
        <f ca="1">INDEX('Receita Líquida - O&amp;G'!$7:$7,MATCH(AK$51,'Receita Líquida - O&amp;G'!$1:$1,0))</f>
        <v>0</v>
      </c>
      <c r="AL48">
        <f ca="1">INDEX('Receita Líquida - O&amp;G'!$7:$7,MATCH(AL$51,'Receita Líquida - O&amp;G'!$1:$1,0))</f>
        <v>0</v>
      </c>
      <c r="AM48">
        <f ca="1">INDEX('Receita Líquida - O&amp;G'!$7:$7,MATCH(AM$51,'Receita Líquida - O&amp;G'!$1:$1,0))</f>
        <v>0</v>
      </c>
      <c r="AN48">
        <f ca="1">INDEX('Receita Líquida - O&amp;G'!$7:$7,MATCH(AN$51,'Receita Líquida - O&amp;G'!$1:$1,0))</f>
        <v>0</v>
      </c>
      <c r="AO48">
        <f ca="1">INDEX('Receita Líquida - O&amp;G'!$7:$7,MATCH(AO$51,'Receita Líquida - O&amp;G'!$1:$1,0))</f>
        <v>0</v>
      </c>
      <c r="AP48">
        <f ca="1">INDEX('Receita Líquida - O&amp;G'!$7:$7,MATCH(AP$51,'Receita Líquida - O&amp;G'!$1:$1,0))</f>
        <v>0</v>
      </c>
      <c r="AQ48">
        <f ca="1">INDEX('Receita Líquida - O&amp;G'!$7:$7,MATCH(AQ$51,'Receita Líquida - O&amp;G'!$1:$1,0))</f>
        <v>0</v>
      </c>
      <c r="AR48">
        <v>1302</v>
      </c>
    </row>
    <row r="49" spans="1:44" x14ac:dyDescent="0.3">
      <c r="A49" s="82" t="s">
        <v>555</v>
      </c>
      <c r="B49">
        <v>43669</v>
      </c>
      <c r="C49">
        <v>59843</v>
      </c>
      <c r="D49">
        <v>65646</v>
      </c>
      <c r="E49">
        <v>70291</v>
      </c>
      <c r="F49">
        <v>67927</v>
      </c>
      <c r="G49">
        <v>69074</v>
      </c>
      <c r="H49">
        <v>64825</v>
      </c>
      <c r="I49">
        <v>55514</v>
      </c>
      <c r="J49">
        <v>48619</v>
      </c>
      <c r="K49">
        <v>42960</v>
      </c>
      <c r="L49">
        <v>38290</v>
      </c>
      <c r="M49">
        <v>34367</v>
      </c>
      <c r="N49">
        <v>30925</v>
      </c>
      <c r="O49">
        <v>27809</v>
      </c>
      <c r="P49">
        <v>24794</v>
      </c>
      <c r="Q49">
        <v>22185</v>
      </c>
      <c r="R49">
        <v>20209</v>
      </c>
      <c r="S49">
        <v>18462</v>
      </c>
      <c r="T49">
        <v>16735</v>
      </c>
      <c r="U49">
        <v>14954</v>
      </c>
      <c r="V49">
        <v>13455</v>
      </c>
      <c r="W49">
        <v>12406</v>
      </c>
      <c r="X49">
        <v>11326</v>
      </c>
      <c r="Y49">
        <v>10576</v>
      </c>
      <c r="Z49">
        <v>9867</v>
      </c>
      <c r="AA49">
        <v>7588</v>
      </c>
      <c r="AB49">
        <v>7165</v>
      </c>
      <c r="AC49">
        <v>6748</v>
      </c>
      <c r="AD49">
        <v>4327</v>
      </c>
      <c r="AE49">
        <v>1117</v>
      </c>
      <c r="AF49">
        <v>1046</v>
      </c>
      <c r="AG49">
        <v>0</v>
      </c>
      <c r="AH49">
        <v>0</v>
      </c>
      <c r="AI49">
        <v>0</v>
      </c>
      <c r="AJ49">
        <v>0</v>
      </c>
      <c r="AK49">
        <v>0</v>
      </c>
      <c r="AL49">
        <v>0</v>
      </c>
      <c r="AM49">
        <v>0</v>
      </c>
      <c r="AN49">
        <v>0</v>
      </c>
      <c r="AO49">
        <v>0</v>
      </c>
      <c r="AP49">
        <v>0</v>
      </c>
      <c r="AQ49">
        <v>0</v>
      </c>
      <c r="AR49">
        <v>1302</v>
      </c>
    </row>
    <row r="50" spans="1:44" x14ac:dyDescent="0.3">
      <c r="A50" s="8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row>
    <row r="51" spans="1:44" x14ac:dyDescent="0.3">
      <c r="B51" s="114">
        <v>2024</v>
      </c>
      <c r="C51" s="114">
        <v>2025</v>
      </c>
      <c r="D51" s="114">
        <v>2026</v>
      </c>
      <c r="E51" s="114">
        <v>2027</v>
      </c>
      <c r="F51" s="114">
        <v>2028</v>
      </c>
      <c r="G51" s="114">
        <v>2029</v>
      </c>
      <c r="H51" s="114">
        <v>2030</v>
      </c>
      <c r="I51" s="114">
        <v>2031</v>
      </c>
      <c r="J51" s="114">
        <v>2032</v>
      </c>
      <c r="K51" s="114">
        <v>2033</v>
      </c>
      <c r="L51" s="114">
        <v>2034</v>
      </c>
      <c r="M51" s="114">
        <v>2035</v>
      </c>
      <c r="N51" s="114">
        <v>2036</v>
      </c>
      <c r="O51" s="114">
        <v>2037</v>
      </c>
      <c r="P51" s="114">
        <v>2038</v>
      </c>
      <c r="Q51" s="114">
        <v>2039</v>
      </c>
      <c r="R51" s="114">
        <v>2040</v>
      </c>
      <c r="S51" s="114">
        <v>2041</v>
      </c>
      <c r="T51" s="114">
        <v>2042</v>
      </c>
      <c r="U51" s="114">
        <v>2043</v>
      </c>
      <c r="V51" s="114">
        <v>2044</v>
      </c>
      <c r="W51" s="114">
        <v>2045</v>
      </c>
      <c r="X51" s="114">
        <v>2046</v>
      </c>
      <c r="Y51" s="114">
        <v>2047</v>
      </c>
      <c r="Z51" s="114">
        <v>2048</v>
      </c>
      <c r="AA51" s="114">
        <v>2049</v>
      </c>
      <c r="AB51" s="114">
        <v>2050</v>
      </c>
      <c r="AC51" s="114">
        <v>2051</v>
      </c>
      <c r="AD51" s="114">
        <v>2052</v>
      </c>
      <c r="AE51" s="114">
        <v>2053</v>
      </c>
      <c r="AF51" s="114">
        <v>2054</v>
      </c>
      <c r="AG51" s="114">
        <f>AG46</f>
        <v>2055</v>
      </c>
      <c r="AH51" s="114">
        <f t="shared" ref="AH51:AP51" si="1">AH46</f>
        <v>2056</v>
      </c>
      <c r="AI51" s="114">
        <f t="shared" si="1"/>
        <v>2057</v>
      </c>
      <c r="AJ51" s="114">
        <f t="shared" si="1"/>
        <v>2058</v>
      </c>
      <c r="AK51" s="114">
        <f t="shared" si="1"/>
        <v>2059</v>
      </c>
      <c r="AL51" s="114">
        <f t="shared" si="1"/>
        <v>2060</v>
      </c>
      <c r="AM51" s="114">
        <f t="shared" si="1"/>
        <v>2061</v>
      </c>
      <c r="AN51" s="114">
        <f t="shared" si="1"/>
        <v>2062</v>
      </c>
      <c r="AO51" s="114">
        <f t="shared" si="1"/>
        <v>2063</v>
      </c>
      <c r="AP51" s="114">
        <f t="shared" si="1"/>
        <v>2064</v>
      </c>
      <c r="AQ51" s="114">
        <f>AQ46</f>
        <v>2065</v>
      </c>
      <c r="AR51" s="114">
        <f>AR46</f>
        <v>2066</v>
      </c>
    </row>
    <row r="52" spans="1:44" x14ac:dyDescent="0.3">
      <c r="A52" s="82" t="s">
        <v>556</v>
      </c>
      <c r="B52">
        <v>11070</v>
      </c>
      <c r="C52">
        <v>17222</v>
      </c>
      <c r="D52">
        <v>18962</v>
      </c>
      <c r="E52">
        <v>22273</v>
      </c>
      <c r="F52">
        <v>21972</v>
      </c>
      <c r="G52">
        <v>21683</v>
      </c>
      <c r="H52">
        <v>19774</v>
      </c>
      <c r="I52">
        <v>17000</v>
      </c>
      <c r="J52">
        <v>14357</v>
      </c>
      <c r="K52">
        <v>11543</v>
      </c>
      <c r="L52">
        <v>8945</v>
      </c>
      <c r="M52">
        <v>6896</v>
      </c>
      <c r="N52">
        <v>5081</v>
      </c>
      <c r="O52">
        <v>3548</v>
      </c>
      <c r="P52">
        <v>3053</v>
      </c>
      <c r="Q52">
        <v>2673</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row>
    <row r="53" spans="1:44" x14ac:dyDescent="0.3">
      <c r="A53" s="82" t="s">
        <v>557</v>
      </c>
      <c r="B53">
        <f ca="1">INDEX('Receita Líquida - O&amp;G'!$49:$49,MATCH(B$51,'Receita Líquida - O&amp;G'!$1:$1,0))</f>
        <v>12700</v>
      </c>
      <c r="C53">
        <f ca="1">INDEX('Receita Líquida - O&amp;G'!$49:$49,MATCH(C$51,'Receita Líquida - O&amp;G'!$1:$1,0))</f>
        <v>21942</v>
      </c>
      <c r="D53">
        <f ca="1">INDEX('Receita Líquida - O&amp;G'!$49:$49,MATCH(D$51,'Receita Líquida - O&amp;G'!$1:$1,0))</f>
        <v>24515</v>
      </c>
      <c r="E53">
        <f ca="1">INDEX('Receita Líquida - O&amp;G'!$49:$49,MATCH(E$51,'Receita Líquida - O&amp;G'!$1:$1,0))</f>
        <v>28630</v>
      </c>
      <c r="F53">
        <f ca="1">INDEX('Receita Líquida - O&amp;G'!$49:$49,MATCH(F$51,'Receita Líquida - O&amp;G'!$1:$1,0))</f>
        <v>31459</v>
      </c>
      <c r="G53">
        <f ca="1">INDEX('Receita Líquida - O&amp;G'!$49:$49,MATCH(G$51,'Receita Líquida - O&amp;G'!$1:$1,0))</f>
        <v>35441</v>
      </c>
      <c r="H53">
        <f ca="1">INDEX('Receita Líquida - O&amp;G'!$49:$49,MATCH(H$51,'Receita Líquida - O&amp;G'!$1:$1,0))</f>
        <v>31241</v>
      </c>
      <c r="I53">
        <f ca="1">INDEX('Receita Líquida - O&amp;G'!$49:$49,MATCH(I$51,'Receita Líquida - O&amp;G'!$1:$1,0))</f>
        <v>23464</v>
      </c>
      <c r="J53">
        <f ca="1">INDEX('Receita Líquida - O&amp;G'!$49:$49,MATCH(J$51,'Receita Líquida - O&amp;G'!$1:$1,0))</f>
        <v>17553</v>
      </c>
      <c r="K53">
        <f ca="1">INDEX('Receita Líquida - O&amp;G'!$49:$49,MATCH(K$51,'Receita Líquida - O&amp;G'!$1:$1,0))</f>
        <v>13666</v>
      </c>
      <c r="L53">
        <f ca="1">INDEX('Receita Líquida - O&amp;G'!$49:$49,MATCH(L$51,'Receita Líquida - O&amp;G'!$1:$1,0))</f>
        <v>10927</v>
      </c>
      <c r="M53">
        <f ca="1">INDEX('Receita Líquida - O&amp;G'!$49:$49,MATCH(M$51,'Receita Líquida - O&amp;G'!$1:$1,0))</f>
        <v>8540</v>
      </c>
      <c r="N53">
        <f ca="1">INDEX('Receita Líquida - O&amp;G'!$49:$49,MATCH(N$51,'Receita Líquida - O&amp;G'!$1:$1,0))</f>
        <v>6399</v>
      </c>
      <c r="O53">
        <f ca="1">INDEX('Receita Líquida - O&amp;G'!$49:$49,MATCH(O$51,'Receita Líquida - O&amp;G'!$1:$1,0))</f>
        <v>4804</v>
      </c>
      <c r="P53">
        <f ca="1">INDEX('Receita Líquida - O&amp;G'!$49:$49,MATCH(P$51,'Receita Líquida - O&amp;G'!$1:$1,0))</f>
        <v>3775</v>
      </c>
      <c r="Q53">
        <f ca="1">INDEX('Receita Líquida - O&amp;G'!$49:$49,MATCH(Q$51,'Receita Líquida - O&amp;G'!$1:$1,0))</f>
        <v>393</v>
      </c>
      <c r="R53">
        <f ca="1">INDEX('Receita Líquida - O&amp;G'!$49:$49,MATCH(R$51,'Receita Líquida - O&amp;G'!$1:$1,0))</f>
        <v>0</v>
      </c>
      <c r="S53">
        <f ca="1">INDEX('Receita Líquida - O&amp;G'!$49:$49,MATCH(S$51,'Receita Líquida - O&amp;G'!$1:$1,0))</f>
        <v>0</v>
      </c>
      <c r="T53">
        <f ca="1">INDEX('Receita Líquida - O&amp;G'!$49:$49,MATCH(T$51,'Receita Líquida - O&amp;G'!$1:$1,0))</f>
        <v>0</v>
      </c>
      <c r="U53">
        <f ca="1">INDEX('Receita Líquida - O&amp;G'!$49:$49,MATCH(U$51,'Receita Líquida - O&amp;G'!$1:$1,0))</f>
        <v>0</v>
      </c>
      <c r="V53">
        <f ca="1">INDEX('Receita Líquida - O&amp;G'!$49:$49,MATCH(V$51,'Receita Líquida - O&amp;G'!$1:$1,0))</f>
        <v>0</v>
      </c>
      <c r="W53">
        <f ca="1">INDEX('Receita Líquida - O&amp;G'!$49:$49,MATCH(W$51,'Receita Líquida - O&amp;G'!$1:$1,0))</f>
        <v>0</v>
      </c>
      <c r="X53">
        <f ca="1">INDEX('Receita Líquida - O&amp;G'!$49:$49,MATCH(X$51,'Receita Líquida - O&amp;G'!$1:$1,0))</f>
        <v>0</v>
      </c>
      <c r="Y53">
        <f ca="1">INDEX('Receita Líquida - O&amp;G'!$49:$49,MATCH(Y$51,'Receita Líquida - O&amp;G'!$1:$1,0))</f>
        <v>0</v>
      </c>
      <c r="Z53">
        <f ca="1">INDEX('Receita Líquida - O&amp;G'!$49:$49,MATCH(Z$51,'Receita Líquida - O&amp;G'!$1:$1,0))</f>
        <v>0</v>
      </c>
      <c r="AA53">
        <f ca="1">INDEX('Receita Líquida - O&amp;G'!$49:$49,MATCH(AA$51,'Receita Líquida - O&amp;G'!$1:$1,0))</f>
        <v>0</v>
      </c>
      <c r="AB53">
        <f ca="1">INDEX('Receita Líquida - O&amp;G'!$49:$49,MATCH(AB$51,'Receita Líquida - O&amp;G'!$1:$1,0))</f>
        <v>0</v>
      </c>
      <c r="AC53">
        <f ca="1">INDEX('Receita Líquida - O&amp;G'!$49:$49,MATCH(AC$51,'Receita Líquida - O&amp;G'!$1:$1,0))</f>
        <v>0</v>
      </c>
      <c r="AD53">
        <f ca="1">INDEX('Receita Líquida - O&amp;G'!$49:$49,MATCH(AD$51,'Receita Líquida - O&amp;G'!$1:$1,0))</f>
        <v>0</v>
      </c>
      <c r="AE53">
        <f ca="1">INDEX('Receita Líquida - O&amp;G'!$49:$49,MATCH(AE$51,'Receita Líquida - O&amp;G'!$1:$1,0))</f>
        <v>0</v>
      </c>
      <c r="AF53">
        <f ca="1">INDEX('Receita Líquida - O&amp;G'!$49:$49,MATCH(AF$51,'Receita Líquida - O&amp;G'!$1:$1,0))</f>
        <v>0</v>
      </c>
      <c r="AG53">
        <f ca="1">INDEX('Receita Líquida - O&amp;G'!$49:$49,MATCH(AG$51,'Receita Líquida - O&amp;G'!$1:$1,0))</f>
        <v>0</v>
      </c>
      <c r="AH53">
        <f ca="1">INDEX('Receita Líquida - O&amp;G'!$49:$49,MATCH(AH$51,'Receita Líquida - O&amp;G'!$1:$1,0))</f>
        <v>0</v>
      </c>
      <c r="AI53">
        <f ca="1">INDEX('Receita Líquida - O&amp;G'!$49:$49,MATCH(AI$51,'Receita Líquida - O&amp;G'!$1:$1,0))</f>
        <v>0</v>
      </c>
      <c r="AJ53">
        <f ca="1">INDEX('Receita Líquida - O&amp;G'!$49:$49,MATCH(AJ$51,'Receita Líquida - O&amp;G'!$1:$1,0))</f>
        <v>0</v>
      </c>
      <c r="AK53">
        <f ca="1">INDEX('Receita Líquida - O&amp;G'!$49:$49,MATCH(AK$51,'Receita Líquida - O&amp;G'!$1:$1,0))</f>
        <v>0</v>
      </c>
      <c r="AL53">
        <f ca="1">INDEX('Receita Líquida - O&amp;G'!$49:$49,MATCH(AL$51,'Receita Líquida - O&amp;G'!$1:$1,0))</f>
        <v>0</v>
      </c>
      <c r="AM53">
        <f ca="1">INDEX('Receita Líquida - O&amp;G'!$49:$49,MATCH(AM$51,'Receita Líquida - O&amp;G'!$1:$1,0))</f>
        <v>0</v>
      </c>
      <c r="AN53">
        <f ca="1">INDEX('Receita Líquida - O&amp;G'!$49:$49,MATCH(AN$51,'Receita Líquida - O&amp;G'!$1:$1,0))</f>
        <v>0</v>
      </c>
      <c r="AO53">
        <f ca="1">INDEX('Receita Líquida - O&amp;G'!$49:$49,MATCH(AO$51,'Receita Líquida - O&amp;G'!$1:$1,0))</f>
        <v>0</v>
      </c>
      <c r="AP53">
        <f ca="1">INDEX('Receita Líquida - O&amp;G'!$49:$49,MATCH(AP$51,'Receita Líquida - O&amp;G'!$1:$1,0))</f>
        <v>0</v>
      </c>
      <c r="AQ53">
        <f ca="1">INDEX('Receita Líquida - O&amp;G'!$49:$49,MATCH(AQ$51,'Receita Líquida - O&amp;G'!$1:$1,0))</f>
        <v>0</v>
      </c>
      <c r="AR53">
        <f ca="1">INDEX('Receita Líquida - O&amp;G'!$49:$49,MATCH(AR$51,'Receita Líquida - O&amp;G'!$1:$1,0))</f>
        <v>0</v>
      </c>
    </row>
    <row r="54" spans="1:44" x14ac:dyDescent="0.3">
      <c r="A54" s="82" t="s">
        <v>558</v>
      </c>
      <c r="B54">
        <v>13740</v>
      </c>
      <c r="C54">
        <v>24754</v>
      </c>
      <c r="D54">
        <v>29223</v>
      </c>
      <c r="E54">
        <v>38008</v>
      </c>
      <c r="F54">
        <v>37888</v>
      </c>
      <c r="G54">
        <v>33604</v>
      </c>
      <c r="H54">
        <v>28858</v>
      </c>
      <c r="I54">
        <v>22736</v>
      </c>
      <c r="J54">
        <v>18312</v>
      </c>
      <c r="K54">
        <v>15263</v>
      </c>
      <c r="L54">
        <v>13093</v>
      </c>
      <c r="M54">
        <v>11230</v>
      </c>
      <c r="N54">
        <v>9570</v>
      </c>
      <c r="O54">
        <v>8101</v>
      </c>
      <c r="P54">
        <v>6650</v>
      </c>
      <c r="Q54">
        <v>5437</v>
      </c>
      <c r="R54">
        <v>4562</v>
      </c>
      <c r="S54">
        <v>3804</v>
      </c>
      <c r="T54">
        <v>3019</v>
      </c>
      <c r="U54">
        <v>2598</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row>
    <row r="59" spans="1:44" x14ac:dyDescent="0.3">
      <c r="A59" s="112" t="s">
        <v>549</v>
      </c>
      <c r="B59" s="101">
        <v>2018</v>
      </c>
      <c r="C59" s="101">
        <v>2019</v>
      </c>
      <c r="D59" s="101">
        <v>2020</v>
      </c>
      <c r="E59" s="101">
        <v>2021</v>
      </c>
      <c r="F59" s="101">
        <v>2022</v>
      </c>
      <c r="G59" s="101">
        <v>2023</v>
      </c>
      <c r="H59" s="101" t="s">
        <v>618</v>
      </c>
    </row>
    <row r="60" spans="1:44" ht="27" customHeight="1" x14ac:dyDescent="0.3">
      <c r="A60" s="151" t="s">
        <v>118</v>
      </c>
      <c r="B60" s="152">
        <v>34932</v>
      </c>
      <c r="C60" s="152">
        <v>374598</v>
      </c>
      <c r="D60" s="152">
        <v>386165</v>
      </c>
      <c r="E60" s="152">
        <v>915033</v>
      </c>
      <c r="F60" s="152">
        <v>166304</v>
      </c>
      <c r="G60" s="152">
        <v>1743491</v>
      </c>
      <c r="H60" s="152" t="s">
        <v>646</v>
      </c>
    </row>
    <row r="61" spans="1:44" x14ac:dyDescent="0.3">
      <c r="A61" s="153" t="s">
        <v>650</v>
      </c>
      <c r="B61" s="154">
        <v>15.019295104367902</v>
      </c>
      <c r="C61" s="154">
        <v>83.150547390877591</v>
      </c>
      <c r="D61" s="154">
        <v>74.224085369856397</v>
      </c>
      <c r="E61" s="154">
        <v>75.975163119770386</v>
      </c>
      <c r="F61" s="154">
        <v>9.5389641665913665</v>
      </c>
      <c r="G61" s="154">
        <v>53.454180880183443</v>
      </c>
      <c r="H61" s="154">
        <f>AVERAGE(B61:G61)</f>
        <v>51.893706005274517</v>
      </c>
    </row>
    <row r="62" spans="1:44" ht="25.8" customHeight="1" x14ac:dyDescent="0.3">
      <c r="A62" s="151" t="s">
        <v>120</v>
      </c>
      <c r="B62" s="152">
        <v>58298</v>
      </c>
      <c r="C62" s="152">
        <v>125474</v>
      </c>
      <c r="D62" s="152">
        <v>194666</v>
      </c>
      <c r="E62" s="152">
        <v>217536</v>
      </c>
      <c r="F62" s="152">
        <v>453425</v>
      </c>
      <c r="G62" s="152">
        <v>651651</v>
      </c>
      <c r="H62" s="152" t="s">
        <v>647</v>
      </c>
    </row>
    <row r="63" spans="1:44" x14ac:dyDescent="0.3">
      <c r="A63" s="153" t="s">
        <v>649</v>
      </c>
      <c r="B63" s="138">
        <v>6.8673137633699283E-2</v>
      </c>
      <c r="C63" s="138">
        <v>7.6306324824580718E-2</v>
      </c>
      <c r="D63" s="138">
        <v>0.10223061309694173</v>
      </c>
      <c r="E63" s="138">
        <v>4.948495258078759E-2</v>
      </c>
      <c r="F63" s="138">
        <v>7.1254306805636852E-2</v>
      </c>
      <c r="G63" s="138">
        <v>5.4737400736377138E-2</v>
      </c>
      <c r="H63" s="138">
        <f>AVERAGE(B63:G63)</f>
        <v>7.0447789279670547E-2</v>
      </c>
    </row>
    <row r="64" spans="1:44" ht="28.2" customHeight="1" x14ac:dyDescent="0.3">
      <c r="A64" s="151" t="s">
        <v>144</v>
      </c>
      <c r="B64" s="152">
        <v>73258</v>
      </c>
      <c r="C64" s="152">
        <v>87232</v>
      </c>
      <c r="D64" s="152">
        <v>236889</v>
      </c>
      <c r="E64" s="152">
        <v>292204</v>
      </c>
      <c r="F64" s="152">
        <v>565926</v>
      </c>
      <c r="G64" s="152">
        <v>638038</v>
      </c>
      <c r="H64" s="152" t="s">
        <v>648</v>
      </c>
    </row>
    <row r="65" spans="1:8" x14ac:dyDescent="0.3">
      <c r="A65" s="153" t="s">
        <v>651</v>
      </c>
      <c r="B65" s="154" t="s">
        <v>612</v>
      </c>
      <c r="C65" s="154" t="s">
        <v>612</v>
      </c>
      <c r="D65" s="154" t="s">
        <v>612</v>
      </c>
      <c r="E65" s="154">
        <v>134.67016344094711</v>
      </c>
      <c r="F65" s="154">
        <v>238.473347040888</v>
      </c>
      <c r="G65" s="154">
        <v>199.39558148515044</v>
      </c>
      <c r="H65" s="154">
        <f>AVERAGE(E65:F65)</f>
        <v>186.57175524091755</v>
      </c>
    </row>
    <row r="85" spans="1:46" x14ac:dyDescent="0.3">
      <c r="A85" t="s">
        <v>534</v>
      </c>
      <c r="B85">
        <f>'CAPEX, D&amp;A, Imob&amp;Intang'!AG1</f>
        <v>2024</v>
      </c>
      <c r="C85">
        <f>'CAPEX, D&amp;A, Imob&amp;Intang'!AH1</f>
        <v>2025</v>
      </c>
      <c r="D85">
        <f>'CAPEX, D&amp;A, Imob&amp;Intang'!AI1</f>
        <v>2026</v>
      </c>
      <c r="E85">
        <f>'CAPEX, D&amp;A, Imob&amp;Intang'!AJ1</f>
        <v>2027</v>
      </c>
      <c r="F85">
        <f>'CAPEX, D&amp;A, Imob&amp;Intang'!AK1</f>
        <v>2028</v>
      </c>
      <c r="G85">
        <f>'CAPEX, D&amp;A, Imob&amp;Intang'!AL1</f>
        <v>2029</v>
      </c>
      <c r="H85">
        <f>'CAPEX, D&amp;A, Imob&amp;Intang'!AM1</f>
        <v>2030</v>
      </c>
      <c r="I85">
        <f>'CAPEX, D&amp;A, Imob&amp;Intang'!AN1</f>
        <v>2031</v>
      </c>
      <c r="J85">
        <f>'CAPEX, D&amp;A, Imob&amp;Intang'!AO1</f>
        <v>2032</v>
      </c>
      <c r="K85">
        <f>'CAPEX, D&amp;A, Imob&amp;Intang'!AP1</f>
        <v>2033</v>
      </c>
      <c r="L85">
        <f>'CAPEX, D&amp;A, Imob&amp;Intang'!AQ1</f>
        <v>2034</v>
      </c>
      <c r="M85">
        <f>'CAPEX, D&amp;A, Imob&amp;Intang'!AR1</f>
        <v>2035</v>
      </c>
      <c r="N85">
        <f>'CAPEX, D&amp;A, Imob&amp;Intang'!AS1</f>
        <v>2036</v>
      </c>
      <c r="O85">
        <f>'CAPEX, D&amp;A, Imob&amp;Intang'!AT1</f>
        <v>2037</v>
      </c>
      <c r="P85">
        <f>'CAPEX, D&amp;A, Imob&amp;Intang'!AU1</f>
        <v>2038</v>
      </c>
      <c r="Q85">
        <f>'CAPEX, D&amp;A, Imob&amp;Intang'!AV1</f>
        <v>2039</v>
      </c>
      <c r="R85">
        <f>'CAPEX, D&amp;A, Imob&amp;Intang'!AW1</f>
        <v>2040</v>
      </c>
      <c r="S85">
        <f>'CAPEX, D&amp;A, Imob&amp;Intang'!AX1</f>
        <v>2041</v>
      </c>
      <c r="T85">
        <f>'CAPEX, D&amp;A, Imob&amp;Intang'!AY1</f>
        <v>2042</v>
      </c>
      <c r="U85">
        <f>'CAPEX, D&amp;A, Imob&amp;Intang'!AZ1</f>
        <v>2043</v>
      </c>
      <c r="V85">
        <f>'CAPEX, D&amp;A, Imob&amp;Intang'!BA1</f>
        <v>2044</v>
      </c>
      <c r="W85">
        <f>'CAPEX, D&amp;A, Imob&amp;Intang'!BB1</f>
        <v>2045</v>
      </c>
      <c r="X85">
        <f>'CAPEX, D&amp;A, Imob&amp;Intang'!BC1</f>
        <v>2046</v>
      </c>
      <c r="Y85">
        <f>'CAPEX, D&amp;A, Imob&amp;Intang'!BD1</f>
        <v>2047</v>
      </c>
      <c r="Z85">
        <f>'CAPEX, D&amp;A, Imob&amp;Intang'!BE1</f>
        <v>2048</v>
      </c>
      <c r="AA85">
        <f>'CAPEX, D&amp;A, Imob&amp;Intang'!BF1</f>
        <v>2049</v>
      </c>
      <c r="AB85">
        <f>'CAPEX, D&amp;A, Imob&amp;Intang'!BG1</f>
        <v>2050</v>
      </c>
      <c r="AC85">
        <f>'CAPEX, D&amp;A, Imob&amp;Intang'!BH1</f>
        <v>2051</v>
      </c>
      <c r="AD85">
        <f>'CAPEX, D&amp;A, Imob&amp;Intang'!BI1</f>
        <v>2052</v>
      </c>
      <c r="AE85">
        <f>'CAPEX, D&amp;A, Imob&amp;Intang'!BJ1</f>
        <v>2053</v>
      </c>
      <c r="AF85">
        <f>'CAPEX, D&amp;A, Imob&amp;Intang'!BK1</f>
        <v>2054</v>
      </c>
      <c r="AG85">
        <f>'CAPEX, D&amp;A, Imob&amp;Intang'!BL1</f>
        <v>2055</v>
      </c>
      <c r="AH85">
        <f>'CAPEX, D&amp;A, Imob&amp;Intang'!BM1</f>
        <v>2056</v>
      </c>
      <c r="AI85">
        <f>'CAPEX, D&amp;A, Imob&amp;Intang'!BN1</f>
        <v>2057</v>
      </c>
      <c r="AJ85">
        <f>'CAPEX, D&amp;A, Imob&amp;Intang'!BO1</f>
        <v>2058</v>
      </c>
      <c r="AK85">
        <f>'CAPEX, D&amp;A, Imob&amp;Intang'!BP1</f>
        <v>2059</v>
      </c>
      <c r="AL85">
        <f>'CAPEX, D&amp;A, Imob&amp;Intang'!BQ1</f>
        <v>2060</v>
      </c>
      <c r="AM85">
        <f>'CAPEX, D&amp;A, Imob&amp;Intang'!BR1</f>
        <v>2061</v>
      </c>
      <c r="AN85">
        <f>'CAPEX, D&amp;A, Imob&amp;Intang'!BS1</f>
        <v>2062</v>
      </c>
      <c r="AO85">
        <f>'CAPEX, D&amp;A, Imob&amp;Intang'!BT1</f>
        <v>2063</v>
      </c>
      <c r="AP85">
        <f>'CAPEX, D&amp;A, Imob&amp;Intang'!BU1</f>
        <v>2064</v>
      </c>
      <c r="AQ85">
        <f>'CAPEX, D&amp;A, Imob&amp;Intang'!BV1</f>
        <v>2065</v>
      </c>
      <c r="AR85">
        <f>'CAPEX, D&amp;A, Imob&amp;Intang'!BW1</f>
        <v>2066</v>
      </c>
      <c r="AS85">
        <f>'CAPEX, D&amp;A, Imob&amp;Intang'!BX1</f>
        <v>0</v>
      </c>
    </row>
    <row r="86" spans="1:46" x14ac:dyDescent="0.3">
      <c r="A86" t="s">
        <v>592</v>
      </c>
      <c r="B86" s="1">
        <v>-2019.9030495151999</v>
      </c>
      <c r="C86" s="1">
        <v>-1823.1108885152003</v>
      </c>
      <c r="D86" s="1">
        <v>-1472.7224632351999</v>
      </c>
      <c r="E86" s="1">
        <v>-1629.5186606791999</v>
      </c>
      <c r="F86" s="1">
        <v>-1320.2367267642082</v>
      </c>
      <c r="G86" s="1">
        <v>-1373.9583728337916</v>
      </c>
      <c r="H86" s="1">
        <v>-245.06946577319829</v>
      </c>
      <c r="I86" s="1">
        <v>-252.11032479641904</v>
      </c>
      <c r="J86" s="1">
        <v>-163.06907314931595</v>
      </c>
      <c r="K86" s="1">
        <v>-167.64955302708401</v>
      </c>
      <c r="L86" s="1">
        <v>-172.38043861353356</v>
      </c>
      <c r="M86" s="1">
        <v>-177.23986971585776</v>
      </c>
      <c r="N86" s="1">
        <v>-182.25886623452212</v>
      </c>
      <c r="O86" s="1">
        <v>-187.41423669097779</v>
      </c>
      <c r="P86" s="1">
        <v>-192.73889009762883</v>
      </c>
      <c r="Q86" s="1">
        <v>-198.20822261488263</v>
      </c>
      <c r="R86" s="1">
        <v>-203.85714741399869</v>
      </c>
      <c r="S86" s="1">
        <v>-209.65956228155329</v>
      </c>
      <c r="T86" s="1">
        <v>-215.65250660093554</v>
      </c>
      <c r="U86" s="1">
        <v>-221.80828853392418</v>
      </c>
      <c r="V86" s="1">
        <v>-68.710901486120648</v>
      </c>
      <c r="W86" s="1">
        <v>-70.457911488541257</v>
      </c>
      <c r="X86" s="1">
        <v>-72.275854296049715</v>
      </c>
      <c r="Y86" s="1">
        <v>-74.129257207617712</v>
      </c>
      <c r="Z86" s="1">
        <v>-76.057912732103475</v>
      </c>
      <c r="AA86" s="1">
        <v>-78.024187880985963</v>
      </c>
      <c r="AB86" s="1">
        <v>-10.173088515200186</v>
      </c>
      <c r="AC86" s="1">
        <v>-10.173088515200186</v>
      </c>
      <c r="AD86" s="1">
        <v>-10.173088515200186</v>
      </c>
      <c r="AE86" s="1">
        <v>0</v>
      </c>
      <c r="AF86" s="1">
        <v>0</v>
      </c>
      <c r="AG86" s="1">
        <v>0</v>
      </c>
      <c r="AH86" s="1">
        <v>0</v>
      </c>
      <c r="AI86" s="1">
        <v>0</v>
      </c>
      <c r="AJ86" s="1">
        <v>0</v>
      </c>
      <c r="AK86" s="1">
        <v>0</v>
      </c>
      <c r="AL86" s="1">
        <v>0</v>
      </c>
      <c r="AM86" s="1">
        <v>0</v>
      </c>
      <c r="AN86" s="1">
        <v>0</v>
      </c>
      <c r="AO86" s="1">
        <v>0</v>
      </c>
      <c r="AP86" s="1">
        <v>0</v>
      </c>
      <c r="AQ86" s="1">
        <v>0</v>
      </c>
      <c r="AR86" s="1">
        <v>0</v>
      </c>
      <c r="AS86" s="1">
        <v>0</v>
      </c>
    </row>
    <row r="87" spans="1:46" x14ac:dyDescent="0.3">
      <c r="A87" t="s">
        <v>593</v>
      </c>
      <c r="B87" s="1">
        <f ca="1">SUMIFS('Fluxo de Caixa dos Acionistas'!$77:$77,'Fluxo de Caixa dos Acionistas'!$1:$1,'Gráficos - Monografia'!B$85)/1000</f>
        <v>-2019.9030495151999</v>
      </c>
      <c r="C87" s="1">
        <f ca="1">SUMIFS('Fluxo de Caixa dos Acionistas'!$77:$77,'Fluxo de Caixa dos Acionistas'!$1:$1,'Gráficos - Monografia'!C$85)/1000</f>
        <v>-2014.3608885152003</v>
      </c>
      <c r="D87" s="1">
        <f ca="1">SUMIFS('Fluxo de Caixa dos Acionistas'!$77:$77,'Fluxo de Caixa dos Acionistas'!$1:$1,'Gráficos - Monografia'!D$85)/1000</f>
        <v>-1632.6527512352004</v>
      </c>
      <c r="E87" s="1">
        <f ca="1">SUMIFS('Fluxo de Caixa dos Acionistas'!$77:$77,'Fluxo de Caixa dos Acionistas'!$1:$1,'Gráficos - Monografia'!E$85)/1000</f>
        <v>-1629.5186606791999</v>
      </c>
      <c r="F87" s="1">
        <f ca="1">SUMIFS('Fluxo de Caixa dos Acionistas'!$77:$77,'Fluxo de Caixa dos Acionistas'!$1:$1,'Gráficos - Monografia'!F$85)/1000</f>
        <v>-1320.2367267642082</v>
      </c>
      <c r="G87" s="1">
        <f ca="1">SUMIFS('Fluxo de Caixa dos Acionistas'!$77:$77,'Fluxo de Caixa dos Acionistas'!$1:$1,'Gráficos - Monografia'!G$85)/1000</f>
        <v>-1373.9583728337916</v>
      </c>
      <c r="H87" s="1">
        <f ca="1">SUMIFS('Fluxo de Caixa dos Acionistas'!$77:$77,'Fluxo de Caixa dos Acionistas'!$1:$1,'Gráficos - Monografia'!H$85)/1000</f>
        <v>-245.06946577319829</v>
      </c>
      <c r="I87" s="1">
        <f ca="1">SUMIFS('Fluxo de Caixa dos Acionistas'!$77:$77,'Fluxo de Caixa dos Acionistas'!$1:$1,'Gráficos - Monografia'!I$85)/1000</f>
        <v>-252.11032479641904</v>
      </c>
      <c r="J87" s="1">
        <f ca="1">SUMIFS('Fluxo de Caixa dos Acionistas'!$77:$77,'Fluxo de Caixa dos Acionistas'!$1:$1,'Gráficos - Monografia'!J$85)/1000</f>
        <v>-259.37465514821037</v>
      </c>
      <c r="K87" s="1">
        <f ca="1">SUMIFS('Fluxo de Caixa dos Acionistas'!$77:$77,'Fluxo de Caixa dos Acionistas'!$1:$1,'Gráficos - Monografia'!K$85)/1000</f>
        <v>-266.84430248594526</v>
      </c>
      <c r="L87" s="1">
        <f ca="1">SUMIFS('Fluxo de Caixa dos Acionistas'!$77:$77,'Fluxo de Caixa dos Acionistas'!$1:$1,'Gráficos - Monografia'!L$85)/1000</f>
        <v>-274.55103055616064</v>
      </c>
      <c r="M87" s="1">
        <f ca="1">SUMIFS('Fluxo de Caixa dos Acionistas'!$77:$77,'Fluxo de Caixa dos Acionistas'!$1:$1,'Gráficos - Monografia'!M$85)/1000</f>
        <v>-282.47557941676365</v>
      </c>
      <c r="N87" s="1">
        <f ca="1">SUMIFS('Fluxo de Caixa dos Acionistas'!$77:$77,'Fluxo de Caixa dos Acionistas'!$1:$1,'Gráficos - Monografia'!N$85)/1000</f>
        <v>-290.65164722645522</v>
      </c>
      <c r="O87" s="1">
        <f ca="1">SUMIFS('Fluxo de Caixa dos Acionistas'!$77:$77,'Fluxo de Caixa dos Acionistas'!$1:$1,'Gráficos - Monografia'!O$85)/1000</f>
        <v>-187.41423669097779</v>
      </c>
      <c r="P87" s="1">
        <f ca="1">SUMIFS('Fluxo de Caixa dos Acionistas'!$77:$77,'Fluxo de Caixa dos Acionistas'!$1:$1,'Gráficos - Monografia'!P$85)/1000</f>
        <v>-192.73889009762883</v>
      </c>
      <c r="Q87" s="1">
        <f ca="1">SUMIFS('Fluxo de Caixa dos Acionistas'!$77:$77,'Fluxo de Caixa dos Acionistas'!$1:$1,'Gráficos - Monografia'!Q$85)/1000</f>
        <v>-198.20822261488263</v>
      </c>
      <c r="R87" s="1">
        <f ca="1">SUMIFS('Fluxo de Caixa dos Acionistas'!$77:$77,'Fluxo de Caixa dos Acionistas'!$1:$1,'Gráficos - Monografia'!R$85)/1000</f>
        <v>-203.85714741399869</v>
      </c>
      <c r="S87" s="1">
        <f ca="1">SUMIFS('Fluxo de Caixa dos Acionistas'!$77:$77,'Fluxo de Caixa dos Acionistas'!$1:$1,'Gráficos - Monografia'!S$85)/1000</f>
        <v>-209.65956228155329</v>
      </c>
      <c r="T87" s="1">
        <f ca="1">SUMIFS('Fluxo de Caixa dos Acionistas'!$77:$77,'Fluxo de Caixa dos Acionistas'!$1:$1,'Gráficos - Monografia'!T$85)/1000</f>
        <v>-215.65250660093554</v>
      </c>
      <c r="U87" s="1">
        <f ca="1">SUMIFS('Fluxo de Caixa dos Acionistas'!$77:$77,'Fluxo de Caixa dos Acionistas'!$1:$1,'Gráficos - Monografia'!U$85)/1000</f>
        <v>-221.80828853392418</v>
      </c>
      <c r="V87" s="1">
        <f ca="1">SUMIFS('Fluxo de Caixa dos Acionistas'!$77:$77,'Fluxo de Caixa dos Acionistas'!$1:$1,'Gráficos - Monografia'!V$85)/1000</f>
        <v>-228.16620316235682</v>
      </c>
      <c r="W87" s="1">
        <f ca="1">SUMIFS('Fluxo de Caixa dos Acionistas'!$77:$77,'Fluxo de Caixa dos Acionistas'!$1:$1,'Gráficos - Monografia'!W$85)/1000</f>
        <v>-234.69687221506459</v>
      </c>
      <c r="X87" s="1">
        <f ca="1">SUMIFS('Fluxo de Caixa dos Acionistas'!$77:$77,'Fluxo de Caixa dos Acionistas'!$1:$1,'Gráficos - Monografia'!X$85)/1000</f>
        <v>-241.44198384436865</v>
      </c>
      <c r="Y87" s="1">
        <f ca="1">SUMIFS('Fluxo de Caixa dos Acionistas'!$77:$77,'Fluxo de Caixa dos Acionistas'!$1:$1,'Gráficos - Monografia'!Y$85)/1000</f>
        <v>-248.37037064238629</v>
      </c>
      <c r="Z87" s="1">
        <f ca="1">SUMIFS('Fluxo de Caixa dos Acionistas'!$77:$77,'Fluxo de Caixa dos Acionistas'!$1:$1,'Gráficos - Monografia'!Z$85)/1000</f>
        <v>-255.52625956991508</v>
      </c>
      <c r="AA87" s="1">
        <f ca="1">SUMIFS('Fluxo de Caixa dos Acionistas'!$77:$77,'Fluxo de Caixa dos Acionistas'!$1:$1,'Gráficos - Monografia'!AA$85)/1000</f>
        <v>-262.87658512393187</v>
      </c>
      <c r="AB87" s="1">
        <f ca="1">SUMIFS('Fluxo de Caixa dos Acionistas'!$77:$77,'Fluxo de Caixa dos Acionistas'!$1:$1,'Gráficos - Monografia'!AB$85)/1000</f>
        <v>-10.173088515200186</v>
      </c>
      <c r="AC87" s="1">
        <f ca="1">SUMIFS('Fluxo de Caixa dos Acionistas'!$77:$77,'Fluxo de Caixa dos Acionistas'!$1:$1,'Gráficos - Monografia'!AC$85)/1000</f>
        <v>-10.173088515200186</v>
      </c>
      <c r="AD87" s="1">
        <f ca="1">SUMIFS('Fluxo de Caixa dos Acionistas'!$77:$77,'Fluxo de Caixa dos Acionistas'!$1:$1,'Gráficos - Monografia'!AD$85)/1000</f>
        <v>-10.173088515200186</v>
      </c>
      <c r="AE87" s="1">
        <f ca="1">SUMIFS('Fluxo de Caixa dos Acionistas'!$77:$77,'Fluxo de Caixa dos Acionistas'!$1:$1,'Gráficos - Monografia'!AE$85)/1000</f>
        <v>0</v>
      </c>
      <c r="AF87" s="1">
        <f ca="1">SUMIFS('Fluxo de Caixa dos Acionistas'!$77:$77,'Fluxo de Caixa dos Acionistas'!$1:$1,'Gráficos - Monografia'!AF$85)/1000</f>
        <v>0</v>
      </c>
      <c r="AG87" s="1">
        <f ca="1">SUMIFS('Fluxo de Caixa dos Acionistas'!$77:$77,'Fluxo de Caixa dos Acionistas'!$1:$1,'Gráficos - Monografia'!AG$85)/1000</f>
        <v>0</v>
      </c>
      <c r="AH87" s="1">
        <f ca="1">SUMIFS('Fluxo de Caixa dos Acionistas'!$77:$77,'Fluxo de Caixa dos Acionistas'!$1:$1,'Gráficos - Monografia'!AH$85)/1000</f>
        <v>0</v>
      </c>
      <c r="AI87" s="1">
        <f ca="1">SUMIFS('Fluxo de Caixa dos Acionistas'!$77:$77,'Fluxo de Caixa dos Acionistas'!$1:$1,'Gráficos - Monografia'!AI$85)/1000</f>
        <v>0</v>
      </c>
      <c r="AJ87" s="1">
        <f ca="1">SUMIFS('Fluxo de Caixa dos Acionistas'!$77:$77,'Fluxo de Caixa dos Acionistas'!$1:$1,'Gráficos - Monografia'!AJ$85)/1000</f>
        <v>0</v>
      </c>
      <c r="AK87" s="1">
        <f ca="1">SUMIFS('Fluxo de Caixa dos Acionistas'!$77:$77,'Fluxo de Caixa dos Acionistas'!$1:$1,'Gráficos - Monografia'!AK$85)/1000</f>
        <v>0</v>
      </c>
      <c r="AL87" s="1">
        <f ca="1">SUMIFS('Fluxo de Caixa dos Acionistas'!$77:$77,'Fluxo de Caixa dos Acionistas'!$1:$1,'Gráficos - Monografia'!AL$85)/1000</f>
        <v>0</v>
      </c>
      <c r="AM87" s="1">
        <f ca="1">SUMIFS('Fluxo de Caixa dos Acionistas'!$77:$77,'Fluxo de Caixa dos Acionistas'!$1:$1,'Gráficos - Monografia'!AM$85)/1000</f>
        <v>0</v>
      </c>
      <c r="AN87" s="1">
        <f ca="1">SUMIFS('Fluxo de Caixa dos Acionistas'!$77:$77,'Fluxo de Caixa dos Acionistas'!$1:$1,'Gráficos - Monografia'!AN$85)/1000</f>
        <v>0</v>
      </c>
      <c r="AO87" s="1">
        <f ca="1">SUMIFS('Fluxo de Caixa dos Acionistas'!$77:$77,'Fluxo de Caixa dos Acionistas'!$1:$1,'Gráficos - Monografia'!AO$85)/1000</f>
        <v>0</v>
      </c>
      <c r="AP87" s="1">
        <f ca="1">SUMIFS('Fluxo de Caixa dos Acionistas'!$77:$77,'Fluxo de Caixa dos Acionistas'!$1:$1,'Gráficos - Monografia'!AP$85)/1000</f>
        <v>0</v>
      </c>
      <c r="AQ87" s="1">
        <f ca="1">SUMIFS('Fluxo de Caixa dos Acionistas'!$77:$77,'Fluxo de Caixa dos Acionistas'!$1:$1,'Gráficos - Monografia'!AQ$85)/1000</f>
        <v>0</v>
      </c>
      <c r="AR87" s="1">
        <f ca="1">SUMIFS('Fluxo de Caixa dos Acionistas'!$77:$77,'Fluxo de Caixa dos Acionistas'!$1:$1,'Gráficos - Monografia'!AR$85)/1000</f>
        <v>0</v>
      </c>
      <c r="AS87" s="1">
        <f>SUMIFS('Fluxo de Caixa dos Acionistas'!$77:$77,'Fluxo de Caixa dos Acionistas'!$1:$1,'Gráficos - Monografia'!AS$85)/1000</f>
        <v>0</v>
      </c>
    </row>
    <row r="88" spans="1:46" x14ac:dyDescent="0.3">
      <c r="A88" t="s">
        <v>594</v>
      </c>
      <c r="B88" s="1">
        <v>-2019.9030495151999</v>
      </c>
      <c r="C88" s="1">
        <v>-2014.3608885152003</v>
      </c>
      <c r="D88" s="1">
        <v>-1632.6527512352004</v>
      </c>
      <c r="E88" s="1">
        <v>-1629.5186606791999</v>
      </c>
      <c r="F88" s="1">
        <v>-1320.2367267642082</v>
      </c>
      <c r="G88" s="1">
        <v>-1373.9583728337916</v>
      </c>
      <c r="H88" s="1">
        <v>-245.06946577319829</v>
      </c>
      <c r="I88" s="1">
        <v>-252.11032479641904</v>
      </c>
      <c r="J88" s="1">
        <v>-259.37465514821037</v>
      </c>
      <c r="K88" s="1">
        <v>-266.84430248594526</v>
      </c>
      <c r="L88" s="1">
        <v>-274.55103055616064</v>
      </c>
      <c r="M88" s="1">
        <v>-282.47557941676365</v>
      </c>
      <c r="N88" s="1">
        <v>-290.65164722645522</v>
      </c>
      <c r="O88" s="1">
        <v>-299.0588011126689</v>
      </c>
      <c r="P88" s="1">
        <v>-307.73279145197057</v>
      </c>
      <c r="Q88" s="1">
        <v>-316.65194100985474</v>
      </c>
      <c r="R88" s="1">
        <v>-325.85417736081996</v>
      </c>
      <c r="S88" s="1">
        <v>-335.31650312677914</v>
      </c>
      <c r="T88" s="1">
        <v>-345.07915567151815</v>
      </c>
      <c r="U88" s="1">
        <v>-355.11773707662428</v>
      </c>
      <c r="V88" s="1">
        <v>-365.47493516133795</v>
      </c>
      <c r="W88" s="1">
        <v>-376.1248661740151</v>
      </c>
      <c r="X88" s="1">
        <v>-241.44198384436865</v>
      </c>
      <c r="Y88" s="1">
        <v>-248.37037064238629</v>
      </c>
      <c r="Z88" s="1">
        <v>-255.52625956991508</v>
      </c>
      <c r="AA88" s="1">
        <v>-262.87658512393187</v>
      </c>
      <c r="AB88" s="1">
        <v>-80.070298526912865</v>
      </c>
      <c r="AC88" s="1">
        <v>-82.156319832362314</v>
      </c>
      <c r="AD88" s="1">
        <v>-10.173088515200186</v>
      </c>
      <c r="AE88" s="1">
        <v>-10.173088515200186</v>
      </c>
      <c r="AF88" s="1">
        <v>-10.173088515200186</v>
      </c>
      <c r="AG88" s="1">
        <v>0</v>
      </c>
      <c r="AH88" s="1">
        <v>0</v>
      </c>
      <c r="AI88" s="1">
        <v>0</v>
      </c>
      <c r="AJ88" s="1">
        <v>0</v>
      </c>
      <c r="AK88" s="1">
        <v>0</v>
      </c>
      <c r="AL88" s="1">
        <v>0</v>
      </c>
      <c r="AM88" s="1">
        <v>0</v>
      </c>
      <c r="AN88" s="1">
        <v>0</v>
      </c>
      <c r="AO88" s="1">
        <v>0</v>
      </c>
      <c r="AP88" s="1">
        <v>0</v>
      </c>
      <c r="AQ88" s="1">
        <v>0</v>
      </c>
      <c r="AR88" s="1">
        <v>0</v>
      </c>
      <c r="AS88" s="1">
        <v>0</v>
      </c>
    </row>
    <row r="90" spans="1:46" x14ac:dyDescent="0.3">
      <c r="B90">
        <v>2023</v>
      </c>
      <c r="C90">
        <v>2024</v>
      </c>
      <c r="D90">
        <v>2025</v>
      </c>
      <c r="E90">
        <v>2026</v>
      </c>
      <c r="F90">
        <v>2027</v>
      </c>
      <c r="G90">
        <v>2028</v>
      </c>
      <c r="H90">
        <v>2029</v>
      </c>
      <c r="I90">
        <v>2030</v>
      </c>
      <c r="J90">
        <v>2031</v>
      </c>
      <c r="K90">
        <v>2032</v>
      </c>
      <c r="L90">
        <v>2033</v>
      </c>
      <c r="M90">
        <v>2034</v>
      </c>
      <c r="N90">
        <v>2035</v>
      </c>
      <c r="O90">
        <v>2036</v>
      </c>
      <c r="P90">
        <v>2037</v>
      </c>
      <c r="Q90">
        <v>2038</v>
      </c>
      <c r="R90">
        <v>2039</v>
      </c>
      <c r="S90">
        <v>2040</v>
      </c>
      <c r="T90">
        <v>2041</v>
      </c>
      <c r="U90">
        <v>2042</v>
      </c>
      <c r="V90">
        <v>2043</v>
      </c>
      <c r="W90">
        <v>2044</v>
      </c>
      <c r="X90">
        <v>2045</v>
      </c>
      <c r="Y90">
        <v>2046</v>
      </c>
      <c r="Z90">
        <v>2047</v>
      </c>
      <c r="AA90">
        <v>2048</v>
      </c>
      <c r="AB90">
        <v>2049</v>
      </c>
      <c r="AC90">
        <v>2050</v>
      </c>
      <c r="AD90">
        <v>2051</v>
      </c>
      <c r="AE90">
        <v>2052</v>
      </c>
      <c r="AF90">
        <v>2053</v>
      </c>
      <c r="AG90">
        <v>2054</v>
      </c>
      <c r="AH90">
        <v>2055</v>
      </c>
      <c r="AI90">
        <v>2056</v>
      </c>
      <c r="AJ90">
        <v>2057</v>
      </c>
      <c r="AK90">
        <v>2058</v>
      </c>
      <c r="AL90">
        <v>2059</v>
      </c>
      <c r="AM90">
        <v>2060</v>
      </c>
      <c r="AN90">
        <v>2061</v>
      </c>
      <c r="AO90">
        <v>2062</v>
      </c>
      <c r="AP90">
        <v>2063</v>
      </c>
      <c r="AQ90">
        <v>2064</v>
      </c>
      <c r="AR90">
        <v>2065</v>
      </c>
      <c r="AS90">
        <v>2066</v>
      </c>
      <c r="AT90">
        <v>0</v>
      </c>
    </row>
    <row r="91" spans="1:46" x14ac:dyDescent="0.3">
      <c r="A91" t="s">
        <v>620</v>
      </c>
      <c r="B91" s="1">
        <v>-1842420.7095616721</v>
      </c>
      <c r="C91" s="1">
        <v>-2104569.5434000688</v>
      </c>
      <c r="D91" s="1">
        <v>-2380348.3347197152</v>
      </c>
      <c r="E91" s="1">
        <v>-2458840.4962339718</v>
      </c>
      <c r="F91" s="1">
        <v>-2669063.102854351</v>
      </c>
      <c r="G91" s="1">
        <v>-2627674.8826690055</v>
      </c>
      <c r="H91" s="1">
        <v>-2444007.5092297904</v>
      </c>
      <c r="I91" s="1">
        <v>-2127733.5621841429</v>
      </c>
      <c r="J91" s="1">
        <v>-1850807.6726985578</v>
      </c>
      <c r="K91" s="1">
        <v>-1595124.8733159804</v>
      </c>
      <c r="L91" s="1">
        <v>-1298259.2149458455</v>
      </c>
      <c r="M91" s="1">
        <v>-1136419.8465680336</v>
      </c>
      <c r="N91" s="1">
        <v>-992250.57186098257</v>
      </c>
      <c r="O91" s="1">
        <v>-893791.4084957249</v>
      </c>
      <c r="P91" s="1">
        <v>-798586.80811103003</v>
      </c>
      <c r="Q91" s="1">
        <v>-678900.11710136209</v>
      </c>
      <c r="R91" s="1">
        <v>-636433.03534169809</v>
      </c>
      <c r="S91" s="1">
        <v>-597658.90535721835</v>
      </c>
      <c r="T91" s="1">
        <v>-574833.30157269118</v>
      </c>
      <c r="U91" s="1">
        <v>-560543.82950822974</v>
      </c>
      <c r="V91" s="1">
        <v>-547701.17968330986</v>
      </c>
      <c r="W91" s="1">
        <v>-498333.87693036802</v>
      </c>
      <c r="X91" s="1">
        <v>-289548.33800652745</v>
      </c>
      <c r="Y91" s="1">
        <v>-281977.23410533462</v>
      </c>
      <c r="Z91" s="1">
        <v>-265840.70118214388</v>
      </c>
      <c r="AA91" s="1">
        <v>-267305.29595345125</v>
      </c>
      <c r="AB91" s="1">
        <v>-278357.21986304678</v>
      </c>
      <c r="AC91" s="1">
        <v>-229527.10775419281</v>
      </c>
      <c r="AD91" s="1">
        <v>-10173.088515200187</v>
      </c>
      <c r="AE91" s="1">
        <v>0</v>
      </c>
      <c r="AF91" s="1">
        <v>0</v>
      </c>
      <c r="AG91" s="1">
        <v>0</v>
      </c>
      <c r="AH91" s="1">
        <v>0</v>
      </c>
      <c r="AI91" s="1">
        <v>0</v>
      </c>
      <c r="AJ91" s="1">
        <v>0</v>
      </c>
      <c r="AK91" s="1">
        <v>0</v>
      </c>
      <c r="AL91" s="1">
        <v>0</v>
      </c>
      <c r="AM91" s="1">
        <v>0</v>
      </c>
      <c r="AN91" s="1">
        <v>0</v>
      </c>
      <c r="AO91" s="1">
        <v>0</v>
      </c>
      <c r="AP91" s="1">
        <v>0</v>
      </c>
      <c r="AQ91" s="1">
        <v>0</v>
      </c>
      <c r="AR91" s="1">
        <v>0</v>
      </c>
      <c r="AS91" s="1">
        <v>0</v>
      </c>
      <c r="AT91" s="1">
        <v>0</v>
      </c>
    </row>
    <row r="92" spans="1:46" x14ac:dyDescent="0.3">
      <c r="A92" t="s">
        <v>621</v>
      </c>
      <c r="B92" s="1">
        <f ca="1">'Fluxo de Caixa dos Acionistas'!AG$20+'Fluxo de Caixa dos Acionistas'!AG$37</f>
        <v>-1596953.1915402797</v>
      </c>
      <c r="C92" s="1">
        <f ca="1">'Fluxo de Caixa dos Acionistas'!AH$20+'Fluxo de Caixa dos Acionistas'!AH$37</f>
        <v>-1891224.984240544</v>
      </c>
      <c r="D92" s="1">
        <f ca="1">'Fluxo de Caixa dos Acionistas'!AI$20+'Fluxo de Caixa dos Acionistas'!AI$37</f>
        <v>-2219458.2125376491</v>
      </c>
      <c r="E92" s="1">
        <f ca="1">'Fluxo de Caixa dos Acionistas'!AJ$20+'Fluxo de Caixa dos Acionistas'!AJ$37</f>
        <v>-2392330.1476040916</v>
      </c>
      <c r="F92" s="1">
        <f ca="1">'Fluxo de Caixa dos Acionistas'!AK$20+'Fluxo de Caixa dos Acionistas'!AK$37</f>
        <v>-2655350.8833659366</v>
      </c>
      <c r="G92" s="1">
        <f ca="1">'Fluxo de Caixa dos Acionistas'!AL$20+'Fluxo de Caixa dos Acionistas'!AL$37</f>
        <v>-2587698.1410118365</v>
      </c>
      <c r="H92" s="1">
        <f ca="1">'Fluxo de Caixa dos Acionistas'!AM$20+'Fluxo de Caixa dos Acionistas'!AM$37</f>
        <v>-2369012.5761992</v>
      </c>
      <c r="I92" s="1">
        <f ca="1">'Fluxo de Caixa dos Acionistas'!AN$20+'Fluxo de Caixa dos Acionistas'!AN$37</f>
        <v>-2064726.7952979868</v>
      </c>
      <c r="J92" s="1">
        <f ca="1">'Fluxo de Caixa dos Acionistas'!AO$20+'Fluxo de Caixa dos Acionistas'!AO$37</f>
        <v>-1828137.3740146561</v>
      </c>
      <c r="K92" s="1">
        <f ca="1">'Fluxo de Caixa dos Acionistas'!AP$20+'Fluxo de Caixa dos Acionistas'!AP$37</f>
        <v>-1639355.053219323</v>
      </c>
      <c r="L92" s="1">
        <f ca="1">'Fluxo de Caixa dos Acionistas'!AQ$20+'Fluxo de Caixa dos Acionistas'!AQ$37</f>
        <v>-1457684.5995409428</v>
      </c>
      <c r="M92" s="1">
        <f ca="1">'Fluxo de Caixa dos Acionistas'!AR$20+'Fluxo de Caixa dos Acionistas'!AR$37</f>
        <v>-1283119.9727102192</v>
      </c>
      <c r="N92" s="1">
        <f ca="1">'Fluxo de Caixa dos Acionistas'!AS$20+'Fluxo de Caixa dos Acionistas'!AS$37</f>
        <v>-1140996.334725976</v>
      </c>
      <c r="O92" s="1">
        <f ca="1">'Fluxo de Caixa dos Acionistas'!AT$20+'Fluxo de Caixa dos Acionistas'!AT$37</f>
        <v>-1046619.3330039277</v>
      </c>
      <c r="P92" s="1">
        <f ca="1">'Fluxo de Caixa dos Acionistas'!AU$20+'Fluxo de Caixa dos Acionistas'!AU$37</f>
        <v>-932589.41753807059</v>
      </c>
      <c r="Q92" s="1">
        <f ca="1">'Fluxo de Caixa dos Acionistas'!AV$20+'Fluxo de Caixa dos Acionistas'!AV$37</f>
        <v>-761804.33286916395</v>
      </c>
      <c r="R92" s="1">
        <f ca="1">'Fluxo de Caixa dos Acionistas'!AW$20+'Fluxo de Caixa dos Acionistas'!AW$37</f>
        <v>-696697.33130685333</v>
      </c>
      <c r="S92" s="1">
        <f ca="1">'Fluxo de Caixa dos Acionistas'!AX$20+'Fluxo de Caixa dos Acionistas'!AX$37</f>
        <v>-643182.37575193064</v>
      </c>
      <c r="T92" s="1">
        <f ca="1">'Fluxo de Caixa dos Acionistas'!AY$20+'Fluxo de Caixa dos Acionistas'!AY$37</f>
        <v>-595396.294670515</v>
      </c>
      <c r="U92" s="1">
        <f ca="1">'Fluxo de Caixa dos Acionistas'!AZ$20+'Fluxo de Caixa dos Acionistas'!AZ$37</f>
        <v>-564354.75797985075</v>
      </c>
      <c r="V92" s="1">
        <f ca="1">'Fluxo de Caixa dos Acionistas'!BA$20+'Fluxo de Caixa dos Acionistas'!BA$37</f>
        <v>-528544.82289560908</v>
      </c>
      <c r="W92" s="1">
        <f ca="1">'Fluxo de Caixa dos Acionistas'!BB$20+'Fluxo de Caixa dos Acionistas'!BB$37</f>
        <v>-521838.92808162619</v>
      </c>
      <c r="X92" s="1">
        <f ca="1">'Fluxo de Caixa dos Acionistas'!BC$20+'Fluxo de Caixa dos Acionistas'!BC$37</f>
        <v>-528272.1710367637</v>
      </c>
      <c r="Y92" s="1">
        <f ca="1">'Fluxo de Caixa dos Acionistas'!BD$20+'Fluxo de Caixa dos Acionistas'!BD$37</f>
        <v>-547834.74978688557</v>
      </c>
      <c r="Z92" s="1">
        <f ca="1">'Fluxo de Caixa dos Acionistas'!BE$20+'Fluxo de Caixa dos Acionistas'!BE$37</f>
        <v>-553699.42097995011</v>
      </c>
      <c r="AA92" s="1">
        <f ca="1">'Fluxo de Caixa dos Acionistas'!BF$20+'Fluxo de Caixa dos Acionistas'!BF$37</f>
        <v>-603081.83312543749</v>
      </c>
      <c r="AB92" s="1">
        <f ca="1">'Fluxo de Caixa dos Acionistas'!BG$20+'Fluxo de Caixa dos Acionistas'!BG$37</f>
        <v>-717323.58145156072</v>
      </c>
      <c r="AC92" s="1">
        <f ca="1">'Fluxo de Caixa dos Acionistas'!BH$20+'Fluxo de Caixa dos Acionistas'!BH$37</f>
        <v>-453473.01428149233</v>
      </c>
      <c r="AD92" s="1">
        <f ca="1">'Fluxo de Caixa dos Acionistas'!BI$20+'Fluxo de Caixa dos Acionistas'!BI$37</f>
        <v>-10173.088515200187</v>
      </c>
      <c r="AE92" s="1">
        <f ca="1">'Fluxo de Caixa dos Acionistas'!BJ$20+'Fluxo de Caixa dos Acionistas'!BJ$37</f>
        <v>0</v>
      </c>
      <c r="AF92" s="1">
        <f ca="1">'Fluxo de Caixa dos Acionistas'!BK$20+'Fluxo de Caixa dos Acionistas'!BK$37</f>
        <v>0</v>
      </c>
      <c r="AG92" s="1">
        <f ca="1">'Fluxo de Caixa dos Acionistas'!BL$20+'Fluxo de Caixa dos Acionistas'!BL$37</f>
        <v>0</v>
      </c>
      <c r="AH92" s="1">
        <f ca="1">'Fluxo de Caixa dos Acionistas'!BM$20+'Fluxo de Caixa dos Acionistas'!BM$37</f>
        <v>0</v>
      </c>
      <c r="AI92" s="1">
        <f ca="1">'Fluxo de Caixa dos Acionistas'!BN$20+'Fluxo de Caixa dos Acionistas'!BN$37</f>
        <v>0</v>
      </c>
      <c r="AJ92" s="1">
        <f ca="1">'Fluxo de Caixa dos Acionistas'!BO$20+'Fluxo de Caixa dos Acionistas'!BO$37</f>
        <v>0</v>
      </c>
      <c r="AK92" s="1">
        <f ca="1">'Fluxo de Caixa dos Acionistas'!BP$20+'Fluxo de Caixa dos Acionistas'!BP$37</f>
        <v>0</v>
      </c>
      <c r="AL92" s="1">
        <f ca="1">'Fluxo de Caixa dos Acionistas'!BQ$20+'Fluxo de Caixa dos Acionistas'!BQ$37</f>
        <v>0</v>
      </c>
      <c r="AM92" s="1">
        <f ca="1">'Fluxo de Caixa dos Acionistas'!BR$20+'Fluxo de Caixa dos Acionistas'!BR$37</f>
        <v>0</v>
      </c>
      <c r="AN92" s="1">
        <f ca="1">'Fluxo de Caixa dos Acionistas'!BS$20+'Fluxo de Caixa dos Acionistas'!BS$37</f>
        <v>0</v>
      </c>
      <c r="AO92" s="1">
        <f ca="1">'Fluxo de Caixa dos Acionistas'!BT$20+'Fluxo de Caixa dos Acionistas'!BT$37</f>
        <v>0</v>
      </c>
      <c r="AP92" s="1">
        <f ca="1">'Fluxo de Caixa dos Acionistas'!BU$20+'Fluxo de Caixa dos Acionistas'!BU$37</f>
        <v>0</v>
      </c>
      <c r="AQ92" s="1">
        <f ca="1">'Fluxo de Caixa dos Acionistas'!BV$20+'Fluxo de Caixa dos Acionistas'!BV$37</f>
        <v>0</v>
      </c>
      <c r="AR92" s="1">
        <f ca="1">'Fluxo de Caixa dos Acionistas'!BW$20+'Fluxo de Caixa dos Acionistas'!BW$37</f>
        <v>0</v>
      </c>
      <c r="AS92" s="1">
        <f>'Fluxo de Caixa dos Acionistas'!BX$20+'Fluxo de Caixa dos Acionistas'!BX$37</f>
        <v>0</v>
      </c>
      <c r="AT92" s="1">
        <f>'Fluxo de Caixa dos Acionistas'!BY$20+'Fluxo de Caixa dos Acionistas'!BY$37</f>
        <v>0</v>
      </c>
    </row>
    <row r="93" spans="1:46" x14ac:dyDescent="0.3">
      <c r="A93" t="s">
        <v>622</v>
      </c>
      <c r="B93" s="1">
        <v>-1386137.0825187394</v>
      </c>
      <c r="C93" s="1">
        <v>-1690590.7879518578</v>
      </c>
      <c r="D93" s="1">
        <v>-2029822.1452059536</v>
      </c>
      <c r="E93" s="1">
        <v>-2134470.9246119875</v>
      </c>
      <c r="F93" s="1">
        <v>-2333339.8605895555</v>
      </c>
      <c r="G93" s="1">
        <v>-2335772.2001137715</v>
      </c>
      <c r="H93" s="1">
        <v>-2151560.5819430868</v>
      </c>
      <c r="I93" s="1">
        <v>-1903077.7148133372</v>
      </c>
      <c r="J93" s="1">
        <v>-1705130.1154233865</v>
      </c>
      <c r="K93" s="1">
        <v>-1546800.0499403151</v>
      </c>
      <c r="L93" s="1">
        <v>-1416453.4761603922</v>
      </c>
      <c r="M93" s="1">
        <v>-1304020.250382839</v>
      </c>
      <c r="N93" s="1">
        <v>-1203799.5190371526</v>
      </c>
      <c r="O93" s="1">
        <v>-1105424.0609607003</v>
      </c>
      <c r="P93" s="1">
        <v>-1023237.2310997628</v>
      </c>
      <c r="Q93" s="1">
        <v>-969495.26173299621</v>
      </c>
      <c r="R93" s="1">
        <v>-926344.69555485761</v>
      </c>
      <c r="S93" s="1">
        <v>-883150.68160809646</v>
      </c>
      <c r="T93" s="1">
        <v>-838946.87695764413</v>
      </c>
      <c r="U93" s="1">
        <v>-786807.16930115095</v>
      </c>
      <c r="V93" s="1">
        <v>-785557.15601232764</v>
      </c>
      <c r="W93" s="1">
        <v>-785394.86589342821</v>
      </c>
      <c r="X93" s="1">
        <v>-813969.07388378819</v>
      </c>
      <c r="Y93" s="1">
        <v>-820359.77060355642</v>
      </c>
      <c r="Z93" s="1">
        <v>-697801.61052893568</v>
      </c>
      <c r="AA93" s="1">
        <v>-745630.74661168887</v>
      </c>
      <c r="AB93" s="1">
        <v>-831641.6804522319</v>
      </c>
      <c r="AC93" s="1">
        <v>-583522.68415435834</v>
      </c>
      <c r="AD93" s="1">
        <v>-195354.32496632534</v>
      </c>
      <c r="AE93" s="1">
        <v>-183583.62864758776</v>
      </c>
      <c r="AF93" s="1">
        <v>-10173.088515200187</v>
      </c>
      <c r="AG93" s="1">
        <v>0</v>
      </c>
      <c r="AH93" s="1">
        <v>0</v>
      </c>
      <c r="AI93" s="1">
        <v>0</v>
      </c>
      <c r="AJ93" s="1">
        <v>0</v>
      </c>
      <c r="AK93" s="1">
        <v>0</v>
      </c>
      <c r="AL93" s="1">
        <v>0</v>
      </c>
      <c r="AM93" s="1">
        <v>0</v>
      </c>
      <c r="AN93" s="1">
        <v>0</v>
      </c>
      <c r="AO93" s="1">
        <v>0</v>
      </c>
      <c r="AP93" s="1">
        <v>0</v>
      </c>
      <c r="AQ93" s="1">
        <v>0</v>
      </c>
      <c r="AR93" s="1">
        <v>0</v>
      </c>
      <c r="AS93" s="1">
        <v>0</v>
      </c>
      <c r="AT93" s="1">
        <v>0</v>
      </c>
    </row>
    <row r="97" spans="1:36" x14ac:dyDescent="0.3">
      <c r="B97">
        <f>'CAPEX, Impostos e Abandono ($)'!V1</f>
        <v>2021</v>
      </c>
      <c r="C97">
        <f>'CAPEX, Impostos e Abandono ($)'!AA1</f>
        <v>2022</v>
      </c>
      <c r="D97">
        <f>'CAPEX, Impostos e Abandono ($)'!AF1</f>
        <v>2023</v>
      </c>
      <c r="E97">
        <f>'CAPEX, Impostos e Abandono ($)'!AG1</f>
        <v>2024</v>
      </c>
      <c r="F97">
        <f>'CAPEX, Impostos e Abandono ($)'!AH1</f>
        <v>2025</v>
      </c>
      <c r="G97">
        <f>'CAPEX, Impostos e Abandono ($)'!AI1</f>
        <v>2026</v>
      </c>
      <c r="H97">
        <f>'CAPEX, Impostos e Abandono ($)'!AJ1</f>
        <v>2027</v>
      </c>
      <c r="I97">
        <f>'CAPEX, Impostos e Abandono ($)'!AK1</f>
        <v>2028</v>
      </c>
      <c r="J97">
        <f>'CAPEX, Impostos e Abandono ($)'!AL1</f>
        <v>2029</v>
      </c>
      <c r="K97">
        <f>'CAPEX, Impostos e Abandono ($)'!AM1</f>
        <v>2030</v>
      </c>
      <c r="L97">
        <f>'CAPEX, Impostos e Abandono ($)'!AN1</f>
        <v>2031</v>
      </c>
      <c r="M97">
        <f>'CAPEX, Impostos e Abandono ($)'!AO1</f>
        <v>2032</v>
      </c>
      <c r="N97">
        <f>'CAPEX, Impostos e Abandono ($)'!AP1</f>
        <v>2033</v>
      </c>
      <c r="O97">
        <f>'CAPEX, Impostos e Abandono ($)'!AQ1</f>
        <v>2034</v>
      </c>
      <c r="P97">
        <f>'CAPEX, Impostos e Abandono ($)'!AR1</f>
        <v>2035</v>
      </c>
      <c r="Q97">
        <f>'CAPEX, Impostos e Abandono ($)'!AS1</f>
        <v>2036</v>
      </c>
      <c r="R97">
        <f>'CAPEX, Impostos e Abandono ($)'!AT1</f>
        <v>2037</v>
      </c>
      <c r="S97">
        <f>'CAPEX, Impostos e Abandono ($)'!AU1</f>
        <v>2038</v>
      </c>
      <c r="T97">
        <f>'CAPEX, Impostos e Abandono ($)'!AV1</f>
        <v>2039</v>
      </c>
      <c r="U97">
        <f>'CAPEX, Impostos e Abandono ($)'!AW1</f>
        <v>2040</v>
      </c>
      <c r="V97">
        <f>'CAPEX, Impostos e Abandono ($)'!AX1</f>
        <v>2041</v>
      </c>
      <c r="W97">
        <f>'CAPEX, Impostos e Abandono ($)'!AY1</f>
        <v>2042</v>
      </c>
      <c r="X97">
        <f>'CAPEX, Impostos e Abandono ($)'!AZ1</f>
        <v>2043</v>
      </c>
      <c r="Y97">
        <f>'CAPEX, Impostos e Abandono ($)'!BA1</f>
        <v>2044</v>
      </c>
      <c r="Z97">
        <f>'CAPEX, Impostos e Abandono ($)'!BB1</f>
        <v>2045</v>
      </c>
      <c r="AA97">
        <f>'CAPEX, Impostos e Abandono ($)'!BC1</f>
        <v>2046</v>
      </c>
      <c r="AB97">
        <f>'CAPEX, Impostos e Abandono ($)'!BD1</f>
        <v>2047</v>
      </c>
      <c r="AC97">
        <f>'CAPEX, Impostos e Abandono ($)'!BE1</f>
        <v>2048</v>
      </c>
      <c r="AD97">
        <f>'CAPEX, Impostos e Abandono ($)'!BF1</f>
        <v>2049</v>
      </c>
      <c r="AE97">
        <f>'CAPEX, Impostos e Abandono ($)'!BG1</f>
        <v>2050</v>
      </c>
      <c r="AF97">
        <f>'CAPEX, Impostos e Abandono ($)'!BH1</f>
        <v>2051</v>
      </c>
      <c r="AG97">
        <f>'CAPEX, Impostos e Abandono ($)'!BI1</f>
        <v>2052</v>
      </c>
      <c r="AH97">
        <f>'CAPEX, Impostos e Abandono ($)'!BJ1</f>
        <v>2053</v>
      </c>
      <c r="AI97">
        <f>'CAPEX, Impostos e Abandono ($)'!BK1</f>
        <v>2054</v>
      </c>
      <c r="AJ97">
        <f>'CAPEX, Impostos e Abandono ($)'!BL1</f>
        <v>2055</v>
      </c>
    </row>
    <row r="98" spans="1:36" x14ac:dyDescent="0.3">
      <c r="A98" t="s">
        <v>595</v>
      </c>
      <c r="B98" s="76">
        <v>-0.10254762989222277</v>
      </c>
      <c r="C98" s="76">
        <v>-9.5198759105202244E-2</v>
      </c>
      <c r="D98" s="76">
        <v>-9.2800422275836819E-2</v>
      </c>
      <c r="E98" s="76">
        <v>-9.7145811249954223E-2</v>
      </c>
      <c r="F98" s="76">
        <v>-9.544109916098506E-2</v>
      </c>
      <c r="G98" s="76">
        <v>-9.6514350886209244E-2</v>
      </c>
      <c r="H98" s="76">
        <v>-9.3968739993403438E-2</v>
      </c>
      <c r="I98" s="76">
        <v>-8.7396034755599289E-2</v>
      </c>
      <c r="J98" s="76">
        <v>-8.1978216241779076E-2</v>
      </c>
      <c r="K98" s="76">
        <v>-9.6772923705275682E-2</v>
      </c>
      <c r="L98" s="76">
        <v>-9.2678823530109741E-2</v>
      </c>
      <c r="M98" s="76">
        <v>-8.9275656752008326E-2</v>
      </c>
      <c r="N98" s="76">
        <v>-8.5753724612043197E-2</v>
      </c>
      <c r="O98" s="76">
        <v>-8.5846493523469541E-2</v>
      </c>
      <c r="P98" s="76">
        <v>-8.5821916438619056E-2</v>
      </c>
      <c r="Q98" s="76">
        <v>-8.5787961752289643E-2</v>
      </c>
      <c r="R98" s="76">
        <v>-8.6470793721278152E-2</v>
      </c>
      <c r="S98" s="76">
        <v>-8.6458695328341093E-2</v>
      </c>
      <c r="T98" s="76">
        <v>-8.6443163841620513E-2</v>
      </c>
      <c r="U98" s="76">
        <v>-8.6436800361186894E-2</v>
      </c>
      <c r="V98" s="76">
        <v>-8.6433944977818034E-2</v>
      </c>
      <c r="W98" s="76">
        <v>-8.6443333139628778E-2</v>
      </c>
      <c r="X98" s="76">
        <v>-8.6440885369292814E-2</v>
      </c>
      <c r="Y98" s="76">
        <v>-8.6447601048588688E-2</v>
      </c>
      <c r="Z98" s="76">
        <v>-8.6401077208235325E-2</v>
      </c>
      <c r="AA98" s="76">
        <v>-8.6415515317943878E-2</v>
      </c>
      <c r="AB98" s="76">
        <v>-8.634536044595148E-2</v>
      </c>
      <c r="AC98" s="76">
        <v>-8.6352798167282252E-2</v>
      </c>
      <c r="AD98" s="76">
        <v>-8.6424152578612773E-2</v>
      </c>
      <c r="AE98" s="76">
        <v>0</v>
      </c>
      <c r="AF98" s="76">
        <v>0</v>
      </c>
      <c r="AG98" s="76">
        <v>0</v>
      </c>
      <c r="AH98" s="76">
        <v>0</v>
      </c>
      <c r="AI98" s="76">
        <v>0</v>
      </c>
      <c r="AJ98" s="76">
        <v>0</v>
      </c>
    </row>
    <row r="99" spans="1:36" x14ac:dyDescent="0.3">
      <c r="A99" t="s">
        <v>596</v>
      </c>
      <c r="B99" s="76">
        <f ca="1">'CAPEX, Impostos e Abandono ($)'!AG$71</f>
        <v>-0.1048455144644876</v>
      </c>
      <c r="C99" s="76">
        <f ca="1">'CAPEX, Impostos e Abandono ($)'!AH$71</f>
        <v>-9.6299652398529265E-2</v>
      </c>
      <c r="D99" s="76">
        <f ca="1">'CAPEX, Impostos e Abandono ($)'!AI$71</f>
        <v>-0.1005583723519704</v>
      </c>
      <c r="E99" s="76">
        <f ca="1">'CAPEX, Impostos e Abandono ($)'!AJ$71</f>
        <v>-0.10847493160591691</v>
      </c>
      <c r="F99" s="76">
        <f ca="1">'CAPEX, Impostos e Abandono ($)'!AK$71</f>
        <v>-0.11129995854709392</v>
      </c>
      <c r="G99" s="76">
        <f ca="1">'CAPEX, Impostos e Abandono ($)'!AL$71</f>
        <v>-0.11643293981757732</v>
      </c>
      <c r="H99" s="76">
        <f ca="1">'CAPEX, Impostos e Abandono ($)'!AM$71</f>
        <v>-0.11105386530572317</v>
      </c>
      <c r="I99" s="76">
        <f ca="1">'CAPEX, Impostos e Abandono ($)'!AN$71</f>
        <v>-9.8691074842137516E-2</v>
      </c>
      <c r="J99" s="76">
        <f ca="1">'CAPEX, Impostos e Abandono ($)'!AO$71</f>
        <v>-9.1801269212573006E-2</v>
      </c>
      <c r="K99" s="76">
        <f ca="1">'CAPEX, Impostos e Abandono ($)'!AP$71</f>
        <v>-0.10213616313062882</v>
      </c>
      <c r="L99" s="76">
        <f ca="1">'CAPEX, Impostos e Abandono ($)'!AQ$71</f>
        <v>-9.7527399615283908E-2</v>
      </c>
      <c r="M99" s="76">
        <f ca="1">'CAPEX, Impostos e Abandono ($)'!AR$71</f>
        <v>-9.544843736507555E-2</v>
      </c>
      <c r="N99" s="76">
        <f ca="1">'CAPEX, Impostos e Abandono ($)'!AS$71</f>
        <v>-9.2060515241005308E-2</v>
      </c>
      <c r="O99" s="76">
        <f ca="1">'CAPEX, Impostos e Abandono ($)'!AT$71</f>
        <v>-8.8254751539578014E-2</v>
      </c>
      <c r="P99" s="76">
        <f ca="1">'CAPEX, Impostos e Abandono ($)'!AU$71</f>
        <v>-8.5642200906578619E-2</v>
      </c>
      <c r="Q99" s="76">
        <f ca="1">'CAPEX, Impostos e Abandono ($)'!AV$71</f>
        <v>-8.6126478523207803E-2</v>
      </c>
      <c r="R99" s="76">
        <f ca="1">'CAPEX, Impostos e Abandono ($)'!AW$71</f>
        <v>-8.6328376138738699E-2</v>
      </c>
      <c r="S99" s="76">
        <f ca="1">'CAPEX, Impostos e Abandono ($)'!AX$71</f>
        <v>-8.6325262476328851E-2</v>
      </c>
      <c r="T99" s="76">
        <f ca="1">'CAPEX, Impostos e Abandono ($)'!AY$71</f>
        <v>-8.6331495528463559E-2</v>
      </c>
      <c r="U99" s="76">
        <f ca="1">'CAPEX, Impostos e Abandono ($)'!AZ$71</f>
        <v>-8.6335553029435269E-2</v>
      </c>
      <c r="V99" s="76">
        <f ca="1">'CAPEX, Impostos e Abandono ($)'!BA$71</f>
        <v>-8.6347199803266272E-2</v>
      </c>
      <c r="W99" s="76">
        <f ca="1">'CAPEX, Impostos e Abandono ($)'!BB$71</f>
        <v>-8.6359618052122555E-2</v>
      </c>
      <c r="X99" s="76">
        <f ca="1">'CAPEX, Impostos e Abandono ($)'!BC$71</f>
        <v>-8.6370866040618027E-2</v>
      </c>
      <c r="Y99" s="76">
        <f ca="1">'CAPEX, Impostos e Abandono ($)'!BD$71</f>
        <v>-8.6375456137106524E-2</v>
      </c>
      <c r="Z99" s="76">
        <f ca="1">'CAPEX, Impostos e Abandono ($)'!BE$71</f>
        <v>-8.6399952723578685E-2</v>
      </c>
      <c r="AA99" s="76">
        <f ca="1">'CAPEX, Impostos e Abandono ($)'!BF$71</f>
        <v>-8.6411369064822108E-2</v>
      </c>
      <c r="AB99" s="76">
        <f ca="1">'CAPEX, Impostos e Abandono ($)'!BG$71</f>
        <v>-8.6416242864443313E-2</v>
      </c>
      <c r="AC99" s="76">
        <f ca="1">'CAPEX, Impostos e Abandono ($)'!BH$71</f>
        <v>-8.6411281369354789E-2</v>
      </c>
      <c r="AD99" s="76">
        <f ca="1">'CAPEX, Impostos e Abandono ($)'!BI$71</f>
        <v>-8.6506084238310313E-2</v>
      </c>
      <c r="AE99" s="76">
        <f ca="1">'CAPEX, Impostos e Abandono ($)'!BJ$71</f>
        <v>0</v>
      </c>
      <c r="AF99" s="76">
        <f ca="1">'CAPEX, Impostos e Abandono ($)'!BK$71</f>
        <v>0</v>
      </c>
      <c r="AG99" s="76">
        <f ca="1">'CAPEX, Impostos e Abandono ($)'!BL$71</f>
        <v>0</v>
      </c>
      <c r="AH99" s="76">
        <f ca="1">'CAPEX, Impostos e Abandono ($)'!BM$71</f>
        <v>0</v>
      </c>
      <c r="AI99" s="76">
        <f ca="1">'CAPEX, Impostos e Abandono ($)'!BN$71</f>
        <v>0</v>
      </c>
      <c r="AJ99" s="76">
        <f ca="1">'CAPEX, Impostos e Abandono ($)'!BO$71</f>
        <v>0</v>
      </c>
    </row>
    <row r="100" spans="1:36" x14ac:dyDescent="0.3">
      <c r="A100" t="s">
        <v>597</v>
      </c>
      <c r="B100" s="76">
        <v>-0.10732304512791434</v>
      </c>
      <c r="C100" s="76">
        <v>-9.7338226403491296E-2</v>
      </c>
      <c r="D100" s="76">
        <v>-0.10624176579231154</v>
      </c>
      <c r="E100" s="76">
        <v>-0.1196975311795562</v>
      </c>
      <c r="F100" s="76">
        <v>-0.12223840120325706</v>
      </c>
      <c r="G100" s="76">
        <v>-0.12852002013705549</v>
      </c>
      <c r="H100" s="76">
        <v>-0.12369326617565145</v>
      </c>
      <c r="I100" s="76">
        <v>-0.11037556490153574</v>
      </c>
      <c r="J100" s="76">
        <v>-9.9363861328438538E-2</v>
      </c>
      <c r="K100" s="76">
        <v>-0.10913042943247309</v>
      </c>
      <c r="L100" s="76">
        <v>-0.10112098359253292</v>
      </c>
      <c r="M100" s="76">
        <v>-9.935705343519971E-2</v>
      </c>
      <c r="N100" s="76">
        <v>-9.6182420347104391E-2</v>
      </c>
      <c r="O100" s="76">
        <v>-9.3053543923378543E-2</v>
      </c>
      <c r="P100" s="76">
        <v>-8.987134035024269E-2</v>
      </c>
      <c r="Q100" s="76">
        <v>-8.6897329242011198E-2</v>
      </c>
      <c r="R100" s="76">
        <v>-8.5557330682395127E-2</v>
      </c>
      <c r="S100" s="76">
        <v>-8.5604241486183619E-2</v>
      </c>
      <c r="T100" s="76">
        <v>-8.5658760713054172E-2</v>
      </c>
      <c r="U100" s="76">
        <v>-8.5670244915118141E-2</v>
      </c>
      <c r="V100" s="76">
        <v>-8.6125465214792002E-2</v>
      </c>
      <c r="W100" s="76">
        <v>-8.6161854378207808E-2</v>
      </c>
      <c r="X100" s="76">
        <v>-8.617173804252834E-2</v>
      </c>
      <c r="Y100" s="76">
        <v>-8.6170520452036312E-2</v>
      </c>
      <c r="Z100" s="76">
        <v>-8.6176132442930875E-2</v>
      </c>
      <c r="AA100" s="76">
        <v>-8.6432180672196615E-2</v>
      </c>
      <c r="AB100" s="76">
        <v>-8.6432883394493704E-2</v>
      </c>
      <c r="AC100" s="76">
        <v>-8.643230653986686E-2</v>
      </c>
      <c r="AD100" s="76">
        <v>-8.6504605243978488E-2</v>
      </c>
      <c r="AE100" s="76">
        <v>-8.7053082216799874E-2</v>
      </c>
      <c r="AF100" s="76">
        <v>-8.7037991286831873E-2</v>
      </c>
      <c r="AG100" s="76">
        <v>0</v>
      </c>
      <c r="AH100" s="76">
        <v>0</v>
      </c>
      <c r="AI100" s="76">
        <v>0</v>
      </c>
      <c r="AJ100" s="76">
        <v>0</v>
      </c>
    </row>
    <row r="104" spans="1:36" x14ac:dyDescent="0.3">
      <c r="A104" t="s">
        <v>611</v>
      </c>
    </row>
    <row r="106" spans="1:36" ht="9.6" customHeight="1" x14ac:dyDescent="0.3"/>
    <row r="107" spans="1:36" hidden="1" x14ac:dyDescent="0.3"/>
    <row r="108" spans="1:36" ht="42" customHeight="1" x14ac:dyDescent="0.3">
      <c r="A108" s="101" t="s">
        <v>1178</v>
      </c>
      <c r="B108" s="101" t="s">
        <v>627</v>
      </c>
      <c r="C108" s="101" t="s">
        <v>613</v>
      </c>
    </row>
    <row r="109" spans="1:36" x14ac:dyDescent="0.3">
      <c r="A109" s="121" t="s">
        <v>654</v>
      </c>
      <c r="B109" s="118">
        <v>5.04E-2</v>
      </c>
      <c r="C109" s="118">
        <v>5.04E-2</v>
      </c>
    </row>
    <row r="110" spans="1:36" x14ac:dyDescent="0.3">
      <c r="A110" s="122" t="s">
        <v>655</v>
      </c>
      <c r="B110" s="115">
        <v>4.6800000000000001E-2</v>
      </c>
      <c r="C110" s="115">
        <v>4.3212338156892516E-2</v>
      </c>
    </row>
    <row r="111" spans="1:36" x14ac:dyDescent="0.3">
      <c r="A111" s="121" t="s">
        <v>656</v>
      </c>
      <c r="B111" s="118">
        <v>4.4600000000000001E-2</v>
      </c>
      <c r="C111" s="118">
        <v>4.0213861127290196E-2</v>
      </c>
    </row>
    <row r="112" spans="1:36" x14ac:dyDescent="0.3">
      <c r="A112" s="122" t="s">
        <v>657</v>
      </c>
      <c r="B112" s="115" t="s">
        <v>612</v>
      </c>
      <c r="C112" s="115">
        <v>4.0355185985008202E-2</v>
      </c>
    </row>
    <row r="113" spans="1:7" x14ac:dyDescent="0.3">
      <c r="A113" s="121" t="s">
        <v>658</v>
      </c>
      <c r="B113" s="118">
        <v>4.2900000000000001E-2</v>
      </c>
      <c r="C113" s="118">
        <v>4.0355185985008202E-2</v>
      </c>
    </row>
    <row r="114" spans="1:7" x14ac:dyDescent="0.3">
      <c r="A114" s="122" t="s">
        <v>659</v>
      </c>
      <c r="B114" s="115" t="s">
        <v>612</v>
      </c>
      <c r="C114" s="115">
        <v>4.3250041952341833E-2</v>
      </c>
    </row>
    <row r="115" spans="1:7" x14ac:dyDescent="0.3">
      <c r="A115" s="121" t="s">
        <v>660</v>
      </c>
      <c r="B115" s="118">
        <v>4.2999999999999997E-2</v>
      </c>
      <c r="C115" s="118">
        <v>4.3250041952341833E-2</v>
      </c>
    </row>
    <row r="116" spans="1:7" x14ac:dyDescent="0.3">
      <c r="A116" s="122" t="s">
        <v>661</v>
      </c>
      <c r="B116" s="115" t="s">
        <v>612</v>
      </c>
      <c r="C116" s="115">
        <v>4.2666703950685614E-2</v>
      </c>
    </row>
    <row r="117" spans="1:7" x14ac:dyDescent="0.3">
      <c r="A117" s="121" t="s">
        <v>662</v>
      </c>
      <c r="B117" s="118">
        <v>4.2900000000000001E-2</v>
      </c>
      <c r="C117" s="118">
        <v>4.2666703950685614E-2</v>
      </c>
    </row>
    <row r="118" spans="1:7" x14ac:dyDescent="0.3">
      <c r="A118" s="122" t="s">
        <v>663</v>
      </c>
      <c r="B118" s="115" t="s">
        <v>612</v>
      </c>
      <c r="C118" s="115">
        <v>4.7905992904401451E-2</v>
      </c>
    </row>
    <row r="119" spans="1:7" x14ac:dyDescent="0.3">
      <c r="A119" s="121" t="s">
        <v>664</v>
      </c>
      <c r="B119" s="118">
        <v>4.5400000000000003E-2</v>
      </c>
      <c r="C119" s="118">
        <v>4.7905992904401451E-2</v>
      </c>
    </row>
    <row r="120" spans="1:7" x14ac:dyDescent="0.3">
      <c r="A120" s="122" t="s">
        <v>665</v>
      </c>
      <c r="B120" s="115" t="s">
        <v>612</v>
      </c>
      <c r="C120" s="115">
        <v>4.2402868799912063E-2</v>
      </c>
    </row>
    <row r="121" spans="1:7" x14ac:dyDescent="0.3">
      <c r="A121" s="121" t="s">
        <v>666</v>
      </c>
      <c r="B121" s="118">
        <v>4.4400000000000002E-2</v>
      </c>
      <c r="C121" s="118">
        <v>4.2402868799912063E-2</v>
      </c>
    </row>
    <row r="125" spans="1:7" ht="20.399999999999999" customHeight="1" x14ac:dyDescent="0.3">
      <c r="A125" s="112" t="s">
        <v>614</v>
      </c>
      <c r="B125" s="101">
        <v>2024</v>
      </c>
      <c r="C125" s="101">
        <v>2025</v>
      </c>
      <c r="D125" s="101">
        <v>2026</v>
      </c>
      <c r="E125" s="101">
        <v>2027</v>
      </c>
      <c r="F125" s="101">
        <v>2028</v>
      </c>
      <c r="G125" s="101" t="str">
        <f>"2029-2065"</f>
        <v>2029-2065</v>
      </c>
    </row>
    <row r="126" spans="1:7" x14ac:dyDescent="0.3">
      <c r="A126" s="120" t="s">
        <v>6</v>
      </c>
      <c r="B126" s="137">
        <f>SUMIFS('Drivers Macroeconômico'!$I:$I,'Drivers Macroeconômico'!$H:$H,'Gráficos - Monografia'!B$125)</f>
        <v>3.7718000000000002E-2</v>
      </c>
      <c r="C126" s="137">
        <f>SUMIFS('Drivers Macroeconômico'!$I:$I,'Drivers Macroeconômico'!$H:$H,'Gráficos - Monografia'!C$125)</f>
        <v>3.5049999999999998E-2</v>
      </c>
      <c r="D126" s="137">
        <f>SUMIFS('Drivers Macroeconômico'!$I:$I,'Drivers Macroeconômico'!$H:$H,'Gráficos - Monografia'!D$125)</f>
        <v>3.5000000000000003E-2</v>
      </c>
      <c r="E126" s="137">
        <f>SUMIFS('Drivers Macroeconômico'!$I:$I,'Drivers Macroeconômico'!$H:$H,'Gráficos - Monografia'!E$125)</f>
        <v>3.5000000000000003E-2</v>
      </c>
      <c r="F126" s="137">
        <f>SUMIFS('Drivers Macroeconômico'!$I:$I,'Drivers Macroeconômico'!$H:$H,'Gráficos - Monografia'!F$125)</f>
        <v>3.5000000000000003E-2</v>
      </c>
      <c r="G126" s="137">
        <v>0.03</v>
      </c>
    </row>
    <row r="127" spans="1:7" x14ac:dyDescent="0.3">
      <c r="A127" s="123" t="s">
        <v>615</v>
      </c>
      <c r="B127" s="138">
        <f>SUMIFS('Drivers Macroeconômico'!$J:$J,'Drivers Macroeconômico'!$H:$H,'Gráficos - Monografia'!B$125)</f>
        <v>2.7E-2</v>
      </c>
      <c r="C127" s="138">
        <f>SUMIFS('Drivers Macroeconômico'!$J:$J,'Drivers Macroeconômico'!$H:$H,'Gráficos - Monografia'!C$125)</f>
        <v>0.02</v>
      </c>
      <c r="D127" s="138">
        <f>SUMIFS('Drivers Macroeconômico'!$J:$J,'Drivers Macroeconômico'!$H:$H,'Gráficos - Monografia'!D$125)</f>
        <v>0.02</v>
      </c>
      <c r="E127" s="138">
        <f>SUMIFS('Drivers Macroeconômico'!$J:$J,'Drivers Macroeconômico'!$H:$H,'Gráficos - Monografia'!E$125)</f>
        <v>0.02</v>
      </c>
      <c r="F127" s="138">
        <f>SUMIFS('Drivers Macroeconômico'!$J:$J,'Drivers Macroeconômico'!$H:$H,'Gráficos - Monografia'!F$125)</f>
        <v>0.02</v>
      </c>
      <c r="G127" s="138">
        <f>F127</f>
        <v>0.02</v>
      </c>
    </row>
    <row r="128" spans="1:7" ht="42.6" customHeight="1" x14ac:dyDescent="0.3">
      <c r="A128" s="136" t="s">
        <v>616</v>
      </c>
      <c r="B128" s="139">
        <f>SUMIFS('Drivers Macroeconômico'!$K:$K,'Drivers Macroeconômico'!$H:$H,'Gráficos - Monografia'!B$125)</f>
        <v>4.9326999999999996</v>
      </c>
      <c r="C128" s="139">
        <f>SUMIFS('Drivers Macroeconômico'!$K:$K,'Drivers Macroeconômico'!$H:$H,'Gráficos - Monografia'!C$125)</f>
        <v>5</v>
      </c>
      <c r="D128" s="139">
        <f>SUMIFS('Drivers Macroeconômico'!$K:$K,'Drivers Macroeconômico'!$H:$H,'Gráficos - Monografia'!D$125)</f>
        <v>5.04</v>
      </c>
      <c r="E128" s="139">
        <f>SUMIFS('Drivers Macroeconômico'!$K:$K,'Drivers Macroeconômico'!$H:$H,'Gráficos - Monografia'!E$125)</f>
        <v>5.0999999999999996</v>
      </c>
      <c r="F128" s="139">
        <f>SUMIFS('Drivers Macroeconômico'!$K:$K,'Drivers Macroeconômico'!$H:$H,'Gráficos - Monografia'!F$125)</f>
        <v>5.0999999999999996</v>
      </c>
      <c r="G128" s="140" t="s">
        <v>619</v>
      </c>
    </row>
    <row r="129" spans="1:44" x14ac:dyDescent="0.3">
      <c r="A129" s="123" t="s">
        <v>628</v>
      </c>
      <c r="B129" s="138">
        <f>SUMIFS('Drivers Macroeconômico'!$L:$L,'Drivers Macroeconômico'!$H:$H,'Gráficos - Monografia'!B$125)</f>
        <v>0.09</v>
      </c>
      <c r="C129" s="138">
        <f>SUMIFS('Drivers Macroeconômico'!$L:$L,'Drivers Macroeconômico'!$H:$H,'Gráficos - Monografia'!C$125)</f>
        <v>8.5000000000000006E-2</v>
      </c>
      <c r="D129" s="138">
        <f>SUMIFS('Drivers Macroeconômico'!$L:$L,'Drivers Macroeconômico'!$H:$H,'Gráficos - Monografia'!D$125)</f>
        <v>8.5000000000000006E-2</v>
      </c>
      <c r="E129" s="138">
        <f>SUMIFS('Drivers Macroeconômico'!$L:$L,'Drivers Macroeconômico'!$H:$H,'Gráficos - Monografia'!E$125)</f>
        <v>8.5000000000000006E-2</v>
      </c>
      <c r="F129" s="138">
        <f>SUMIFS('Drivers Macroeconômico'!$L:$L,'Drivers Macroeconômico'!$H:$H,'Gráficos - Monografia'!F$125)</f>
        <v>8.5000000000000006E-2</v>
      </c>
      <c r="G129" s="138">
        <f>F129</f>
        <v>8.5000000000000006E-2</v>
      </c>
    </row>
    <row r="135" spans="1:44" x14ac:dyDescent="0.3">
      <c r="B135">
        <v>2024</v>
      </c>
      <c r="C135">
        <v>2025</v>
      </c>
      <c r="D135">
        <v>2026</v>
      </c>
      <c r="E135">
        <v>2027</v>
      </c>
      <c r="F135">
        <v>2028</v>
      </c>
      <c r="G135">
        <v>2029</v>
      </c>
      <c r="H135">
        <v>2030</v>
      </c>
      <c r="I135">
        <v>2031</v>
      </c>
      <c r="J135">
        <v>2032</v>
      </c>
      <c r="K135">
        <v>2033</v>
      </c>
      <c r="L135">
        <v>2034</v>
      </c>
      <c r="M135">
        <v>2035</v>
      </c>
      <c r="N135">
        <v>2036</v>
      </c>
      <c r="O135">
        <v>2037</v>
      </c>
      <c r="P135">
        <v>2038</v>
      </c>
      <c r="Q135">
        <v>2039</v>
      </c>
      <c r="R135">
        <v>2040</v>
      </c>
      <c r="S135">
        <v>2041</v>
      </c>
      <c r="T135">
        <v>2042</v>
      </c>
      <c r="U135">
        <v>2043</v>
      </c>
      <c r="V135">
        <v>2044</v>
      </c>
      <c r="W135">
        <v>2045</v>
      </c>
      <c r="X135">
        <v>2046</v>
      </c>
      <c r="Y135">
        <v>2047</v>
      </c>
      <c r="Z135">
        <v>2048</v>
      </c>
      <c r="AA135">
        <v>2049</v>
      </c>
      <c r="AB135">
        <v>2050</v>
      </c>
      <c r="AC135">
        <v>2051</v>
      </c>
      <c r="AD135">
        <v>2052</v>
      </c>
      <c r="AE135">
        <v>2053</v>
      </c>
      <c r="AF135">
        <v>2054</v>
      </c>
      <c r="AG135">
        <v>2055</v>
      </c>
      <c r="AH135">
        <v>2056</v>
      </c>
      <c r="AI135">
        <v>2057</v>
      </c>
      <c r="AJ135">
        <v>2058</v>
      </c>
      <c r="AK135">
        <v>2059</v>
      </c>
      <c r="AL135">
        <v>2060</v>
      </c>
      <c r="AM135">
        <v>2061</v>
      </c>
      <c r="AN135">
        <v>2062</v>
      </c>
      <c r="AO135">
        <v>2063</v>
      </c>
      <c r="AP135">
        <v>2064</v>
      </c>
      <c r="AQ135">
        <v>2065</v>
      </c>
      <c r="AR135">
        <v>2066</v>
      </c>
    </row>
    <row r="136" spans="1:44" x14ac:dyDescent="0.3">
      <c r="A136" t="s">
        <v>623</v>
      </c>
      <c r="B136" s="1">
        <f ca="1">SUMIFS('Fluxo de Caixa dos Acionistas'!$16:$16,'Fluxo de Caixa dos Acionistas'!$1:$1,B135)/1000</f>
        <v>16390.386780871981</v>
      </c>
      <c r="C136" s="1">
        <f ca="1">SUMIFS('Fluxo de Caixa dos Acionistas'!$16:$16,'Fluxo de Caixa dos Acionistas'!$1:$1,C135)/1000</f>
        <v>20323.351780034314</v>
      </c>
      <c r="D136" s="1">
        <f ca="1">SUMIFS('Fluxo de Caixa dos Acionistas'!$16:$16,'Fluxo de Caixa dos Acionistas'!$1:$1,D135)/1000</f>
        <v>20721.904899899655</v>
      </c>
      <c r="E136" s="1">
        <f ca="1">SUMIFS('Fluxo de Caixa dos Acionistas'!$16:$16,'Fluxo de Caixa dos Acionistas'!$1:$1,E135)/1000</f>
        <v>21323.319094521969</v>
      </c>
      <c r="F136" s="1">
        <f ca="1">SUMIFS('Fluxo de Caixa dos Acionistas'!$16:$16,'Fluxo de Caixa dos Acionistas'!$1:$1,F135)/1000</f>
        <v>20553.244297288333</v>
      </c>
      <c r="G136" s="1">
        <f ca="1">SUMIFS('Fluxo de Caixa dos Acionistas'!$16:$16,'Fluxo de Caixa dos Acionistas'!$1:$1,G135)/1000</f>
        <v>20781.192835271839</v>
      </c>
      <c r="H136" s="1">
        <f ca="1">SUMIFS('Fluxo de Caixa dos Acionistas'!$16:$16,'Fluxo de Caixa dos Acionistas'!$1:$1,H135)/1000</f>
        <v>18961.693826721908</v>
      </c>
      <c r="I136" s="1">
        <f ca="1">SUMIFS('Fluxo de Caixa dos Acionistas'!$16:$16,'Fluxo de Caixa dos Acionistas'!$1:$1,I135)/1000</f>
        <v>16224.666620542246</v>
      </c>
      <c r="J136" s="1">
        <f ca="1">SUMIFS('Fluxo de Caixa dos Acionistas'!$16:$16,'Fluxo de Caixa dos Acionistas'!$1:$1,J135)/1000</f>
        <v>14451.927383099908</v>
      </c>
      <c r="K136" s="1">
        <f ca="1">SUMIFS('Fluxo de Caixa dos Acionistas'!$16:$16,'Fluxo de Caixa dos Acionistas'!$1:$1,K135)/1000</f>
        <v>13007.420420359002</v>
      </c>
      <c r="L136" s="1">
        <f ca="1">SUMIFS('Fluxo de Caixa dos Acionistas'!$16:$16,'Fluxo de Caixa dos Acionistas'!$1:$1,L135)/1000</f>
        <v>11798.203427187698</v>
      </c>
      <c r="M136" s="1">
        <f ca="1">SUMIFS('Fluxo de Caixa dos Acionistas'!$16:$16,'Fluxo de Caixa dos Acionistas'!$1:$1,M135)/1000</f>
        <v>10570.288890776379</v>
      </c>
      <c r="N136" s="1">
        <f ca="1">SUMIFS('Fluxo de Caixa dos Acionistas'!$16:$16,'Fluxo de Caixa dos Acionistas'!$1:$1,N135)/1000</f>
        <v>9331.6657179269641</v>
      </c>
      <c r="O136" s="1">
        <f ca="1">SUMIFS('Fluxo de Caixa dos Acionistas'!$16:$16,'Fluxo de Caixa dos Acionistas'!$1:$1,O135)/1000</f>
        <v>8275.1517275991773</v>
      </c>
      <c r="P136" s="1">
        <f ca="1">SUMIFS('Fluxo de Caixa dos Acionistas'!$16:$16,'Fluxo de Caixa dos Acionistas'!$1:$1,P135)/1000</f>
        <v>7515.5600073167261</v>
      </c>
      <c r="Q136" s="1">
        <f ca="1">SUMIFS('Fluxo de Caixa dos Acionistas'!$16:$16,'Fluxo de Caixa dos Acionistas'!$1:$1,Q135)/1000</f>
        <v>6860.5560599817354</v>
      </c>
      <c r="R136" s="1">
        <f ca="1">SUMIFS('Fluxo de Caixa dos Acionistas'!$16:$16,'Fluxo de Caixa dos Acionistas'!$1:$1,R135)/1000</f>
        <v>5568.6999780870374</v>
      </c>
      <c r="S136" s="1">
        <f ca="1">SUMIFS('Fluxo de Caixa dos Acionistas'!$16:$16,'Fluxo de Caixa dos Acionistas'!$1:$1,S135)/1000</f>
        <v>5025.6528041598413</v>
      </c>
      <c r="T136" s="1">
        <f ca="1">SUMIFS('Fluxo de Caixa dos Acionistas'!$16:$16,'Fluxo de Caixa dos Acionistas'!$1:$1,T135)/1000</f>
        <v>4549.1959123823272</v>
      </c>
      <c r="U136" s="1">
        <f ca="1">SUMIFS('Fluxo de Caixa dos Acionistas'!$16:$16,'Fluxo de Caixa dos Acionistas'!$1:$1,U135)/1000</f>
        <v>4098.5154558692993</v>
      </c>
      <c r="V136" s="1">
        <f ca="1">SUMIFS('Fluxo de Caixa dos Acionistas'!$16:$16,'Fluxo de Caixa dos Acionistas'!$1:$1,V135)/1000</f>
        <v>3749.8191320893975</v>
      </c>
      <c r="W136" s="1">
        <f ca="1">SUMIFS('Fluxo de Caixa dos Acionistas'!$16:$16,'Fluxo de Caixa dos Acionistas'!$1:$1,W135)/1000</f>
        <v>3355.8032444751461</v>
      </c>
      <c r="X136" s="1">
        <f ca="1">SUMIFS('Fluxo de Caixa dos Acionistas'!$16:$16,'Fluxo de Caixa dos Acionistas'!$1:$1,X135)/1000</f>
        <v>3132.2871289879899</v>
      </c>
      <c r="Y136" s="1">
        <f ca="1">SUMIFS('Fluxo de Caixa dos Acionistas'!$16:$16,'Fluxo de Caixa dos Acionistas'!$1:$1,Y135)/1000</f>
        <v>2957.7798214273544</v>
      </c>
      <c r="Z136" s="1">
        <f ca="1">SUMIFS('Fluxo de Caixa dos Acionistas'!$16:$16,'Fluxo de Caixa dos Acionistas'!$1:$1,Z135)/1000</f>
        <v>2810.6305580406165</v>
      </c>
      <c r="AA136" s="1">
        <f ca="1">SUMIFS('Fluxo de Caixa dos Acionistas'!$16:$16,'Fluxo de Caixa dos Acionistas'!$1:$1,AA135)/1000</f>
        <v>2536.8832537542439</v>
      </c>
      <c r="AB136" s="1">
        <f ca="1">SUMIFS('Fluxo de Caixa dos Acionistas'!$16:$16,'Fluxo de Caixa dos Acionistas'!$1:$1,AB135)/1000</f>
        <v>2382.4964886306102</v>
      </c>
      <c r="AC136" s="1">
        <f ca="1">SUMIFS('Fluxo de Caixa dos Acionistas'!$16:$16,'Fluxo de Caixa dos Acionistas'!$1:$1,AC135)/1000</f>
        <v>2285.0377475453388</v>
      </c>
      <c r="AD136" s="1">
        <f ca="1">SUMIFS('Fluxo de Caixa dos Acionistas'!$16:$16,'Fluxo de Caixa dos Acionistas'!$1:$1,AD135)/1000</f>
        <v>1476.5591882033877</v>
      </c>
      <c r="AE136" s="1">
        <f ca="1">SUMIFS('Fluxo de Caixa dos Acionistas'!$16:$16,'Fluxo de Caixa dos Acionistas'!$1:$1,AE135)/1000</f>
        <v>0</v>
      </c>
      <c r="AF136" s="1">
        <f ca="1">SUMIFS('Fluxo de Caixa dos Acionistas'!$16:$16,'Fluxo de Caixa dos Acionistas'!$1:$1,AF135)/1000</f>
        <v>0</v>
      </c>
      <c r="AG136" s="1">
        <f ca="1">SUMIFS('Fluxo de Caixa dos Acionistas'!$16:$16,'Fluxo de Caixa dos Acionistas'!$1:$1,AG135)/1000</f>
        <v>0</v>
      </c>
      <c r="AH136" s="1">
        <f ca="1">SUMIFS('Fluxo de Caixa dos Acionistas'!$16:$16,'Fluxo de Caixa dos Acionistas'!$1:$1,AH135)/1000</f>
        <v>0</v>
      </c>
      <c r="AI136" s="1">
        <f ca="1">SUMIFS('Fluxo de Caixa dos Acionistas'!$16:$16,'Fluxo de Caixa dos Acionistas'!$1:$1,AI135)/1000</f>
        <v>0</v>
      </c>
      <c r="AJ136" s="1">
        <f ca="1">SUMIFS('Fluxo de Caixa dos Acionistas'!$16:$16,'Fluxo de Caixa dos Acionistas'!$1:$1,AJ135)/1000</f>
        <v>0</v>
      </c>
      <c r="AK136" s="1">
        <f ca="1">SUMIFS('Fluxo de Caixa dos Acionistas'!$16:$16,'Fluxo de Caixa dos Acionistas'!$1:$1,AK135)/1000</f>
        <v>0</v>
      </c>
      <c r="AL136" s="1">
        <f ca="1">SUMIFS('Fluxo de Caixa dos Acionistas'!$16:$16,'Fluxo de Caixa dos Acionistas'!$1:$1,AL135)/1000</f>
        <v>0</v>
      </c>
      <c r="AM136" s="1">
        <f ca="1">SUMIFS('Fluxo de Caixa dos Acionistas'!$16:$16,'Fluxo de Caixa dos Acionistas'!$1:$1,AM135)/1000</f>
        <v>0</v>
      </c>
      <c r="AN136" s="1">
        <f ca="1">SUMIFS('Fluxo de Caixa dos Acionistas'!$16:$16,'Fluxo de Caixa dos Acionistas'!$1:$1,AN135)/1000</f>
        <v>0</v>
      </c>
      <c r="AO136" s="1">
        <f ca="1">SUMIFS('Fluxo de Caixa dos Acionistas'!$16:$16,'Fluxo de Caixa dos Acionistas'!$1:$1,AO135)/1000</f>
        <v>0</v>
      </c>
      <c r="AP136" s="1">
        <f ca="1">SUMIFS('Fluxo de Caixa dos Acionistas'!$16:$16,'Fluxo de Caixa dos Acionistas'!$1:$1,AP135)/1000</f>
        <v>0</v>
      </c>
      <c r="AQ136" s="1">
        <f ca="1">SUMIFS('Fluxo de Caixa dos Acionistas'!$16:$16,'Fluxo de Caixa dos Acionistas'!$1:$1,AQ135)/1000</f>
        <v>0</v>
      </c>
    </row>
    <row r="137" spans="1:44" x14ac:dyDescent="0.3">
      <c r="A137" t="s">
        <v>624</v>
      </c>
      <c r="B137" s="1">
        <f ca="1">SUMIFS('Fluxo de Caixa dos Acionistas'!$17:$17,'Fluxo de Caixa dos Acionistas'!$1:$1,B135)/1000</f>
        <v>-4812.2979228943586</v>
      </c>
      <c r="C137" s="1">
        <f ca="1">SUMIFS('Fluxo de Caixa dos Acionistas'!$17:$17,'Fluxo de Caixa dos Acionistas'!$1:$1,C135)/1000</f>
        <v>-5930.0149891544279</v>
      </c>
      <c r="D137" s="1">
        <f ca="1">SUMIFS('Fluxo de Caixa dos Acionistas'!$17:$17,'Fluxo de Caixa dos Acionistas'!$1:$1,D135)/1000</f>
        <v>-6614.3880973548667</v>
      </c>
      <c r="E137" s="1">
        <f ca="1">SUMIFS('Fluxo de Caixa dos Acionistas'!$17:$17,'Fluxo de Caixa dos Acionistas'!$1:$1,E135)/1000</f>
        <v>-7232.9580655703303</v>
      </c>
      <c r="F137" s="1">
        <f ca="1">SUMIFS('Fluxo de Caixa dos Acionistas'!$17:$17,'Fluxo de Caixa dos Acionistas'!$1:$1,F135)/1000</f>
        <v>-7525.7477916724256</v>
      </c>
      <c r="G137" s="1">
        <f ca="1">SUMIFS('Fluxo de Caixa dos Acionistas'!$17:$17,'Fluxo de Caixa dos Acionistas'!$1:$1,G135)/1000</f>
        <v>-7715.5530510131266</v>
      </c>
      <c r="H137" s="1">
        <f ca="1">SUMIFS('Fluxo de Caixa dos Acionistas'!$17:$17,'Fluxo de Caixa dos Acionistas'!$1:$1,H135)/1000</f>
        <v>-6977.1808909794181</v>
      </c>
      <c r="I137" s="1">
        <f ca="1">SUMIFS('Fluxo de Caixa dos Acionistas'!$17:$17,'Fluxo de Caixa dos Acionistas'!$1:$1,I135)/1000</f>
        <v>-5803.4145808208605</v>
      </c>
      <c r="J137" s="1">
        <f ca="1">SUMIFS('Fluxo de Caixa dos Acionistas'!$17:$17,'Fluxo de Caixa dos Acionistas'!$1:$1,J135)/1000</f>
        <v>-5015.1494813390073</v>
      </c>
      <c r="K137" s="1">
        <f ca="1">SUMIFS('Fluxo de Caixa dos Acionistas'!$17:$17,'Fluxo de Caixa dos Acionistas'!$1:$1,K135)/1000</f>
        <v>-4606.1626170792142</v>
      </c>
      <c r="L137" s="1">
        <f ca="1">SUMIFS('Fluxo de Caixa dos Acionistas'!$17:$17,'Fluxo de Caixa dos Acionistas'!$1:$1,L135)/1000</f>
        <v>-4062.6574317082845</v>
      </c>
      <c r="M137" s="1">
        <f ca="1">SUMIFS('Fluxo de Caixa dos Acionistas'!$17:$17,'Fluxo de Caixa dos Acionistas'!$1:$1,M135)/1000</f>
        <v>-3561.0324733868138</v>
      </c>
      <c r="N137" s="1">
        <f ca="1">SUMIFS('Fluxo de Caixa dos Acionistas'!$17:$17,'Fluxo de Caixa dos Acionistas'!$1:$1,N135)/1000</f>
        <v>-3083.7260029894469</v>
      </c>
      <c r="O137" s="1">
        <f ca="1">SUMIFS('Fluxo de Caixa dos Acionistas'!$17:$17,'Fluxo de Caixa dos Acionistas'!$1:$1,O135)/1000</f>
        <v>-2702.4951243554383</v>
      </c>
      <c r="P137" s="1">
        <f ca="1">SUMIFS('Fluxo de Caixa dos Acionistas'!$17:$17,'Fluxo de Caixa dos Acionistas'!$1:$1,P135)/1000</f>
        <v>-2387.1533790195472</v>
      </c>
      <c r="Q137" s="1">
        <f ca="1">SUMIFS('Fluxo de Caixa dos Acionistas'!$17:$17,'Fluxo de Caixa dos Acionistas'!$1:$1,Q135)/1000</f>
        <v>-2042.7872450856769</v>
      </c>
      <c r="R137" s="1">
        <f ca="1">SUMIFS('Fluxo de Caixa dos Acionistas'!$17:$17,'Fluxo de Caixa dos Acionistas'!$1:$1,R135)/1000</f>
        <v>-1686.3749226715524</v>
      </c>
      <c r="S137" s="1">
        <f ca="1">SUMIFS('Fluxo de Caixa dos Acionistas'!$17:$17,'Fluxo de Caixa dos Acionistas'!$1:$1,S135)/1000</f>
        <v>-1506.5825646754108</v>
      </c>
      <c r="T137" s="1">
        <f ca="1">SUMIFS('Fluxo de Caixa dos Acionistas'!$17:$17,'Fluxo de Caixa dos Acionistas'!$1:$1,T135)/1000</f>
        <v>-1346.9281963652857</v>
      </c>
      <c r="U137" s="1">
        <f ca="1">SUMIFS('Fluxo de Caixa dos Acionistas'!$17:$17,'Fluxo de Caixa dos Acionistas'!$1:$1,U135)/1000</f>
        <v>-1209.4114759521672</v>
      </c>
      <c r="V137" s="1">
        <f ca="1">SUMIFS('Fluxo de Caixa dos Acionistas'!$17:$17,'Fluxo de Caixa dos Acionistas'!$1:$1,V135)/1000</f>
        <v>-1089.3685940180046</v>
      </c>
      <c r="W137" s="1">
        <f ca="1">SUMIFS('Fluxo de Caixa dos Acionistas'!$17:$17,'Fluxo de Caixa dos Acionistas'!$1:$1,W135)/1000</f>
        <v>-988.21118940851989</v>
      </c>
      <c r="X137" s="1">
        <f ca="1">SUMIFS('Fluxo de Caixa dos Acionistas'!$17:$17,'Fluxo de Caixa dos Acionistas'!$1:$1,X135)/1000</f>
        <v>-937.54464205339104</v>
      </c>
      <c r="Y137" s="1">
        <f ca="1">SUMIFS('Fluxo de Caixa dos Acionistas'!$17:$17,'Fluxo de Caixa dos Acionistas'!$1:$1,Y135)/1000</f>
        <v>-910.5093601864537</v>
      </c>
      <c r="Z137" s="1">
        <f ca="1">SUMIFS('Fluxo de Caixa dos Acionistas'!$17:$17,'Fluxo de Caixa dos Acionistas'!$1:$1,Z135)/1000</f>
        <v>-875.65806382040171</v>
      </c>
      <c r="AA137" s="1">
        <f ca="1">SUMIFS('Fluxo de Caixa dos Acionistas'!$17:$17,'Fluxo de Caixa dos Acionistas'!$1:$1,AA135)/1000</f>
        <v>-856.11388223140341</v>
      </c>
      <c r="AB137" s="1">
        <f ca="1">SUMIFS('Fluxo de Caixa dos Acionistas'!$17:$17,'Fluxo de Caixa dos Acionistas'!$1:$1,AB135)/1000</f>
        <v>-927.18709392406413</v>
      </c>
      <c r="AC137" s="1">
        <f ca="1">SUMIFS('Fluxo de Caixa dos Acionistas'!$17:$17,'Fluxo de Caixa dos Acionistas'!$1:$1,AC135)/1000</f>
        <v>-632.39415853140531</v>
      </c>
      <c r="AD137" s="1">
        <f ca="1">SUMIFS('Fluxo de Caixa dos Acionistas'!$17:$17,'Fluxo de Caixa dos Acionistas'!$1:$1,AD135)/1000</f>
        <v>-2.0236447944026006</v>
      </c>
      <c r="AE137" s="1">
        <f ca="1">SUMIFS('Fluxo de Caixa dos Acionistas'!$17:$17,'Fluxo de Caixa dos Acionistas'!$1:$1,AE135)/1000</f>
        <v>0</v>
      </c>
      <c r="AF137" s="1">
        <f ca="1">SUMIFS('Fluxo de Caixa dos Acionistas'!$17:$17,'Fluxo de Caixa dos Acionistas'!$1:$1,AF135)/1000</f>
        <v>0</v>
      </c>
      <c r="AG137" s="1">
        <f ca="1">SUMIFS('Fluxo de Caixa dos Acionistas'!$17:$17,'Fluxo de Caixa dos Acionistas'!$1:$1,AG135)/1000</f>
        <v>0</v>
      </c>
      <c r="AH137" s="1">
        <f ca="1">SUMIFS('Fluxo de Caixa dos Acionistas'!$17:$17,'Fluxo de Caixa dos Acionistas'!$1:$1,AH135)/1000</f>
        <v>0</v>
      </c>
      <c r="AI137" s="1">
        <f ca="1">SUMIFS('Fluxo de Caixa dos Acionistas'!$17:$17,'Fluxo de Caixa dos Acionistas'!$1:$1,AI135)/1000</f>
        <v>0</v>
      </c>
      <c r="AJ137" s="1">
        <f ca="1">SUMIFS('Fluxo de Caixa dos Acionistas'!$17:$17,'Fluxo de Caixa dos Acionistas'!$1:$1,AJ135)/1000</f>
        <v>0</v>
      </c>
      <c r="AK137" s="1">
        <f ca="1">SUMIFS('Fluxo de Caixa dos Acionistas'!$17:$17,'Fluxo de Caixa dos Acionistas'!$1:$1,AK135)/1000</f>
        <v>0</v>
      </c>
      <c r="AL137" s="1">
        <f ca="1">SUMIFS('Fluxo de Caixa dos Acionistas'!$17:$17,'Fluxo de Caixa dos Acionistas'!$1:$1,AL135)/1000</f>
        <v>0</v>
      </c>
      <c r="AM137" s="1">
        <f ca="1">SUMIFS('Fluxo de Caixa dos Acionistas'!$17:$17,'Fluxo de Caixa dos Acionistas'!$1:$1,AM135)/1000</f>
        <v>0</v>
      </c>
      <c r="AN137" s="1">
        <f ca="1">SUMIFS('Fluxo de Caixa dos Acionistas'!$17:$17,'Fluxo de Caixa dos Acionistas'!$1:$1,AN135)/1000</f>
        <v>0</v>
      </c>
      <c r="AO137" s="1">
        <f ca="1">SUMIFS('Fluxo de Caixa dos Acionistas'!$17:$17,'Fluxo de Caixa dos Acionistas'!$1:$1,AO135)/1000</f>
        <v>0</v>
      </c>
      <c r="AP137" s="1">
        <f ca="1">SUMIFS('Fluxo de Caixa dos Acionistas'!$17:$17,'Fluxo de Caixa dos Acionistas'!$1:$1,AP135)/1000</f>
        <v>0</v>
      </c>
      <c r="AQ137" s="1">
        <f ca="1">SUMIFS('Fluxo de Caixa dos Acionistas'!$17:$17,'Fluxo de Caixa dos Acionistas'!$1:$1,AQ135)/1000</f>
        <v>0</v>
      </c>
    </row>
    <row r="138" spans="1:44" x14ac:dyDescent="0.3">
      <c r="A138" t="s">
        <v>630</v>
      </c>
      <c r="B138" s="1">
        <f ca="1">SUMIFS('Fluxo de Caixa dos Acionistas'!$27:$27,'Fluxo de Caixa dos Acionistas'!$1:$1,B135)/1000</f>
        <v>-781.1641074364461</v>
      </c>
      <c r="C138" s="1">
        <f ca="1">SUMIFS('Fluxo de Caixa dos Acionistas'!$27:$27,'Fluxo de Caixa dos Acionistas'!$1:$1,C135)/1000</f>
        <v>-968.60880500361225</v>
      </c>
      <c r="D138" s="1">
        <f ca="1">SUMIFS('Fluxo de Caixa dos Acionistas'!$27:$27,'Fluxo de Caixa dos Acionistas'!$1:$1,D135)/1000</f>
        <v>-1002.5101131787386</v>
      </c>
      <c r="E138" s="1">
        <f ca="1">SUMIFS('Fluxo de Caixa dos Acionistas'!$27:$27,'Fluxo de Caixa dos Acionistas'!$1:$1,E135)/1000</f>
        <v>-1037.5979671399944</v>
      </c>
      <c r="F138" s="1">
        <f ca="1">SUMIFS('Fluxo de Caixa dos Acionistas'!$27:$27,'Fluxo de Caixa dos Acionistas'!$1:$1,F135)/1000</f>
        <v>-1073.9138959898942</v>
      </c>
      <c r="G138" s="1">
        <f ca="1">SUMIFS('Fluxo de Caixa dos Acionistas'!$27:$27,'Fluxo de Caixa dos Acionistas'!$1:$1,G135)/1000</f>
        <v>-1106.1313128695908</v>
      </c>
      <c r="H138" s="1">
        <f ca="1">SUMIFS('Fluxo de Caixa dos Acionistas'!$27:$27,'Fluxo de Caixa dos Acionistas'!$1:$1,H135)/1000</f>
        <v>-1139.3152522556786</v>
      </c>
      <c r="I138" s="1">
        <f ca="1">SUMIFS('Fluxo de Caixa dos Acionistas'!$27:$27,'Fluxo de Caixa dos Acionistas'!$1:$1,I135)/1000</f>
        <v>-1173.494709823349</v>
      </c>
      <c r="J138" s="1">
        <f ca="1">SUMIFS('Fluxo de Caixa dos Acionistas'!$27:$27,'Fluxo de Caixa dos Acionistas'!$1:$1,J135)/1000</f>
        <v>-1208.6995511180496</v>
      </c>
      <c r="K138" s="1">
        <f ca="1">SUMIFS('Fluxo de Caixa dos Acionistas'!$27:$27,'Fluxo de Caixa dos Acionistas'!$1:$1,K135)/1000</f>
        <v>-1244.960537651591</v>
      </c>
      <c r="L138" s="1">
        <f ca="1">SUMIFS('Fluxo de Caixa dos Acionistas'!$27:$27,'Fluxo de Caixa dos Acionistas'!$1:$1,L135)/1000</f>
        <v>-1282.3093537811387</v>
      </c>
      <c r="M138" s="1">
        <f ca="1">SUMIFS('Fluxo de Caixa dos Acionistas'!$27:$27,'Fluxo de Caixa dos Acionistas'!$1:$1,M135)/1000</f>
        <v>-1320.7786343945731</v>
      </c>
      <c r="N138" s="1">
        <f ca="1">SUMIFS('Fluxo de Caixa dos Acionistas'!$27:$27,'Fluxo de Caixa dos Acionistas'!$1:$1,N135)/1000</f>
        <v>-1360.4019934264102</v>
      </c>
      <c r="O138" s="1">
        <f ca="1">SUMIFS('Fluxo de Caixa dos Acionistas'!$27:$27,'Fluxo de Caixa dos Acionistas'!$1:$1,O135)/1000</f>
        <v>-1401.2140532292026</v>
      </c>
      <c r="P138" s="1">
        <f ca="1">SUMIFS('Fluxo de Caixa dos Acionistas'!$27:$27,'Fluxo de Caixa dos Acionistas'!$1:$1,P135)/1000</f>
        <v>-1333.8309869013071</v>
      </c>
      <c r="Q138" s="1">
        <f ca="1">SUMIFS('Fluxo de Caixa dos Acionistas'!$27:$27,'Fluxo de Caixa dos Acionistas'!$1:$1,Q135)/1000</f>
        <v>-1217.5835534901532</v>
      </c>
      <c r="R138" s="1">
        <f ca="1">SUMIFS('Fluxo de Caixa dos Acionistas'!$27:$27,'Fluxo de Caixa dos Acionistas'!$1:$1,R135)/1000</f>
        <v>-988.31019648541508</v>
      </c>
      <c r="S138" s="1">
        <f ca="1">SUMIFS('Fluxo de Caixa dos Acionistas'!$27:$27,'Fluxo de Caixa dos Acionistas'!$1:$1,S135)/1000</f>
        <v>-891.93239533312453</v>
      </c>
      <c r="T138" s="1">
        <f ca="1">SUMIFS('Fluxo de Caixa dos Acionistas'!$27:$27,'Fluxo de Caixa dos Acionistas'!$1:$1,T135)/1000</f>
        <v>-807.37276630257566</v>
      </c>
      <c r="U138" s="1">
        <f ca="1">SUMIFS('Fluxo de Caixa dos Acionistas'!$27:$27,'Fluxo de Caixa dos Acionistas'!$1:$1,U135)/1000</f>
        <v>-727.38783404168305</v>
      </c>
      <c r="V138" s="1">
        <f ca="1">SUMIFS('Fluxo de Caixa dos Acionistas'!$27:$27,'Fluxo de Caixa dos Acionistas'!$1:$1,V135)/1000</f>
        <v>-665.50263038108983</v>
      </c>
      <c r="W138" s="1">
        <f ca="1">SUMIFS('Fluxo de Caixa dos Acionistas'!$27:$27,'Fluxo de Caixa dos Acionistas'!$1:$1,W135)/1000</f>
        <v>-595.57429507145696</v>
      </c>
      <c r="X138" s="1">
        <f ca="1">SUMIFS('Fluxo de Caixa dos Acionistas'!$27:$27,'Fluxo de Caixa dos Acionistas'!$1:$1,X135)/1000</f>
        <v>-555.90556504756842</v>
      </c>
      <c r="Y138" s="1">
        <f ca="1">SUMIFS('Fluxo de Caixa dos Acionistas'!$27:$27,'Fluxo de Caixa dos Acionistas'!$1:$1,Y135)/1000</f>
        <v>-524.93471869167661</v>
      </c>
      <c r="Z138" s="1">
        <f ca="1">SUMIFS('Fluxo de Caixa dos Acionistas'!$27:$27,'Fluxo de Caixa dos Acionistas'!$1:$1,Z135)/1000</f>
        <v>-498.81926661440571</v>
      </c>
      <c r="AA138" s="1">
        <f ca="1">SUMIFS('Fluxo de Caixa dos Acionistas'!$27:$27,'Fluxo de Caixa dos Acionistas'!$1:$1,AA135)/1000</f>
        <v>-450.23570974274315</v>
      </c>
      <c r="AB138" s="1">
        <f ca="1">SUMIFS('Fluxo de Caixa dos Acionistas'!$27:$27,'Fluxo de Caixa dos Acionistas'!$1:$1,AB135)/1000</f>
        <v>-422.83577532815809</v>
      </c>
      <c r="AC138" s="1">
        <f ca="1">SUMIFS('Fluxo de Caixa dos Acionistas'!$27:$27,'Fluxo de Caixa dos Acionistas'!$1:$1,AC135)/1000</f>
        <v>-405.53919481022302</v>
      </c>
      <c r="AD138" s="1">
        <f ca="1">SUMIFS('Fluxo de Caixa dos Acionistas'!$27:$27,'Fluxo de Caixa dos Acionistas'!$1:$1,AD135)/1000</f>
        <v>-262.05371220536358</v>
      </c>
      <c r="AE138" s="1">
        <f ca="1">SUMIFS('Fluxo de Caixa dos Acionistas'!$27:$27,'Fluxo de Caixa dos Acionistas'!$1:$1,AE135)/1000</f>
        <v>0</v>
      </c>
      <c r="AF138" s="1">
        <f ca="1">SUMIFS('Fluxo de Caixa dos Acionistas'!$27:$27,'Fluxo de Caixa dos Acionistas'!$1:$1,AF135)/1000</f>
        <v>0</v>
      </c>
      <c r="AG138" s="1">
        <f ca="1">SUMIFS('Fluxo de Caixa dos Acionistas'!$27:$27,'Fluxo de Caixa dos Acionistas'!$1:$1,AG135)/1000</f>
        <v>0</v>
      </c>
      <c r="AH138" s="1">
        <f ca="1">SUMIFS('Fluxo de Caixa dos Acionistas'!$27:$27,'Fluxo de Caixa dos Acionistas'!$1:$1,AH135)/1000</f>
        <v>0</v>
      </c>
      <c r="AI138" s="1">
        <f ca="1">SUMIFS('Fluxo de Caixa dos Acionistas'!$27:$27,'Fluxo de Caixa dos Acionistas'!$1:$1,AI135)/1000</f>
        <v>0</v>
      </c>
      <c r="AJ138" s="1">
        <f ca="1">SUMIFS('Fluxo de Caixa dos Acionistas'!$27:$27,'Fluxo de Caixa dos Acionistas'!$1:$1,AJ135)/1000</f>
        <v>0</v>
      </c>
      <c r="AK138" s="1">
        <f ca="1">SUMIFS('Fluxo de Caixa dos Acionistas'!$27:$27,'Fluxo de Caixa dos Acionistas'!$1:$1,AK135)/1000</f>
        <v>0</v>
      </c>
      <c r="AL138" s="1">
        <f ca="1">SUMIFS('Fluxo de Caixa dos Acionistas'!$27:$27,'Fluxo de Caixa dos Acionistas'!$1:$1,AL135)/1000</f>
        <v>0</v>
      </c>
      <c r="AM138" s="1">
        <f ca="1">SUMIFS('Fluxo de Caixa dos Acionistas'!$27:$27,'Fluxo de Caixa dos Acionistas'!$1:$1,AM135)/1000</f>
        <v>0</v>
      </c>
      <c r="AN138" s="1">
        <f ca="1">SUMIFS('Fluxo de Caixa dos Acionistas'!$27:$27,'Fluxo de Caixa dos Acionistas'!$1:$1,AN135)/1000</f>
        <v>0</v>
      </c>
      <c r="AO138" s="1">
        <f ca="1">SUMIFS('Fluxo de Caixa dos Acionistas'!$27:$27,'Fluxo de Caixa dos Acionistas'!$1:$1,AO135)/1000</f>
        <v>0</v>
      </c>
      <c r="AP138" s="1">
        <f ca="1">SUMIFS('Fluxo de Caixa dos Acionistas'!$27:$27,'Fluxo de Caixa dos Acionistas'!$1:$1,AP135)/1000</f>
        <v>0</v>
      </c>
      <c r="AQ138" s="1">
        <f ca="1">SUMIFS('Fluxo de Caixa dos Acionistas'!$27:$27,'Fluxo de Caixa dos Acionistas'!$1:$1,AQ135)/1000</f>
        <v>0</v>
      </c>
    </row>
    <row r="139" spans="1:44" x14ac:dyDescent="0.3">
      <c r="A139" t="s">
        <v>599</v>
      </c>
      <c r="B139" s="1">
        <f ca="1">SUMIFS('Fluxo de Caixa dos Acionistas'!42:42,'Fluxo de Caixa dos Acionistas'!$1:$1,B$135)/1000</f>
        <v>-606.71034994196043</v>
      </c>
      <c r="C139" s="1">
        <f ca="1">SUMIFS('Fluxo de Caixa dos Acionistas'!42:42,'Fluxo de Caixa dos Acionistas'!$1:$1,C$135)/1000</f>
        <v>-752.2938924692171</v>
      </c>
      <c r="D139" s="1">
        <f ca="1">SUMIFS('Fluxo de Caixa dos Acionistas'!42:42,'Fluxo de Caixa dos Acionistas'!$1:$1,D$135)/1000</f>
        <v>-767.04682698240106</v>
      </c>
      <c r="E139" s="1">
        <f ca="1">SUMIFS('Fluxo de Caixa dos Acionistas'!42:42,'Fluxo de Caixa dos Acionistas'!$1:$1,E$135)/1000</f>
        <v>-789.3089139823976</v>
      </c>
      <c r="F139" s="1">
        <f ca="1">SUMIFS('Fluxo de Caixa dos Acionistas'!42:42,'Fluxo de Caixa dos Acionistas'!$1:$1,F$135)/1000</f>
        <v>-760.80364708678349</v>
      </c>
      <c r="G139" s="1">
        <f ca="1">SUMIFS('Fluxo de Caixa dos Acionistas'!42:42,'Fluxo de Caixa dos Acionistas'!$1:$1,G$135)/1000</f>
        <v>-769.24144291782079</v>
      </c>
      <c r="H139" s="1">
        <f ca="1">SUMIFS('Fluxo de Caixa dos Acionistas'!42:42,'Fluxo de Caixa dos Acionistas'!$1:$1,H$135)/1000</f>
        <v>-701.89044657131171</v>
      </c>
      <c r="I139" s="1">
        <f ca="1">SUMIFS('Fluxo de Caixa dos Acionistas'!42:42,'Fluxo de Caixa dos Acionistas'!$1:$1,I$135)/1000</f>
        <v>-600.57601413827888</v>
      </c>
      <c r="J139" s="1">
        <f ca="1">SUMIFS('Fluxo de Caixa dos Acionistas'!42:42,'Fluxo de Caixa dos Acionistas'!$1:$1,J$135)/1000</f>
        <v>-534.95588829965823</v>
      </c>
      <c r="K139" s="1">
        <f ca="1">SUMIFS('Fluxo de Caixa dos Acionistas'!42:42,'Fluxo de Caixa dos Acionistas'!$1:$1,K$135)/1000</f>
        <v>-481.48568429685133</v>
      </c>
      <c r="L139" s="1">
        <f ca="1">SUMIFS('Fluxo de Caixa dos Acionistas'!42:42,'Fluxo de Caixa dos Acionistas'!$1:$1,L$135)/1000</f>
        <v>-436.72502825553636</v>
      </c>
      <c r="M139" s="1">
        <f ca="1">SUMIFS('Fluxo de Caixa dos Acionistas'!42:42,'Fluxo de Caixa dos Acionistas'!$1:$1,M$135)/1000</f>
        <v>-391.27225962689403</v>
      </c>
      <c r="N139" s="1">
        <f ca="1">SUMIFS('Fluxo de Caixa dos Acionistas'!42:42,'Fluxo de Caixa dos Acionistas'!$1:$1,N$135)/1000</f>
        <v>-345.42309763379853</v>
      </c>
      <c r="O139" s="1">
        <f ca="1">SUMIFS('Fluxo de Caixa dos Acionistas'!42:42,'Fluxo de Caixa dos Acionistas'!$1:$1,O$135)/1000</f>
        <v>-306.3149312823852</v>
      </c>
      <c r="P139" s="1">
        <f ca="1">SUMIFS('Fluxo de Caixa dos Acionistas'!42:42,'Fluxo de Caixa dos Acionistas'!$1:$1,P$135)/1000</f>
        <v>-278.19770838906038</v>
      </c>
      <c r="Q139" s="1">
        <f ca="1">SUMIFS('Fluxo de Caixa dos Acionistas'!42:42,'Fluxo de Caixa dos Acionistas'!$1:$1,Q$135)/1000</f>
        <v>-253.95193070157154</v>
      </c>
      <c r="R139" s="1">
        <f ca="1">SUMIFS('Fluxo de Caixa dos Acionistas'!42:42,'Fluxo de Caixa dos Acionistas'!$1:$1,R$135)/1000</f>
        <v>-206.1322870287525</v>
      </c>
      <c r="S139" s="1">
        <f ca="1">SUMIFS('Fluxo de Caixa dos Acionistas'!42:42,'Fluxo de Caixa dos Acionistas'!$1:$1,S$135)/1000</f>
        <v>-186.03072717338259</v>
      </c>
      <c r="T139" s="1">
        <f ca="1">SUMIFS('Fluxo de Caixa dos Acionistas'!42:42,'Fluxo de Caixa dos Acionistas'!$1:$1,T$135)/1000</f>
        <v>-168.39408861156727</v>
      </c>
      <c r="U139" s="1">
        <f ca="1">SUMIFS('Fluxo de Caixa dos Acionistas'!42:42,'Fluxo de Caixa dos Acionistas'!$1:$1,U$135)/1000</f>
        <v>-151.71159654236703</v>
      </c>
      <c r="V139" s="1">
        <f ca="1">SUMIFS('Fluxo de Caixa dos Acionistas'!42:42,'Fluxo de Caixa dos Acionistas'!$1:$1,V$135)/1000</f>
        <v>-138.80417273032663</v>
      </c>
      <c r="W139" s="1">
        <f ca="1">SUMIFS('Fluxo de Caixa dos Acionistas'!42:42,'Fluxo de Caixa dos Acionistas'!$1:$1,W$135)/1000</f>
        <v>-124.2191894560993</v>
      </c>
      <c r="X139" s="1">
        <f ca="1">SUMIFS('Fluxo de Caixa dos Acionistas'!42:42,'Fluxo de Caixa dos Acionistas'!$1:$1,X$135)/1000</f>
        <v>-115.94546520188339</v>
      </c>
      <c r="Y139" s="1">
        <f ca="1">SUMIFS('Fluxo de Caixa dos Acionistas'!42:42,'Fluxo de Caixa dos Acionistas'!$1:$1,Y$135)/1000</f>
        <v>-109.4858623228896</v>
      </c>
      <c r="Z139" s="1">
        <f ca="1">SUMIFS('Fluxo de Caixa dos Acionistas'!42:42,'Fluxo de Caixa dos Acionistas'!$1:$1,Z$135)/1000</f>
        <v>-104.03895113789804</v>
      </c>
      <c r="AA139" s="1">
        <f ca="1">SUMIFS('Fluxo de Caixa dos Acionistas'!42:42,'Fluxo de Caixa dos Acionistas'!$1:$1,AA$135)/1000</f>
        <v>-93.905857575208003</v>
      </c>
      <c r="AB139" s="1">
        <f ca="1">SUMIFS('Fluxo de Caixa dos Acionistas'!42:42,'Fluxo de Caixa dos Acionistas'!$1:$1,AB$135)/1000</f>
        <v>-88.191041351110101</v>
      </c>
      <c r="AC139" s="1">
        <f ca="1">SUMIFS('Fluxo de Caixa dos Acionistas'!42:42,'Fluxo de Caixa dos Acionistas'!$1:$1,AC$135)/1000</f>
        <v>-84.583486038397581</v>
      </c>
      <c r="AD139" s="1">
        <f ca="1">SUMIFS('Fluxo de Caixa dos Acionistas'!42:42,'Fluxo de Caixa dos Acionistas'!$1:$1,AD$135)/1000</f>
        <v>-54.656656597656863</v>
      </c>
      <c r="AE139" s="1">
        <f ca="1">SUMIFS('Fluxo de Caixa dos Acionistas'!42:42,'Fluxo de Caixa dos Acionistas'!$1:$1,AE$135)/1000</f>
        <v>0</v>
      </c>
      <c r="AF139" s="1">
        <f ca="1">SUMIFS('Fluxo de Caixa dos Acionistas'!42:42,'Fluxo de Caixa dos Acionistas'!$1:$1,AF$135)/1000</f>
        <v>0</v>
      </c>
      <c r="AG139" s="1">
        <f ca="1">SUMIFS('Fluxo de Caixa dos Acionistas'!42:42,'Fluxo de Caixa dos Acionistas'!$1:$1,AG$135)/1000</f>
        <v>0</v>
      </c>
      <c r="AH139" s="1">
        <f ca="1">SUMIFS('Fluxo de Caixa dos Acionistas'!42:42,'Fluxo de Caixa dos Acionistas'!$1:$1,AH$135)/1000</f>
        <v>0</v>
      </c>
      <c r="AI139" s="1">
        <f ca="1">SUMIFS('Fluxo de Caixa dos Acionistas'!42:42,'Fluxo de Caixa dos Acionistas'!$1:$1,AI$135)/1000</f>
        <v>0</v>
      </c>
      <c r="AJ139" s="1">
        <f ca="1">SUMIFS('Fluxo de Caixa dos Acionistas'!42:42,'Fluxo de Caixa dos Acionistas'!$1:$1,AJ$135)/1000</f>
        <v>0</v>
      </c>
      <c r="AK139" s="1">
        <f ca="1">SUMIFS('Fluxo de Caixa dos Acionistas'!42:42,'Fluxo de Caixa dos Acionistas'!$1:$1,AK$135)/1000</f>
        <v>0</v>
      </c>
      <c r="AL139" s="1">
        <f ca="1">SUMIFS('Fluxo de Caixa dos Acionistas'!42:42,'Fluxo de Caixa dos Acionistas'!$1:$1,AL$135)/1000</f>
        <v>0</v>
      </c>
      <c r="AM139" s="1">
        <f ca="1">SUMIFS('Fluxo de Caixa dos Acionistas'!42:42,'Fluxo de Caixa dos Acionistas'!$1:$1,AM$135)/1000</f>
        <v>0</v>
      </c>
      <c r="AN139" s="1">
        <f ca="1">SUMIFS('Fluxo de Caixa dos Acionistas'!42:42,'Fluxo de Caixa dos Acionistas'!$1:$1,AN$135)/1000</f>
        <v>0</v>
      </c>
      <c r="AO139" s="1">
        <f ca="1">SUMIFS('Fluxo de Caixa dos Acionistas'!42:42,'Fluxo de Caixa dos Acionistas'!$1:$1,AO$135)/1000</f>
        <v>0</v>
      </c>
      <c r="AP139" s="1">
        <f ca="1">SUMIFS('Fluxo de Caixa dos Acionistas'!42:42,'Fluxo de Caixa dos Acionistas'!$1:$1,AP$135)/1000</f>
        <v>0</v>
      </c>
      <c r="AQ139" s="1">
        <f ca="1">SUMIFS('Fluxo de Caixa dos Acionistas'!42:42,'Fluxo de Caixa dos Acionistas'!$1:$1,AQ$135)/1000</f>
        <v>0</v>
      </c>
    </row>
    <row r="140" spans="1:44" x14ac:dyDescent="0.3">
      <c r="A140" t="s">
        <v>96</v>
      </c>
      <c r="B140" s="1">
        <f ca="1">SUMIFS('Fluxo de Caixa dos Acionistas'!$45:$45,'Fluxo de Caixa dos Acionistas'!$1:$1,B$135)/1000</f>
        <v>-311.56733934736405</v>
      </c>
      <c r="C140" s="1">
        <f ca="1">SUMIFS('Fluxo de Caixa dos Acionistas'!$45:$45,'Fluxo de Caixa dos Acionistas'!$1:$1,C$135)/1000</f>
        <v>222.26858108767311</v>
      </c>
      <c r="D140" s="1">
        <f ca="1">SUMIFS('Fluxo de Caixa dos Acionistas'!$45:$45,'Fluxo de Caixa dos Acionistas'!$1:$1,D$135)/1000</f>
        <v>124.52827915828009</v>
      </c>
      <c r="E140" s="1">
        <f ca="1">SUMIFS('Fluxo de Caixa dos Acionistas'!$45:$45,'Fluxo de Caixa dos Acionistas'!$1:$1,E$135)/1000</f>
        <v>167.51869219870528</v>
      </c>
      <c r="F140" s="1">
        <f ca="1">SUMIFS('Fluxo de Caixa dos Acionistas'!$45:$45,'Fluxo de Caixa dos Acionistas'!$1:$1,F$135)/1000</f>
        <v>169.43670827938641</v>
      </c>
      <c r="G140" s="1">
        <f ca="1">SUMIFS('Fluxo de Caixa dos Acionistas'!$45:$45,'Fluxo de Caixa dos Acionistas'!$1:$1,G$135)/1000</f>
        <v>171.92155362573834</v>
      </c>
      <c r="H140" s="1">
        <f ca="1">SUMIFS('Fluxo de Caixa dos Acionistas'!$45:$45,'Fluxo de Caixa dos Acionistas'!$1:$1,H$135)/1000</f>
        <v>173.82827288767115</v>
      </c>
      <c r="I140" s="1">
        <f ca="1">SUMIFS('Fluxo de Caixa dos Acionistas'!$45:$45,'Fluxo de Caixa dos Acionistas'!$1:$1,I$135)/1000</f>
        <v>155.84240972997529</v>
      </c>
      <c r="J140" s="1">
        <f ca="1">SUMIFS('Fluxo de Caixa dos Acionistas'!$45:$45,'Fluxo de Caixa dos Acionistas'!$1:$1,J$135)/1000</f>
        <v>133.34732468085258</v>
      </c>
      <c r="K140" s="1">
        <f ca="1">SUMIFS('Fluxo de Caixa dos Acionistas'!$45:$45,'Fluxo de Caixa dos Acionistas'!$1:$1,K$135)/1000</f>
        <v>118.77753164914797</v>
      </c>
      <c r="L140" s="1">
        <f ca="1">SUMIFS('Fluxo de Caixa dos Acionistas'!$45:$45,'Fluxo de Caixa dos Acionistas'!$1:$1,L$135)/1000</f>
        <v>123.94926549949027</v>
      </c>
      <c r="M140" s="1">
        <f ca="1">SUMIFS('Fluxo de Caixa dos Acionistas'!$45:$45,'Fluxo de Caixa dos Acionistas'!$1:$1,M$135)/1000</f>
        <v>112.42649209097479</v>
      </c>
      <c r="N140" s="1">
        <f ca="1">SUMIFS('Fluxo de Caixa dos Acionistas'!$45:$45,'Fluxo de Caixa dos Acionistas'!$1:$1,N$135)/1000</f>
        <v>100.72554755579984</v>
      </c>
      <c r="O140" s="1">
        <f ca="1">SUMIFS('Fluxo de Caixa dos Acionistas'!$45:$45,'Fluxo de Caixa dos Acionistas'!$1:$1,O$135)/1000</f>
        <v>88.9225591427371</v>
      </c>
      <c r="P140" s="1">
        <f ca="1">SUMIFS('Fluxo de Caixa dos Acionistas'!$45:$45,'Fluxo de Caixa dos Acionistas'!$1:$1,P$135)/1000</f>
        <v>78.854910918951191</v>
      </c>
      <c r="Q140" s="1">
        <f ca="1">SUMIFS('Fluxo de Caixa dos Acionistas'!$45:$45,'Fluxo de Caixa dos Acionistas'!$1:$1,Q$135)/1000</f>
        <v>71.616670532629755</v>
      </c>
      <c r="R140" s="1">
        <f ca="1">SUMIFS('Fluxo de Caixa dos Acionistas'!$45:$45,'Fluxo de Caixa dos Acionistas'!$1:$1,R$135)/1000</f>
        <v>65.375059548459205</v>
      </c>
      <c r="S140" s="1">
        <f ca="1">SUMIFS('Fluxo de Caixa dos Acionistas'!$45:$45,'Fluxo de Caixa dos Acionistas'!$1:$1,S$135)/1000</f>
        <v>53.064808375884382</v>
      </c>
      <c r="T140" s="1">
        <f ca="1">SUMIFS('Fluxo de Caixa dos Acionistas'!$45:$45,'Fluxo de Caixa dos Acionistas'!$1:$1,T$135)/1000</f>
        <v>47.890046880938087</v>
      </c>
      <c r="U140" s="1">
        <f ca="1">SUMIFS('Fluxo de Caixa dos Acionistas'!$45:$45,'Fluxo de Caixa dos Acionistas'!$1:$1,U$135)/1000</f>
        <v>43.349832152000999</v>
      </c>
      <c r="V140" s="1">
        <f ca="1">SUMIFS('Fluxo de Caixa dos Acionistas'!$45:$45,'Fluxo de Caixa dos Acionistas'!$1:$1,V$135)/1000</f>
        <v>33.414452254262372</v>
      </c>
      <c r="W140" s="1">
        <f ca="1">SUMIFS('Fluxo de Caixa dos Acionistas'!$45:$45,'Fluxo de Caixa dos Acionistas'!$1:$1,W$135)/1000</f>
        <v>30.571594446932473</v>
      </c>
      <c r="X140" s="1">
        <f ca="1">SUMIFS('Fluxo de Caixa dos Acionistas'!$45:$45,'Fluxo de Caixa dos Acionistas'!$1:$1,X$135)/1000</f>
        <v>27.359254465329464</v>
      </c>
      <c r="Y140" s="1">
        <f ca="1">SUMIFS('Fluxo de Caixa dos Acionistas'!$45:$45,'Fluxo de Caixa dos Acionistas'!$1:$1,Y$135)/1000</f>
        <v>25.53696816449132</v>
      </c>
      <c r="Z140" s="1">
        <f ca="1">SUMIFS('Fluxo de Caixa dos Acionistas'!$45:$45,'Fluxo de Caixa dos Acionistas'!$1:$1,Z$135)/1000</f>
        <v>24.114241775072806</v>
      </c>
      <c r="AA140" s="1">
        <f ca="1">SUMIFS('Fluxo de Caixa dos Acionistas'!$45:$45,'Fluxo de Caixa dos Acionistas'!$1:$1,AA$135)/1000</f>
        <v>22.914560551803444</v>
      </c>
      <c r="AB140" s="1">
        <f ca="1">SUMIFS('Fluxo de Caixa dos Acionistas'!$45:$45,'Fluxo de Caixa dos Acionistas'!$1:$1,AB$135)/1000</f>
        <v>20.682748490265105</v>
      </c>
      <c r="AC140" s="1">
        <f ca="1">SUMIFS('Fluxo de Caixa dos Acionistas'!$45:$45,'Fluxo de Caixa dos Acionistas'!$1:$1,AC$135)/1000</f>
        <v>19.424061229606934</v>
      </c>
      <c r="AD140" s="1">
        <f ca="1">SUMIFS('Fluxo de Caixa dos Acionistas'!$45:$45,'Fluxo de Caixa dos Acionistas'!$1:$1,AD$135)/1000</f>
        <v>18.62949781126208</v>
      </c>
      <c r="AE140" s="1">
        <f ca="1">SUMIFS('Fluxo de Caixa dos Acionistas'!$45:$45,'Fluxo de Caixa dos Acionistas'!$1:$1,AE$135)/1000</f>
        <v>0</v>
      </c>
      <c r="AF140" s="1">
        <f ca="1">SUMIFS('Fluxo de Caixa dos Acionistas'!$45:$45,'Fluxo de Caixa dos Acionistas'!$1:$1,AF$135)/1000</f>
        <v>0</v>
      </c>
      <c r="AG140" s="1">
        <f ca="1">SUMIFS('Fluxo de Caixa dos Acionistas'!$45:$45,'Fluxo de Caixa dos Acionistas'!$1:$1,AG$135)/1000</f>
        <v>0</v>
      </c>
      <c r="AH140" s="1">
        <f ca="1">SUMIFS('Fluxo de Caixa dos Acionistas'!$45:$45,'Fluxo de Caixa dos Acionistas'!$1:$1,AH$135)/1000</f>
        <v>0</v>
      </c>
      <c r="AI140" s="1">
        <f ca="1">SUMIFS('Fluxo de Caixa dos Acionistas'!$45:$45,'Fluxo de Caixa dos Acionistas'!$1:$1,AI$135)/1000</f>
        <v>0</v>
      </c>
      <c r="AJ140" s="1">
        <f ca="1">SUMIFS('Fluxo de Caixa dos Acionistas'!$45:$45,'Fluxo de Caixa dos Acionistas'!$1:$1,AJ$135)/1000</f>
        <v>0</v>
      </c>
      <c r="AK140" s="1">
        <f ca="1">SUMIFS('Fluxo de Caixa dos Acionistas'!$45:$45,'Fluxo de Caixa dos Acionistas'!$1:$1,AK$135)/1000</f>
        <v>0</v>
      </c>
      <c r="AL140" s="1">
        <f ca="1">SUMIFS('Fluxo de Caixa dos Acionistas'!$45:$45,'Fluxo de Caixa dos Acionistas'!$1:$1,AL$135)/1000</f>
        <v>0</v>
      </c>
      <c r="AM140" s="1">
        <f ca="1">SUMIFS('Fluxo de Caixa dos Acionistas'!$45:$45,'Fluxo de Caixa dos Acionistas'!$1:$1,AM$135)/1000</f>
        <v>0</v>
      </c>
      <c r="AN140" s="1">
        <f ca="1">SUMIFS('Fluxo de Caixa dos Acionistas'!$45:$45,'Fluxo de Caixa dos Acionistas'!$1:$1,AN$135)/1000</f>
        <v>0</v>
      </c>
      <c r="AO140" s="1">
        <f ca="1">SUMIFS('Fluxo de Caixa dos Acionistas'!$45:$45,'Fluxo de Caixa dos Acionistas'!$1:$1,AO$135)/1000</f>
        <v>0</v>
      </c>
      <c r="AP140" s="1">
        <f ca="1">SUMIFS('Fluxo de Caixa dos Acionistas'!$45:$45,'Fluxo de Caixa dos Acionistas'!$1:$1,AP$135)/1000</f>
        <v>0</v>
      </c>
      <c r="AQ140" s="1">
        <f ca="1">SUMIFS('Fluxo de Caixa dos Acionistas'!$45:$45,'Fluxo de Caixa dos Acionistas'!$1:$1,AQ$135)/1000</f>
        <v>0</v>
      </c>
    </row>
    <row r="141" spans="1:44" x14ac:dyDescent="0.3">
      <c r="A141" t="s">
        <v>631</v>
      </c>
      <c r="B141" s="1">
        <f ca="1">SUMIFS('Fluxo de Caixa dos Acionistas'!$52:$52,'Fluxo de Caixa dos Acionistas'!$1:$1,B$135)/1000</f>
        <v>-3358.7400008256295</v>
      </c>
      <c r="C141" s="1">
        <f ca="1">SUMIFS('Fluxo de Caixa dos Acionistas'!$52:$52,'Fluxo de Caixa dos Acionistas'!$1:$1,C$135)/1000</f>
        <v>-4384.1989093282082</v>
      </c>
      <c r="D141" s="1">
        <f ca="1">SUMIFS('Fluxo de Caixa dos Acionistas'!$52:$52,'Fluxo de Caixa dos Acionistas'!$1:$1,D$135)/1000</f>
        <v>-4237.2459681242553</v>
      </c>
      <c r="E141" s="1">
        <f ca="1">SUMIFS('Fluxo de Caixa dos Acionistas'!$52:$52,'Fluxo de Caixa dos Acionistas'!$1:$1,E$135)/1000</f>
        <v>-4226.5307656095038</v>
      </c>
      <c r="F141" s="1">
        <f ca="1">SUMIFS('Fluxo de Caixa dos Acionistas'!$52:$52,'Fluxo de Caixa dos Acionistas'!$1:$1,F$135)/1000</f>
        <v>-3863.1533280783292</v>
      </c>
      <c r="G141" s="1">
        <f ca="1">SUMIFS('Fluxo de Caixa dos Acionistas'!$52:$52,'Fluxo de Caixa dos Acionistas'!$1:$1,G$135)/1000</f>
        <v>-3863.1441179129934</v>
      </c>
      <c r="H141" s="1">
        <f ca="1">SUMIFS('Fluxo de Caixa dos Acionistas'!$52:$52,'Fluxo de Caixa dos Acionistas'!$1:$1,H$135)/1000</f>
        <v>-3507.8260733330781</v>
      </c>
      <c r="I141" s="1">
        <f ca="1">SUMIFS('Fluxo de Caixa dos Acionistas'!$52:$52,'Fluxo de Caixa dos Acionistas'!$1:$1,I$135)/1000</f>
        <v>-2993.0280666665089</v>
      </c>
      <c r="J141" s="1">
        <f ca="1">SUMIFS('Fluxo de Caixa dos Acionistas'!$52:$52,'Fluxo de Caixa dos Acionistas'!$1:$1,J$135)/1000</f>
        <v>-2660.9997275881756</v>
      </c>
      <c r="K141" s="1">
        <f ca="1">SUMIFS('Fluxo de Caixa dos Acionistas'!$52:$52,'Fluxo de Caixa dos Acionistas'!$1:$1,K$135)/1000</f>
        <v>-2309.8202984133682</v>
      </c>
      <c r="L141" s="1">
        <f ca="1">SUMIFS('Fluxo de Caixa dos Acionistas'!$52:$52,'Fluxo de Caixa dos Acionistas'!$1:$1,L$135)/1000</f>
        <v>-2087.7566988403582</v>
      </c>
      <c r="M141" s="1">
        <f ca="1">SUMIFS('Fluxo de Caixa dos Acionistas'!$52:$52,'Fluxo de Caixa dos Acionistas'!$1:$1,M$135)/1000</f>
        <v>-1839.2748852560849</v>
      </c>
      <c r="N141" s="1">
        <f ca="1">SUMIFS('Fluxo de Caixa dos Acionistas'!$52:$52,'Fluxo de Caixa dos Acionistas'!$1:$1,N$135)/1000</f>
        <v>-1578.5656582872566</v>
      </c>
      <c r="O141" s="1">
        <f ca="1">SUMIFS('Fluxo de Caixa dos Acionistas'!$52:$52,'Fluxo de Caixa dos Acionistas'!$1:$1,O$135)/1000</f>
        <v>-1344.3770604774625</v>
      </c>
      <c r="P141" s="1">
        <f ca="1">SUMIFS('Fluxo de Caixa dos Acionistas'!$52:$52,'Fluxo de Caixa dos Acionistas'!$1:$1,P$135)/1000</f>
        <v>-1222.379166934759</v>
      </c>
      <c r="Q141" s="1">
        <f ca="1">SUMIFS('Fluxo de Caixa dos Acionistas'!$52:$52,'Fluxo de Caixa dos Acionistas'!$1:$1,Q$135)/1000</f>
        <v>-1162.0690004205676</v>
      </c>
      <c r="R141" s="1">
        <f ca="1">SUMIFS('Fluxo de Caixa dos Acionistas'!$52:$52,'Fluxo de Caixa dos Acionistas'!$1:$1,R$135)/1000</f>
        <v>-936.10759469292418</v>
      </c>
      <c r="S141" s="1">
        <f ca="1">SUMIFS('Fluxo de Caixa dos Acionistas'!$52:$52,'Fluxo de Caixa dos Acionistas'!$1:$1,S$135)/1000</f>
        <v>-848.01845462029473</v>
      </c>
      <c r="T141" s="1">
        <f ca="1">SUMIFS('Fluxo de Caixa dos Acionistas'!$52:$52,'Fluxo de Caixa dos Acionistas'!$1:$1,T$135)/1000</f>
        <v>-773.29290871450428</v>
      </c>
      <c r="U141" s="1">
        <f ca="1">SUMIFS('Fluxo de Caixa dos Acionistas'!$52:$52,'Fluxo de Caixa dos Acionistas'!$1:$1,U$135)/1000</f>
        <v>-698.14048970492831</v>
      </c>
      <c r="V141" s="1">
        <f ca="1">SUMIFS('Fluxo de Caixa dos Acionistas'!$52:$52,'Fluxo de Caixa dos Acionistas'!$1:$1,V$135)/1000</f>
        <v>-642.44978365284123</v>
      </c>
      <c r="W141" s="1">
        <f ca="1">SUMIFS('Fluxo de Caixa dos Acionistas'!$52:$52,'Fluxo de Caixa dos Acionistas'!$1:$1,W$135)/1000</f>
        <v>-570.6458560952409</v>
      </c>
      <c r="X141" s="1">
        <f ca="1">SUMIFS('Fluxo de Caixa dos Acionistas'!$52:$52,'Fluxo de Caixa dos Acionistas'!$1:$1,X$135)/1000</f>
        <v>-527.08524179116193</v>
      </c>
      <c r="Y141" s="1">
        <f ca="1">SUMIFS('Fluxo de Caixa dos Acionistas'!$52:$52,'Fluxo de Caixa dos Acionistas'!$1:$1,Y$135)/1000</f>
        <v>-489.05152845288086</v>
      </c>
      <c r="Z141" s="1">
        <f ca="1">SUMIFS('Fluxo de Caixa dos Acionistas'!$52:$52,'Fluxo de Caixa dos Acionistas'!$1:$1,Z$135)/1000</f>
        <v>-461.11769620261464</v>
      </c>
      <c r="AA141" s="1">
        <f ca="1">SUMIFS('Fluxo de Caixa dos Acionistas'!$52:$52,'Fluxo de Caixa dos Acionistas'!$1:$1,AA$135)/1000</f>
        <v>-394.24440401727554</v>
      </c>
      <c r="AB141" s="1">
        <f ca="1">SUMIFS('Fluxo de Caixa dos Acionistas'!$52:$52,'Fluxo de Caixa dos Acionistas'!$1:$1,AB$135)/1000</f>
        <v>-328.08821101596459</v>
      </c>
      <c r="AC141" s="1">
        <f ca="1">SUMIFS('Fluxo de Caixa dos Acionistas'!$52:$52,'Fluxo de Caixa dos Acionistas'!$1:$1,AC$135)/1000</f>
        <v>-401.86128959427276</v>
      </c>
      <c r="AD141" s="1">
        <f ca="1">SUMIFS('Fluxo de Caixa dos Acionistas'!$52:$52,'Fluxo de Caixa dos Acionistas'!$1:$1,AD$135)/1000</f>
        <v>-399.99458862185708</v>
      </c>
      <c r="AE141" s="1">
        <f ca="1">SUMIFS('Fluxo de Caixa dos Acionistas'!$52:$52,'Fluxo de Caixa dos Acionistas'!$1:$1,AE$135)/1000</f>
        <v>0</v>
      </c>
      <c r="AF141" s="1">
        <f ca="1">SUMIFS('Fluxo de Caixa dos Acionistas'!$52:$52,'Fluxo de Caixa dos Acionistas'!$1:$1,AF$135)/1000</f>
        <v>0</v>
      </c>
      <c r="AG141" s="1">
        <f ca="1">SUMIFS('Fluxo de Caixa dos Acionistas'!$52:$52,'Fluxo de Caixa dos Acionistas'!$1:$1,AG$135)/1000</f>
        <v>0</v>
      </c>
      <c r="AH141" s="1">
        <f ca="1">SUMIFS('Fluxo de Caixa dos Acionistas'!$52:$52,'Fluxo de Caixa dos Acionistas'!$1:$1,AH$135)/1000</f>
        <v>0</v>
      </c>
      <c r="AI141" s="1">
        <f ca="1">SUMIFS('Fluxo de Caixa dos Acionistas'!$52:$52,'Fluxo de Caixa dos Acionistas'!$1:$1,AI$135)/1000</f>
        <v>0</v>
      </c>
      <c r="AJ141" s="1">
        <f ca="1">SUMIFS('Fluxo de Caixa dos Acionistas'!$52:$52,'Fluxo de Caixa dos Acionistas'!$1:$1,AJ$135)/1000</f>
        <v>0</v>
      </c>
      <c r="AK141" s="1">
        <f ca="1">SUMIFS('Fluxo de Caixa dos Acionistas'!$52:$52,'Fluxo de Caixa dos Acionistas'!$1:$1,AK$135)/1000</f>
        <v>0</v>
      </c>
      <c r="AL141" s="1">
        <f ca="1">SUMIFS('Fluxo de Caixa dos Acionistas'!$52:$52,'Fluxo de Caixa dos Acionistas'!$1:$1,AL$135)/1000</f>
        <v>0</v>
      </c>
      <c r="AM141" s="1">
        <f ca="1">SUMIFS('Fluxo de Caixa dos Acionistas'!$52:$52,'Fluxo de Caixa dos Acionistas'!$1:$1,AM$135)/1000</f>
        <v>0</v>
      </c>
      <c r="AN141" s="1">
        <f ca="1">SUMIFS('Fluxo de Caixa dos Acionistas'!$52:$52,'Fluxo de Caixa dos Acionistas'!$1:$1,AN$135)/1000</f>
        <v>0</v>
      </c>
      <c r="AO141" s="1">
        <f ca="1">SUMIFS('Fluxo de Caixa dos Acionistas'!$52:$52,'Fluxo de Caixa dos Acionistas'!$1:$1,AO$135)/1000</f>
        <v>0</v>
      </c>
      <c r="AP141" s="1">
        <f ca="1">SUMIFS('Fluxo de Caixa dos Acionistas'!$52:$52,'Fluxo de Caixa dos Acionistas'!$1:$1,AP$135)/1000</f>
        <v>0</v>
      </c>
      <c r="AQ141" s="1">
        <f ca="1">SUMIFS('Fluxo de Caixa dos Acionistas'!$52:$52,'Fluxo de Caixa dos Acionistas'!$1:$1,AQ$135)/1000</f>
        <v>0</v>
      </c>
    </row>
    <row r="142" spans="1:44" x14ac:dyDescent="0.3">
      <c r="A142" t="s">
        <v>529</v>
      </c>
      <c r="B142" s="1">
        <f ca="1">SUMIFS('Fluxo de Caixa dos Acionistas'!$59:$59,'Fluxo de Caixa dos Acionistas'!$1:$1,B$135)/1000</f>
        <v>6519.9070604262215</v>
      </c>
      <c r="C142" s="1">
        <f ca="1">SUMIFS('Fluxo de Caixa dos Acionistas'!$59:$59,'Fluxo de Caixa dos Acionistas'!$1:$1,C$135)/1000</f>
        <v>8510.5037651665207</v>
      </c>
      <c r="D142" s="1">
        <f ca="1">SUMIFS('Fluxo de Caixa dos Acionistas'!$59:$59,'Fluxo de Caixa dos Acionistas'!$1:$1,D$135)/1000</f>
        <v>8225.2421734176714</v>
      </c>
      <c r="E142" s="1">
        <f ca="1">SUMIFS('Fluxo de Caixa dos Acionistas'!$59:$59,'Fluxo de Caixa dos Acionistas'!$1:$1,E$135)/1000</f>
        <v>8204.4420744184481</v>
      </c>
      <c r="F142" s="1">
        <f ca="1">SUMIFS('Fluxo de Caixa dos Acionistas'!$59:$59,'Fluxo de Caixa dos Acionistas'!$1:$1,F$135)/1000</f>
        <v>7499.0623427402843</v>
      </c>
      <c r="G142" s="1">
        <f ca="1">SUMIFS('Fluxo de Caixa dos Acionistas'!$59:$59,'Fluxo de Caixa dos Acionistas'!$1:$1,G$135)/1000</f>
        <v>7499.0444641840459</v>
      </c>
      <c r="H142" s="1">
        <f ca="1">SUMIFS('Fluxo de Caixa dos Acionistas'!$59:$59,'Fluxo de Caixa dos Acionistas'!$1:$1,H$135)/1000</f>
        <v>6809.3094364700919</v>
      </c>
      <c r="I142" s="1">
        <f ca="1">SUMIFS('Fluxo de Caixa dos Acionistas'!$59:$59,'Fluxo de Caixa dos Acionistas'!$1:$1,I$135)/1000</f>
        <v>5809.9956588232226</v>
      </c>
      <c r="J142" s="1">
        <f ca="1">SUMIFS('Fluxo de Caixa dos Acionistas'!$59:$59,'Fluxo de Caixa dos Acionistas'!$1:$1,J$135)/1000</f>
        <v>5165.4700594358692</v>
      </c>
      <c r="K142" s="1">
        <f ca="1">SUMIFS('Fluxo de Caixa dos Acionistas'!$59:$59,'Fluxo de Caixa dos Acionistas'!$1:$1,K$135)/1000</f>
        <v>4483.7688145671254</v>
      </c>
      <c r="L142" s="1">
        <f ca="1">SUMIFS('Fluxo de Caixa dos Acionistas'!$59:$59,'Fluxo de Caixa dos Acionistas'!$1:$1,L$135)/1000</f>
        <v>4052.7041801018704</v>
      </c>
      <c r="M142" s="1">
        <f ca="1">SUMIFS('Fluxo de Caixa dos Acionistas'!$59:$59,'Fluxo de Caixa dos Acionistas'!$1:$1,M$135)/1000</f>
        <v>3570.3571302029882</v>
      </c>
      <c r="N142" s="1">
        <f ca="1">SUMIFS('Fluxo de Caixa dos Acionistas'!$59:$59,'Fluxo de Caixa dos Acionistas'!$1:$1,N$135)/1000</f>
        <v>3064.274513145851</v>
      </c>
      <c r="O142" s="1">
        <f ca="1">SUMIFS('Fluxo de Caixa dos Acionistas'!$59:$59,'Fluxo de Caixa dos Acionistas'!$1:$1,O$135)/1000</f>
        <v>2609.6731173974267</v>
      </c>
      <c r="P142" s="1">
        <f ca="1">SUMIFS('Fluxo de Caixa dos Acionistas'!$59:$59,'Fluxo de Caixa dos Acionistas'!$1:$1,P$135)/1000</f>
        <v>2372.8536769910024</v>
      </c>
      <c r="Q142" s="1">
        <f ca="1">SUMIFS('Fluxo de Caixa dos Acionistas'!$59:$59,'Fluxo de Caixa dos Acionistas'!$1:$1,Q$135)/1000</f>
        <v>2255.7810008163956</v>
      </c>
      <c r="R142" s="1">
        <f ca="1">SUMIFS('Fluxo de Caixa dos Acionistas'!$59:$59,'Fluxo de Caixa dos Acionistas'!$1:$1,R$135)/1000</f>
        <v>1817.1500367568526</v>
      </c>
      <c r="S142" s="1">
        <f ca="1">SUMIFS('Fluxo de Caixa dos Acionistas'!$59:$59,'Fluxo de Caixa dos Acionistas'!$1:$1,S$135)/1000</f>
        <v>1646.1534707335131</v>
      </c>
      <c r="T142" s="1">
        <f ca="1">SUMIFS('Fluxo de Caixa dos Acionistas'!$59:$59,'Fluxo de Caixa dos Acionistas'!$1:$1,T$135)/1000</f>
        <v>1501.0979992693317</v>
      </c>
      <c r="U142" s="1">
        <f ca="1">SUMIFS('Fluxo de Caixa dos Acionistas'!$59:$59,'Fluxo de Caixa dos Acionistas'!$1:$1,U$135)/1000</f>
        <v>1355.2138917801551</v>
      </c>
      <c r="V142" s="1">
        <f ca="1">SUMIFS('Fluxo de Caixa dos Acionistas'!$59:$59,'Fluxo de Caixa dos Acionistas'!$1:$1,V$135)/1000</f>
        <v>1247.1084035613974</v>
      </c>
      <c r="W142" s="1">
        <f ca="1">SUMIFS('Fluxo de Caixa dos Acionistas'!$59:$59,'Fluxo de Caixa dos Acionistas'!$1:$1,W$135)/1000</f>
        <v>1107.7243088907619</v>
      </c>
      <c r="X142" s="1">
        <f ca="1">SUMIFS('Fluxo de Caixa dos Acionistas'!$59:$59,'Fluxo de Caixa dos Acionistas'!$1:$1,X$135)/1000</f>
        <v>1023.1654693593143</v>
      </c>
      <c r="Y142" s="1">
        <f ca="1">SUMIFS('Fluxo de Caixa dos Acionistas'!$59:$59,'Fluxo de Caixa dos Acionistas'!$1:$1,Y$135)/1000</f>
        <v>949.33531993794509</v>
      </c>
      <c r="Z142" s="1">
        <f ca="1">SUMIFS('Fluxo de Caixa dos Acionistas'!$59:$59,'Fluxo de Caixa dos Acionistas'!$1:$1,Z$135)/1000</f>
        <v>895.1108220403695</v>
      </c>
      <c r="AA142" s="1">
        <f ca="1">SUMIFS('Fluxo de Caixa dos Acionistas'!$59:$59,'Fluxo de Caixa dos Acionistas'!$1:$1,AA$135)/1000</f>
        <v>765.29796073941714</v>
      </c>
      <c r="AB142" s="1">
        <f ca="1">SUMIFS('Fluxo de Caixa dos Acionistas'!$59:$59,'Fluxo de Caixa dos Acionistas'!$1:$1,AB$135)/1000</f>
        <v>636.87711550157815</v>
      </c>
      <c r="AC142" s="1">
        <f ca="1">SUMIFS('Fluxo de Caixa dos Acionistas'!$59:$59,'Fluxo de Caixa dos Acionistas'!$1:$1,AC$135)/1000</f>
        <v>780.08367980064691</v>
      </c>
      <c r="AD142" s="1">
        <f ca="1">SUMIFS('Fluxo de Caixa dos Acionistas'!$59:$59,'Fluxo de Caixa dos Acionistas'!$1:$1,AD$135)/1000</f>
        <v>776.46008379536931</v>
      </c>
      <c r="AE142" s="1">
        <f ca="1">SUMIFS('Fluxo de Caixa dos Acionistas'!$59:$59,'Fluxo de Caixa dos Acionistas'!$1:$1,AE$135)/1000</f>
        <v>0</v>
      </c>
      <c r="AF142" s="1">
        <f ca="1">SUMIFS('Fluxo de Caixa dos Acionistas'!$59:$59,'Fluxo de Caixa dos Acionistas'!$1:$1,AF$135)/1000</f>
        <v>0</v>
      </c>
      <c r="AG142" s="1">
        <f ca="1">SUMIFS('Fluxo de Caixa dos Acionistas'!$59:$59,'Fluxo de Caixa dos Acionistas'!$1:$1,AG$135)/1000</f>
        <v>0</v>
      </c>
      <c r="AH142" s="1">
        <f ca="1">SUMIFS('Fluxo de Caixa dos Acionistas'!$59:$59,'Fluxo de Caixa dos Acionistas'!$1:$1,AH$135)/1000</f>
        <v>0</v>
      </c>
      <c r="AI142" s="1">
        <f ca="1">SUMIFS('Fluxo de Caixa dos Acionistas'!$59:$59,'Fluxo de Caixa dos Acionistas'!$1:$1,AI$135)/1000</f>
        <v>0</v>
      </c>
      <c r="AJ142" s="1">
        <f ca="1">SUMIFS('Fluxo de Caixa dos Acionistas'!$59:$59,'Fluxo de Caixa dos Acionistas'!$1:$1,AJ$135)/1000</f>
        <v>0</v>
      </c>
      <c r="AK142" s="1">
        <f ca="1">SUMIFS('Fluxo de Caixa dos Acionistas'!$59:$59,'Fluxo de Caixa dos Acionistas'!$1:$1,AK$135)/1000</f>
        <v>0</v>
      </c>
      <c r="AL142" s="1">
        <f ca="1">SUMIFS('Fluxo de Caixa dos Acionistas'!$59:$59,'Fluxo de Caixa dos Acionistas'!$1:$1,AL$135)/1000</f>
        <v>0</v>
      </c>
      <c r="AM142" s="1">
        <f ca="1">SUMIFS('Fluxo de Caixa dos Acionistas'!$59:$59,'Fluxo de Caixa dos Acionistas'!$1:$1,AM$135)/1000</f>
        <v>0</v>
      </c>
      <c r="AN142" s="1">
        <f ca="1">SUMIFS('Fluxo de Caixa dos Acionistas'!$59:$59,'Fluxo de Caixa dos Acionistas'!$1:$1,AN$135)/1000</f>
        <v>0</v>
      </c>
      <c r="AO142" s="1">
        <f ca="1">SUMIFS('Fluxo de Caixa dos Acionistas'!$59:$59,'Fluxo de Caixa dos Acionistas'!$1:$1,AO$135)/1000</f>
        <v>0</v>
      </c>
      <c r="AP142" s="1">
        <f ca="1">SUMIFS('Fluxo de Caixa dos Acionistas'!$59:$59,'Fluxo de Caixa dos Acionistas'!$1:$1,AP$135)/1000</f>
        <v>0</v>
      </c>
      <c r="AQ142" s="1">
        <f ca="1">SUMIFS('Fluxo de Caixa dos Acionistas'!$59:$59,'Fluxo de Caixa dos Acionistas'!$1:$1,AQ$135)/1000</f>
        <v>0</v>
      </c>
    </row>
    <row r="143" spans="1:44" x14ac:dyDescent="0.3">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4" x14ac:dyDescent="0.3">
      <c r="A144" t="s">
        <v>530</v>
      </c>
      <c r="B144" s="1">
        <f ca="1">SUMIFS('Fluxo de Caixa dos Acionistas'!73:73,'Fluxo de Caixa dos Acionistas'!$1:$1,B$135)/1000</f>
        <v>1596.9531915402797</v>
      </c>
      <c r="C144" s="1">
        <f ca="1">SUMIFS('Fluxo de Caixa dos Acionistas'!73:73,'Fluxo de Caixa dos Acionistas'!$1:$1,C$135)/1000</f>
        <v>1891.224984240544</v>
      </c>
      <c r="D144" s="1">
        <f ca="1">SUMIFS('Fluxo de Caixa dos Acionistas'!73:73,'Fluxo de Caixa dos Acionistas'!$1:$1,D$135)/1000</f>
        <v>2219.4582125376492</v>
      </c>
      <c r="E144" s="1">
        <f ca="1">SUMIFS('Fluxo de Caixa dos Acionistas'!73:73,'Fluxo de Caixa dos Acionistas'!$1:$1,E$135)/1000</f>
        <v>2392.3301476040915</v>
      </c>
      <c r="F144" s="1">
        <f ca="1">SUMIFS('Fluxo de Caixa dos Acionistas'!73:73,'Fluxo de Caixa dos Acionistas'!$1:$1,F$135)/1000</f>
        <v>2655.3508833659366</v>
      </c>
      <c r="G144" s="1">
        <f ca="1">SUMIFS('Fluxo de Caixa dos Acionistas'!73:73,'Fluxo de Caixa dos Acionistas'!$1:$1,G$135)/1000</f>
        <v>2587.6981410118365</v>
      </c>
      <c r="H144" s="1">
        <f ca="1">SUMIFS('Fluxo de Caixa dos Acionistas'!73:73,'Fluxo de Caixa dos Acionistas'!$1:$1,H$135)/1000</f>
        <v>2369.0125761991999</v>
      </c>
      <c r="I144" s="1">
        <f ca="1">SUMIFS('Fluxo de Caixa dos Acionistas'!73:73,'Fluxo de Caixa dos Acionistas'!$1:$1,I$135)/1000</f>
        <v>2064.7267952979869</v>
      </c>
      <c r="J144" s="1">
        <f ca="1">SUMIFS('Fluxo de Caixa dos Acionistas'!73:73,'Fluxo de Caixa dos Acionistas'!$1:$1,J$135)/1000</f>
        <v>1828.137374014656</v>
      </c>
      <c r="K144" s="1">
        <f ca="1">SUMIFS('Fluxo de Caixa dos Acionistas'!73:73,'Fluxo de Caixa dos Acionistas'!$1:$1,K$135)/1000</f>
        <v>1639.3550532193231</v>
      </c>
      <c r="L144" s="1">
        <f ca="1">SUMIFS('Fluxo de Caixa dos Acionistas'!73:73,'Fluxo de Caixa dos Acionistas'!$1:$1,L$135)/1000</f>
        <v>1457.6845995409428</v>
      </c>
      <c r="M144" s="1">
        <f ca="1">SUMIFS('Fluxo de Caixa dos Acionistas'!73:73,'Fluxo de Caixa dos Acionistas'!$1:$1,M$135)/1000</f>
        <v>1283.1199727102191</v>
      </c>
      <c r="N144" s="1">
        <f ca="1">SUMIFS('Fluxo de Caixa dos Acionistas'!73:73,'Fluxo de Caixa dos Acionistas'!$1:$1,N$135)/1000</f>
        <v>1140.9963347259759</v>
      </c>
      <c r="O144" s="1">
        <f ca="1">SUMIFS('Fluxo de Caixa dos Acionistas'!73:73,'Fluxo de Caixa dos Acionistas'!$1:$1,O$135)/1000</f>
        <v>1046.6193330039277</v>
      </c>
      <c r="P144" s="1">
        <f ca="1">SUMIFS('Fluxo de Caixa dos Acionistas'!73:73,'Fluxo de Caixa dos Acionistas'!$1:$1,P$135)/1000</f>
        <v>932.58941753807062</v>
      </c>
      <c r="Q144" s="1">
        <f ca="1">SUMIFS('Fluxo de Caixa dos Acionistas'!73:73,'Fluxo de Caixa dos Acionistas'!$1:$1,Q$135)/1000</f>
        <v>761.804332869164</v>
      </c>
      <c r="R144" s="1">
        <f ca="1">SUMIFS('Fluxo de Caixa dos Acionistas'!73:73,'Fluxo de Caixa dos Acionistas'!$1:$1,R$135)/1000</f>
        <v>696.69733130685336</v>
      </c>
      <c r="S144" s="1">
        <f ca="1">SUMIFS('Fluxo de Caixa dos Acionistas'!73:73,'Fluxo de Caixa dos Acionistas'!$1:$1,S$135)/1000</f>
        <v>643.18237575193064</v>
      </c>
      <c r="T144" s="1">
        <f ca="1">SUMIFS('Fluxo de Caixa dos Acionistas'!73:73,'Fluxo de Caixa dos Acionistas'!$1:$1,T$135)/1000</f>
        <v>595.39629467051498</v>
      </c>
      <c r="U144" s="1">
        <f ca="1">SUMIFS('Fluxo de Caixa dos Acionistas'!73:73,'Fluxo de Caixa dos Acionistas'!$1:$1,U$135)/1000</f>
        <v>564.35475797985077</v>
      </c>
      <c r="V144" s="1">
        <f ca="1">SUMIFS('Fluxo de Caixa dos Acionistas'!73:73,'Fluxo de Caixa dos Acionistas'!$1:$1,V$135)/1000</f>
        <v>528.54482289560906</v>
      </c>
      <c r="W144" s="1">
        <f ca="1">SUMIFS('Fluxo de Caixa dos Acionistas'!73:73,'Fluxo de Caixa dos Acionistas'!$1:$1,W$135)/1000</f>
        <v>521.83892808162614</v>
      </c>
      <c r="X144" s="1">
        <f ca="1">SUMIFS('Fluxo de Caixa dos Acionistas'!73:73,'Fluxo de Caixa dos Acionistas'!$1:$1,X$135)/1000</f>
        <v>528.27217103676367</v>
      </c>
      <c r="Y144" s="1">
        <f ca="1">SUMIFS('Fluxo de Caixa dos Acionistas'!73:73,'Fluxo de Caixa dos Acionistas'!$1:$1,Y$135)/1000</f>
        <v>547.8347497868856</v>
      </c>
      <c r="Z144" s="1">
        <f ca="1">SUMIFS('Fluxo de Caixa dos Acionistas'!73:73,'Fluxo de Caixa dos Acionistas'!$1:$1,Z$135)/1000</f>
        <v>553.6994209799501</v>
      </c>
      <c r="AA144" s="1">
        <f ca="1">SUMIFS('Fluxo de Caixa dos Acionistas'!73:73,'Fluxo de Caixa dos Acionistas'!$1:$1,AA$135)/1000</f>
        <v>603.08183312543747</v>
      </c>
      <c r="AB144" s="1">
        <f ca="1">SUMIFS('Fluxo de Caixa dos Acionistas'!73:73,'Fluxo de Caixa dos Acionistas'!$1:$1,AB$135)/1000</f>
        <v>717.3235814515607</v>
      </c>
      <c r="AC144" s="1">
        <f ca="1">SUMIFS('Fluxo de Caixa dos Acionistas'!73:73,'Fluxo de Caixa dos Acionistas'!$1:$1,AC$135)/1000</f>
        <v>453.47301428149234</v>
      </c>
      <c r="AD144" s="1">
        <f ca="1">SUMIFS('Fluxo de Caixa dos Acionistas'!73:73,'Fluxo de Caixa dos Acionistas'!$1:$1,AD$135)/1000</f>
        <v>10.173088515200186</v>
      </c>
      <c r="AE144" s="1">
        <f ca="1">SUMIFS('Fluxo de Caixa dos Acionistas'!73:73,'Fluxo de Caixa dos Acionistas'!$1:$1,AE$135)/1000</f>
        <v>0</v>
      </c>
      <c r="AF144" s="1">
        <f ca="1">SUMIFS('Fluxo de Caixa dos Acionistas'!73:73,'Fluxo de Caixa dos Acionistas'!$1:$1,AF$135)/1000</f>
        <v>0</v>
      </c>
      <c r="AG144" s="1">
        <f ca="1">SUMIFS('Fluxo de Caixa dos Acionistas'!73:73,'Fluxo de Caixa dos Acionistas'!$1:$1,AG$135)/1000</f>
        <v>0</v>
      </c>
      <c r="AH144" s="1">
        <f ca="1">SUMIFS('Fluxo de Caixa dos Acionistas'!73:73,'Fluxo de Caixa dos Acionistas'!$1:$1,AH$135)/1000</f>
        <v>0</v>
      </c>
      <c r="AI144" s="1">
        <f ca="1">SUMIFS('Fluxo de Caixa dos Acionistas'!73:73,'Fluxo de Caixa dos Acionistas'!$1:$1,AI$135)/1000</f>
        <v>0</v>
      </c>
      <c r="AJ144" s="1">
        <f ca="1">SUMIFS('Fluxo de Caixa dos Acionistas'!73:73,'Fluxo de Caixa dos Acionistas'!$1:$1,AJ$135)/1000</f>
        <v>0</v>
      </c>
      <c r="AK144" s="1">
        <f ca="1">SUMIFS('Fluxo de Caixa dos Acionistas'!73:73,'Fluxo de Caixa dos Acionistas'!$1:$1,AK$135)/1000</f>
        <v>0</v>
      </c>
      <c r="AL144" s="1">
        <f ca="1">SUMIFS('Fluxo de Caixa dos Acionistas'!73:73,'Fluxo de Caixa dos Acionistas'!$1:$1,AL$135)/1000</f>
        <v>0</v>
      </c>
      <c r="AM144" s="1">
        <f ca="1">SUMIFS('Fluxo de Caixa dos Acionistas'!73:73,'Fluxo de Caixa dos Acionistas'!$1:$1,AM$135)/1000</f>
        <v>0</v>
      </c>
      <c r="AN144" s="1">
        <f ca="1">SUMIFS('Fluxo de Caixa dos Acionistas'!73:73,'Fluxo de Caixa dos Acionistas'!$1:$1,AN$135)/1000</f>
        <v>0</v>
      </c>
      <c r="AO144" s="1">
        <f ca="1">SUMIFS('Fluxo de Caixa dos Acionistas'!73:73,'Fluxo de Caixa dos Acionistas'!$1:$1,AO$135)/1000</f>
        <v>0</v>
      </c>
      <c r="AP144" s="1">
        <f ca="1">SUMIFS('Fluxo de Caixa dos Acionistas'!73:73,'Fluxo de Caixa dos Acionistas'!$1:$1,AP$135)/1000</f>
        <v>0</v>
      </c>
      <c r="AQ144" s="1">
        <f ca="1">SUMIFS('Fluxo de Caixa dos Acionistas'!73:73,'Fluxo de Caixa dos Acionistas'!$1:$1,AQ$135)/1000</f>
        <v>0</v>
      </c>
    </row>
    <row r="145" spans="1:43" x14ac:dyDescent="0.3">
      <c r="A145" t="s">
        <v>15</v>
      </c>
      <c r="B145" s="1">
        <f ca="1">SUMIFS('Fluxo de Caixa dos Acionistas'!74:74,'Fluxo de Caixa dos Acionistas'!$1:$1,B$135)/1000</f>
        <v>-57.710249999999988</v>
      </c>
      <c r="C145" s="1">
        <f ca="1">SUMIFS('Fluxo de Caixa dos Acionistas'!74:74,'Fluxo de Caixa dos Acionistas'!$1:$1,C$135)/1000</f>
        <v>-58.866841799999989</v>
      </c>
      <c r="D145" s="1">
        <f ca="1">SUMIFS('Fluxo de Caixa dos Acionistas'!74:74,'Fluxo de Caixa dos Acionistas'!$1:$1,D$135)/1000</f>
        <v>-121.7268</v>
      </c>
      <c r="E145" s="1">
        <f ca="1">SUMIFS('Fluxo de Caixa dos Acionistas'!74:74,'Fluxo de Caixa dos Acionistas'!$1:$1,E$135)/1000</f>
        <v>0</v>
      </c>
      <c r="F145" s="1">
        <f ca="1">SUMIFS('Fluxo de Caixa dos Acionistas'!74:74,'Fluxo de Caixa dos Acionistas'!$1:$1,F$135)/1000</f>
        <v>-64.588726987199991</v>
      </c>
      <c r="G145" s="1">
        <f ca="1">SUMIFS('Fluxo de Caixa dos Acionistas'!74:74,'Fluxo de Caixa dos Acionistas'!$1:$1,G$135)/1000</f>
        <v>-66.526388796815993</v>
      </c>
      <c r="H145" s="1">
        <f ca="1">SUMIFS('Fluxo de Caixa dos Acionistas'!74:74,'Fluxo de Caixa dos Acionistas'!$1:$1,H$135)/1000</f>
        <v>0</v>
      </c>
      <c r="I145" s="1">
        <f ca="1">SUMIFS('Fluxo de Caixa dos Acionistas'!74:74,'Fluxo de Caixa dos Acionistas'!$1:$1,I$135)/1000</f>
        <v>0</v>
      </c>
      <c r="J145" s="1">
        <f ca="1">SUMIFS('Fluxo de Caixa dos Acionistas'!74:74,'Fluxo de Caixa dos Acionistas'!$1:$1,J$135)/1000</f>
        <v>0</v>
      </c>
      <c r="K145" s="1">
        <f ca="1">SUMIFS('Fluxo de Caixa dos Acionistas'!74:74,'Fluxo de Caixa dos Acionistas'!$1:$1,K$135)/1000</f>
        <v>0</v>
      </c>
      <c r="L145" s="1">
        <f ca="1">SUMIFS('Fluxo de Caixa dos Acionistas'!74:74,'Fluxo de Caixa dos Acionistas'!$1:$1,L$135)/1000</f>
        <v>0</v>
      </c>
      <c r="M145" s="1">
        <f ca="1">SUMIFS('Fluxo de Caixa dos Acionistas'!74:74,'Fluxo de Caixa dos Acionistas'!$1:$1,M$135)/1000</f>
        <v>0</v>
      </c>
      <c r="N145" s="1">
        <f ca="1">SUMIFS('Fluxo de Caixa dos Acionistas'!74:74,'Fluxo de Caixa dos Acionistas'!$1:$1,N$135)/1000</f>
        <v>0</v>
      </c>
      <c r="O145" s="1">
        <f ca="1">SUMIFS('Fluxo de Caixa dos Acionistas'!74:74,'Fluxo de Caixa dos Acionistas'!$1:$1,O$135)/1000</f>
        <v>0</v>
      </c>
      <c r="P145" s="1">
        <f ca="1">SUMIFS('Fluxo de Caixa dos Acionistas'!74:74,'Fluxo de Caixa dos Acionistas'!$1:$1,P$135)/1000</f>
        <v>0</v>
      </c>
      <c r="Q145" s="1">
        <f ca="1">SUMIFS('Fluxo de Caixa dos Acionistas'!74:74,'Fluxo de Caixa dos Acionistas'!$1:$1,Q$135)/1000</f>
        <v>0</v>
      </c>
      <c r="R145" s="1">
        <f ca="1">SUMIFS('Fluxo de Caixa dos Acionistas'!74:74,'Fluxo de Caixa dos Acionistas'!$1:$1,R$135)/1000</f>
        <v>-732.7692572934875</v>
      </c>
      <c r="S145" s="1">
        <f ca="1">SUMIFS('Fluxo de Caixa dos Acionistas'!74:74,'Fluxo de Caixa dos Acionistas'!$1:$1,S$135)/1000</f>
        <v>0</v>
      </c>
      <c r="T145" s="1">
        <f ca="1">SUMIFS('Fluxo de Caixa dos Acionistas'!74:74,'Fluxo de Caixa dos Acionistas'!$1:$1,T$135)/1000</f>
        <v>0</v>
      </c>
      <c r="U145" s="1">
        <f ca="1">SUMIFS('Fluxo de Caixa dos Acionistas'!74:74,'Fluxo de Caixa dos Acionistas'!$1:$1,U$135)/1000</f>
        <v>0</v>
      </c>
      <c r="V145" s="1">
        <f ca="1">SUMIFS('Fluxo de Caixa dos Acionistas'!74:74,'Fluxo de Caixa dos Acionistas'!$1:$1,V$135)/1000</f>
        <v>0</v>
      </c>
      <c r="W145" s="1">
        <f ca="1">SUMIFS('Fluxo de Caixa dos Acionistas'!74:74,'Fluxo de Caixa dos Acionistas'!$1:$1,W$135)/1000</f>
        <v>0</v>
      </c>
      <c r="X145" s="1">
        <f ca="1">SUMIFS('Fluxo de Caixa dos Acionistas'!74:74,'Fluxo de Caixa dos Acionistas'!$1:$1,X$135)/1000</f>
        <v>0</v>
      </c>
      <c r="Y145" s="1">
        <f ca="1">SUMIFS('Fluxo de Caixa dos Acionistas'!74:74,'Fluxo de Caixa dos Acionistas'!$1:$1,Y$135)/1000</f>
        <v>0</v>
      </c>
      <c r="Z145" s="1">
        <f ca="1">SUMIFS('Fluxo de Caixa dos Acionistas'!74:74,'Fluxo de Caixa dos Acionistas'!$1:$1,Z$135)/1000</f>
        <v>0</v>
      </c>
      <c r="AA145" s="1">
        <f ca="1">SUMIFS('Fluxo de Caixa dos Acionistas'!74:74,'Fluxo de Caixa dos Acionistas'!$1:$1,AA$135)/1000</f>
        <v>0</v>
      </c>
      <c r="AB145" s="1">
        <f ca="1">SUMIFS('Fluxo de Caixa dos Acionistas'!74:74,'Fluxo de Caixa dos Acionistas'!$1:$1,AB$135)/1000</f>
        <v>0</v>
      </c>
      <c r="AC145" s="1">
        <f ca="1">SUMIFS('Fluxo de Caixa dos Acionistas'!74:74,'Fluxo de Caixa dos Acionistas'!$1:$1,AC$135)/1000</f>
        <v>0</v>
      </c>
      <c r="AD145" s="1">
        <f ca="1">SUMIFS('Fluxo de Caixa dos Acionistas'!74:74,'Fluxo de Caixa dos Acionistas'!$1:$1,AD$135)/1000</f>
        <v>0</v>
      </c>
      <c r="AE145" s="1">
        <f ca="1">SUMIFS('Fluxo de Caixa dos Acionistas'!74:74,'Fluxo de Caixa dos Acionistas'!$1:$1,AE$135)/1000</f>
        <v>-10869.625044523464</v>
      </c>
      <c r="AF145" s="1">
        <f ca="1">SUMIFS('Fluxo de Caixa dos Acionistas'!74:74,'Fluxo de Caixa dos Acionistas'!$1:$1,AF$135)/1000</f>
        <v>0</v>
      </c>
      <c r="AG145" s="1">
        <f ca="1">SUMIFS('Fluxo de Caixa dos Acionistas'!74:74,'Fluxo de Caixa dos Acionistas'!$1:$1,AG$135)/1000</f>
        <v>0</v>
      </c>
      <c r="AH145" s="1">
        <f ca="1">SUMIFS('Fluxo de Caixa dos Acionistas'!74:74,'Fluxo de Caixa dos Acionistas'!$1:$1,AH$135)/1000</f>
        <v>0</v>
      </c>
      <c r="AI145" s="1">
        <f ca="1">SUMIFS('Fluxo de Caixa dos Acionistas'!74:74,'Fluxo de Caixa dos Acionistas'!$1:$1,AI$135)/1000</f>
        <v>0</v>
      </c>
      <c r="AJ145" s="1">
        <f ca="1">SUMIFS('Fluxo de Caixa dos Acionistas'!74:74,'Fluxo de Caixa dos Acionistas'!$1:$1,AJ$135)/1000</f>
        <v>0</v>
      </c>
      <c r="AK145" s="1">
        <f ca="1">SUMIFS('Fluxo de Caixa dos Acionistas'!74:74,'Fluxo de Caixa dos Acionistas'!$1:$1,AK$135)/1000</f>
        <v>0</v>
      </c>
      <c r="AL145" s="1">
        <f ca="1">SUMIFS('Fluxo de Caixa dos Acionistas'!74:74,'Fluxo de Caixa dos Acionistas'!$1:$1,AL$135)/1000</f>
        <v>0</v>
      </c>
      <c r="AM145" s="1">
        <f ca="1">SUMIFS('Fluxo de Caixa dos Acionistas'!74:74,'Fluxo de Caixa dos Acionistas'!$1:$1,AM$135)/1000</f>
        <v>0</v>
      </c>
      <c r="AN145" s="1">
        <f ca="1">SUMIFS('Fluxo de Caixa dos Acionistas'!74:74,'Fluxo de Caixa dos Acionistas'!$1:$1,AN$135)/1000</f>
        <v>0</v>
      </c>
      <c r="AO145" s="1">
        <f ca="1">SUMIFS('Fluxo de Caixa dos Acionistas'!74:74,'Fluxo de Caixa dos Acionistas'!$1:$1,AO$135)/1000</f>
        <v>0</v>
      </c>
      <c r="AP145" s="1">
        <f ca="1">SUMIFS('Fluxo de Caixa dos Acionistas'!74:74,'Fluxo de Caixa dos Acionistas'!$1:$1,AP$135)/1000</f>
        <v>0</v>
      </c>
      <c r="AQ145" s="1">
        <f ca="1">SUMIFS('Fluxo de Caixa dos Acionistas'!74:74,'Fluxo de Caixa dos Acionistas'!$1:$1,AQ$135)/1000</f>
        <v>0</v>
      </c>
    </row>
    <row r="146" spans="1:43" x14ac:dyDescent="0.3">
      <c r="A146" t="s">
        <v>543</v>
      </c>
      <c r="B146" s="1">
        <f ca="1">SUMIFS('Fluxo de Caixa dos Acionistas'!75:75,'Fluxo de Caixa dos Acionistas'!$1:$1,B$135)/1000</f>
        <v>-1082.6085989700173</v>
      </c>
      <c r="C146" s="1">
        <f ca="1">SUMIFS('Fluxo de Caixa dos Acionistas'!75:75,'Fluxo de Caixa dos Acionistas'!$1:$1,C$135)/1000</f>
        <v>-580.48134218906705</v>
      </c>
      <c r="D146" s="1">
        <f ca="1">SUMIFS('Fluxo de Caixa dos Acionistas'!75:75,'Fluxo de Caixa dos Acionistas'!$1:$1,D$135)/1000</f>
        <v>34.394185195168482</v>
      </c>
      <c r="E146" s="1">
        <f ca="1">SUMIFS('Fluxo de Caixa dos Acionistas'!75:75,'Fluxo de Caixa dos Acionistas'!$1:$1,E$135)/1000</f>
        <v>-15.756499500703532</v>
      </c>
      <c r="F146" s="1">
        <f ca="1">SUMIFS('Fluxo de Caixa dos Acionistas'!75:75,'Fluxo de Caixa dos Acionistas'!$1:$1,F$135)/1000</f>
        <v>200.52097917740372</v>
      </c>
      <c r="G146" s="1">
        <f ca="1">SUMIFS('Fluxo de Caixa dos Acionistas'!75:75,'Fluxo de Caixa dos Acionistas'!$1:$1,G$135)/1000</f>
        <v>13.530800975340419</v>
      </c>
      <c r="H146" s="1">
        <f ca="1">SUMIFS('Fluxo de Caixa dos Acionistas'!75:75,'Fluxo de Caixa dos Acionistas'!$1:$1,H$135)/1000</f>
        <v>287.95682717192636</v>
      </c>
      <c r="I146" s="1">
        <f ca="1">SUMIFS('Fluxo de Caixa dos Acionistas'!75:75,'Fluxo de Caixa dos Acionistas'!$1:$1,I$135)/1000</f>
        <v>403.67556671605769</v>
      </c>
      <c r="J146" s="1">
        <f ca="1">SUMIFS('Fluxo de Caixa dos Acionistas'!75:75,'Fluxo de Caixa dos Acionistas'!$1:$1,J$135)/1000</f>
        <v>244.38426108784438</v>
      </c>
      <c r="K146" s="1">
        <f ca="1">SUMIFS('Fluxo de Caixa dos Acionistas'!75:75,'Fluxo de Caixa dos Acionistas'!$1:$1,K$135)/1000</f>
        <v>196.66342060175981</v>
      </c>
      <c r="L146" s="1">
        <f ca="1">SUMIFS('Fluxo de Caixa dos Acionistas'!75:75,'Fluxo de Caixa dos Acionistas'!$1:$1,L$135)/1000</f>
        <v>168.45813702328411</v>
      </c>
      <c r="M146" s="1">
        <f ca="1">SUMIFS('Fluxo de Caixa dos Acionistas'!75:75,'Fluxo de Caixa dos Acionistas'!$1:$1,M$135)/1000</f>
        <v>171.85625586552359</v>
      </c>
      <c r="N146" s="1">
        <f ca="1">SUMIFS('Fluxo de Caixa dos Acionistas'!75:75,'Fluxo de Caixa dos Acionistas'!$1:$1,N$135)/1000</f>
        <v>176.06042563267403</v>
      </c>
      <c r="O146" s="1">
        <f ca="1">SUMIFS('Fluxo de Caixa dos Acionistas'!75:75,'Fluxo de Caixa dos Acionistas'!$1:$1,O$135)/1000</f>
        <v>147.34130428998614</v>
      </c>
      <c r="P146" s="1">
        <f ca="1">SUMIFS('Fluxo de Caixa dos Acionistas'!75:75,'Fluxo de Caixa dos Acionistas'!$1:$1,P$135)/1000</f>
        <v>107.73225064288185</v>
      </c>
      <c r="Q146" s="1">
        <f ca="1">SUMIFS('Fluxo de Caixa dos Acionistas'!75:75,'Fluxo de Caixa dos Acionistas'!$1:$1,Q$135)/1000</f>
        <v>82.225582530084878</v>
      </c>
      <c r="R146" s="1">
        <f ca="1">SUMIFS('Fluxo de Caixa dos Acionistas'!75:75,'Fluxo de Caixa dos Acionistas'!$1:$1,R$135)/1000</f>
        <v>189.31420478327701</v>
      </c>
      <c r="S146" s="1">
        <f ca="1">SUMIFS('Fluxo de Caixa dos Acionistas'!75:75,'Fluxo de Caixa dos Acionistas'!$1:$1,S$135)/1000</f>
        <v>78.444894486394475</v>
      </c>
      <c r="T146" s="1">
        <f ca="1">SUMIFS('Fluxo de Caixa dos Acionistas'!75:75,'Fluxo de Caixa dos Acionistas'!$1:$1,T$135)/1000</f>
        <v>69.787769434820163</v>
      </c>
      <c r="U146" s="1">
        <f ca="1">SUMIFS('Fluxo de Caixa dos Acionistas'!75:75,'Fluxo de Caixa dos Acionistas'!$1:$1,U$135)/1000</f>
        <v>65.991442436840728</v>
      </c>
      <c r="V146" s="1">
        <f ca="1">SUMIFS('Fluxo de Caixa dos Acionistas'!75:75,'Fluxo de Caixa dos Acionistas'!$1:$1,V$135)/1000</f>
        <v>51.827280256567349</v>
      </c>
      <c r="W146" s="1">
        <f ca="1">SUMIFS('Fluxo de Caixa dos Acionistas'!75:75,'Fluxo de Caixa dos Acionistas'!$1:$1,W$135)/1000</f>
        <v>56.934347450671602</v>
      </c>
      <c r="X146" s="1">
        <f ca="1">SUMIFS('Fluxo de Caixa dos Acionistas'!75:75,'Fluxo de Caixa dos Acionistas'!$1:$1,X$135)/1000</f>
        <v>32.785039290965969</v>
      </c>
      <c r="Y146" s="1">
        <f ca="1">SUMIFS('Fluxo de Caixa dos Acionistas'!75:75,'Fluxo de Caixa dos Acionistas'!$1:$1,Y$135)/1000</f>
        <v>25.605301720787015</v>
      </c>
      <c r="Z146" s="1">
        <f ca="1">SUMIFS('Fluxo de Caixa dos Acionistas'!75:75,'Fluxo de Caixa dos Acionistas'!$1:$1,Z$135)/1000</f>
        <v>22.200317614023195</v>
      </c>
      <c r="AA146" s="1">
        <f ca="1">SUMIFS('Fluxo de Caixa dos Acionistas'!75:75,'Fluxo de Caixa dos Acionistas'!$1:$1,AA$135)/1000</f>
        <v>39.563841039256481</v>
      </c>
      <c r="AB146" s="1">
        <f ca="1">SUMIFS('Fluxo de Caixa dos Acionistas'!75:75,'Fluxo de Caixa dos Acionistas'!$1:$1,AB$135)/1000</f>
        <v>22.550319884034952</v>
      </c>
      <c r="AC146" s="1">
        <f ca="1">SUMIFS('Fluxo de Caixa dos Acionistas'!75:75,'Fluxo de Caixa dos Acionistas'!$1:$1,AC$135)/1000</f>
        <v>14.216320325330628</v>
      </c>
      <c r="AD146" s="1">
        <f ca="1">SUMIFS('Fluxo de Caixa dos Acionistas'!75:75,'Fluxo de Caixa dos Acionistas'!$1:$1,AD$135)/1000</f>
        <v>118.81697771128709</v>
      </c>
      <c r="AE146" s="1">
        <f ca="1">SUMIFS('Fluxo de Caixa dos Acionistas'!75:75,'Fluxo de Caixa dos Acionistas'!$1:$1,AE$135)/1000</f>
        <v>0</v>
      </c>
      <c r="AF146" s="1">
        <f ca="1">SUMIFS('Fluxo de Caixa dos Acionistas'!75:75,'Fluxo de Caixa dos Acionistas'!$1:$1,AF$135)/1000</f>
        <v>0</v>
      </c>
      <c r="AG146" s="1">
        <f ca="1">SUMIFS('Fluxo de Caixa dos Acionistas'!75:75,'Fluxo de Caixa dos Acionistas'!$1:$1,AG$135)/1000</f>
        <v>0</v>
      </c>
      <c r="AH146" s="1">
        <f ca="1">SUMIFS('Fluxo de Caixa dos Acionistas'!75:75,'Fluxo de Caixa dos Acionistas'!$1:$1,AH$135)/1000</f>
        <v>0</v>
      </c>
      <c r="AI146" s="1">
        <f ca="1">SUMIFS('Fluxo de Caixa dos Acionistas'!75:75,'Fluxo de Caixa dos Acionistas'!$1:$1,AI$135)/1000</f>
        <v>0</v>
      </c>
      <c r="AJ146" s="1">
        <f ca="1">SUMIFS('Fluxo de Caixa dos Acionistas'!75:75,'Fluxo de Caixa dos Acionistas'!$1:$1,AJ$135)/1000</f>
        <v>0</v>
      </c>
      <c r="AK146" s="1">
        <f ca="1">SUMIFS('Fluxo de Caixa dos Acionistas'!75:75,'Fluxo de Caixa dos Acionistas'!$1:$1,AK$135)/1000</f>
        <v>0</v>
      </c>
      <c r="AL146" s="1">
        <f ca="1">SUMIFS('Fluxo de Caixa dos Acionistas'!75:75,'Fluxo de Caixa dos Acionistas'!$1:$1,AL$135)/1000</f>
        <v>0</v>
      </c>
      <c r="AM146" s="1">
        <f ca="1">SUMIFS('Fluxo de Caixa dos Acionistas'!75:75,'Fluxo de Caixa dos Acionistas'!$1:$1,AM$135)/1000</f>
        <v>0</v>
      </c>
      <c r="AN146" s="1">
        <f ca="1">SUMIFS('Fluxo de Caixa dos Acionistas'!75:75,'Fluxo de Caixa dos Acionistas'!$1:$1,AN$135)/1000</f>
        <v>0</v>
      </c>
      <c r="AO146" s="1">
        <f ca="1">SUMIFS('Fluxo de Caixa dos Acionistas'!75:75,'Fluxo de Caixa dos Acionistas'!$1:$1,AO$135)/1000</f>
        <v>0</v>
      </c>
      <c r="AP146" s="1">
        <f ca="1">SUMIFS('Fluxo de Caixa dos Acionistas'!75:75,'Fluxo de Caixa dos Acionistas'!$1:$1,AP$135)/1000</f>
        <v>0</v>
      </c>
      <c r="AQ146" s="1">
        <f ca="1">SUMIFS('Fluxo de Caixa dos Acionistas'!75:75,'Fluxo de Caixa dos Acionistas'!$1:$1,AQ$135)/1000</f>
        <v>0</v>
      </c>
    </row>
    <row r="147" spans="1:43" x14ac:dyDescent="0.3">
      <c r="A147" t="s">
        <v>652</v>
      </c>
      <c r="B147" s="1">
        <f t="shared" ref="B147:AQ147" ca="1" si="2">B142+B144+B146+B145</f>
        <v>6976.5414029964832</v>
      </c>
      <c r="C147" s="1">
        <f t="shared" ca="1" si="2"/>
        <v>9762.3805654179978</v>
      </c>
      <c r="D147" s="1">
        <f t="shared" ca="1" si="2"/>
        <v>10357.367771150488</v>
      </c>
      <c r="E147" s="1">
        <f t="shared" ca="1" si="2"/>
        <v>10581.015722521837</v>
      </c>
      <c r="F147" s="1">
        <f t="shared" ca="1" si="2"/>
        <v>10290.345478296424</v>
      </c>
      <c r="G147" s="1">
        <f t="shared" ca="1" si="2"/>
        <v>10033.747017374408</v>
      </c>
      <c r="H147" s="1">
        <f t="shared" ca="1" si="2"/>
        <v>9466.2788398412195</v>
      </c>
      <c r="I147" s="1">
        <f t="shared" ca="1" si="2"/>
        <v>8278.3980208372668</v>
      </c>
      <c r="J147" s="1">
        <f t="shared" ca="1" si="2"/>
        <v>7237.9916945383693</v>
      </c>
      <c r="K147" s="1">
        <f t="shared" ca="1" si="2"/>
        <v>6319.7872883882083</v>
      </c>
      <c r="L147" s="1">
        <f t="shared" ca="1" si="2"/>
        <v>5678.846916666098</v>
      </c>
      <c r="M147" s="1">
        <f t="shared" ca="1" si="2"/>
        <v>5025.3333587787311</v>
      </c>
      <c r="N147" s="1">
        <f t="shared" ca="1" si="2"/>
        <v>4381.331273504501</v>
      </c>
      <c r="O147" s="1">
        <f t="shared" ca="1" si="2"/>
        <v>3803.6337546913405</v>
      </c>
      <c r="P147" s="1">
        <f t="shared" ca="1" si="2"/>
        <v>3413.1753451719551</v>
      </c>
      <c r="Q147" s="1">
        <f t="shared" ca="1" si="2"/>
        <v>3099.8109162156447</v>
      </c>
      <c r="R147" s="1">
        <f t="shared" ca="1" si="2"/>
        <v>1970.3923155534958</v>
      </c>
      <c r="S147" s="1">
        <f t="shared" ca="1" si="2"/>
        <v>2367.780740971838</v>
      </c>
      <c r="T147" s="1">
        <f t="shared" ca="1" si="2"/>
        <v>2166.2820633746669</v>
      </c>
      <c r="U147" s="1">
        <f t="shared" ca="1" si="2"/>
        <v>1985.5600921968467</v>
      </c>
      <c r="V147" s="1">
        <f t="shared" ca="1" si="2"/>
        <v>1827.4805067135737</v>
      </c>
      <c r="W147" s="1">
        <f t="shared" ca="1" si="2"/>
        <v>1686.4975844230596</v>
      </c>
      <c r="X147" s="1">
        <f t="shared" ca="1" si="2"/>
        <v>1584.2226796870439</v>
      </c>
      <c r="Y147" s="1">
        <f t="shared" ca="1" si="2"/>
        <v>1522.7753714456178</v>
      </c>
      <c r="Z147" s="1">
        <f t="shared" ca="1" si="2"/>
        <v>1471.0105606343427</v>
      </c>
      <c r="AA147" s="1">
        <f t="shared" ca="1" si="2"/>
        <v>1407.9436349041109</v>
      </c>
      <c r="AB147" s="1">
        <f t="shared" ca="1" si="2"/>
        <v>1376.7510168371739</v>
      </c>
      <c r="AC147" s="1">
        <f t="shared" ca="1" si="2"/>
        <v>1247.7730144074699</v>
      </c>
      <c r="AD147" s="1">
        <f t="shared" ca="1" si="2"/>
        <v>905.45015002185664</v>
      </c>
      <c r="AE147" s="1">
        <f t="shared" ca="1" si="2"/>
        <v>-10869.625044523464</v>
      </c>
      <c r="AF147" s="1">
        <f t="shared" ca="1" si="2"/>
        <v>0</v>
      </c>
      <c r="AG147" s="1">
        <f t="shared" ca="1" si="2"/>
        <v>0</v>
      </c>
      <c r="AH147" s="1">
        <f t="shared" ca="1" si="2"/>
        <v>0</v>
      </c>
      <c r="AI147" s="1">
        <f t="shared" ca="1" si="2"/>
        <v>0</v>
      </c>
      <c r="AJ147" s="1">
        <f t="shared" ca="1" si="2"/>
        <v>0</v>
      </c>
      <c r="AK147" s="1">
        <f t="shared" ca="1" si="2"/>
        <v>0</v>
      </c>
      <c r="AL147" s="1">
        <f t="shared" ca="1" si="2"/>
        <v>0</v>
      </c>
      <c r="AM147" s="1">
        <f t="shared" ca="1" si="2"/>
        <v>0</v>
      </c>
      <c r="AN147" s="1">
        <f t="shared" ca="1" si="2"/>
        <v>0</v>
      </c>
      <c r="AO147" s="1">
        <f t="shared" ca="1" si="2"/>
        <v>0</v>
      </c>
      <c r="AP147" s="1">
        <f t="shared" ca="1" si="2"/>
        <v>0</v>
      </c>
      <c r="AQ147" s="1">
        <f t="shared" ca="1" si="2"/>
        <v>0</v>
      </c>
    </row>
    <row r="148" spans="1:43" x14ac:dyDescent="0.3">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x14ac:dyDescent="0.3">
      <c r="A149" t="s">
        <v>98</v>
      </c>
      <c r="B149" s="1">
        <f ca="1">SUMIFS('Fluxo de Caixa dos Acionistas'!78:78,'Fluxo de Caixa dos Acionistas'!$1:$1,B$135)/1000</f>
        <v>-2927.860289411361</v>
      </c>
      <c r="C149" s="1">
        <f ca="1">SUMIFS('Fluxo de Caixa dos Acionistas'!78:78,'Fluxo de Caixa dos Acionistas'!$1:$1,C$135)/1000</f>
        <v>-2358.6130355949017</v>
      </c>
      <c r="D149" s="1">
        <f ca="1">SUMIFS('Fluxo de Caixa dos Acionistas'!78:78,'Fluxo de Caixa dos Acionistas'!$1:$1,D$135)/1000</f>
        <v>-3249.675955458556</v>
      </c>
      <c r="E149" s="1">
        <f ca="1">SUMIFS('Fluxo de Caixa dos Acionistas'!78:78,'Fluxo de Caixa dos Acionistas'!$1:$1,E$135)/1000</f>
        <v>-905.21040074048778</v>
      </c>
      <c r="F149" s="1">
        <f ca="1">SUMIFS('Fluxo de Caixa dos Acionistas'!78:78,'Fluxo de Caixa dos Acionistas'!$1:$1,F$135)/1000</f>
        <v>-756.65530500743444</v>
      </c>
      <c r="G149" s="1">
        <f ca="1">SUMIFS('Fluxo de Caixa dos Acionistas'!78:78,'Fluxo de Caixa dos Acionistas'!$1:$1,G$135)/1000</f>
        <v>-57.008682623194545</v>
      </c>
      <c r="H149" s="1">
        <f ca="1">SUMIFS('Fluxo de Caixa dos Acionistas'!78:78,'Fluxo de Caixa dos Acionistas'!$1:$1,H$135)/1000</f>
        <v>455.04675059220978</v>
      </c>
      <c r="I149" s="1">
        <f ca="1">SUMIFS('Fluxo de Caixa dos Acionistas'!78:78,'Fluxo de Caixa dos Acionistas'!$1:$1,I$135)/1000</f>
        <v>684.51553455207568</v>
      </c>
      <c r="J149" s="1">
        <f ca="1">SUMIFS('Fluxo de Caixa dos Acionistas'!78:78,'Fluxo de Caixa dos Acionistas'!$1:$1,J$135)/1000</f>
        <v>443.35238758296373</v>
      </c>
      <c r="K149" s="1">
        <f ca="1">SUMIFS('Fluxo de Caixa dos Acionistas'!78:78,'Fluxo de Caixa dos Acionistas'!$1:$1,K$135)/1000</f>
        <v>361.26329089177534</v>
      </c>
      <c r="L149" s="1">
        <f ca="1">SUMIFS('Fluxo de Caixa dos Acionistas'!78:78,'Fluxo de Caixa dos Acionistas'!$1:$1,L$135)/1000</f>
        <v>302.41855638163361</v>
      </c>
      <c r="M149" s="1">
        <f ca="1">SUMIFS('Fluxo de Caixa dos Acionistas'!78:78,'Fluxo de Caixa dos Acionistas'!$1:$1,M$135)/1000</f>
        <v>307.09470968286951</v>
      </c>
      <c r="N149" s="1">
        <f ca="1">SUMIFS('Fluxo de Caixa dos Acionistas'!78:78,'Fluxo de Caixa dos Acionistas'!$1:$1,N$135)/1000</f>
        <v>309.77288108693756</v>
      </c>
      <c r="O149" s="1">
        <f ca="1">SUMIFS('Fluxo de Caixa dos Acionistas'!78:78,'Fluxo de Caixa dos Acionistas'!$1:$1,O$135)/1000</f>
        <v>264.2283705540558</v>
      </c>
      <c r="P149" s="1">
        <f ca="1">SUMIFS('Fluxo de Caixa dos Acionistas'!78:78,'Fluxo de Caixa dos Acionistas'!$1:$1,P$135)/1000</f>
        <v>189.96973478251289</v>
      </c>
      <c r="Q149" s="1">
        <f ca="1">SUMIFS('Fluxo de Caixa dos Acionistas'!78:78,'Fluxo de Caixa dos Acionistas'!$1:$1,Q$135)/1000</f>
        <v>163.81290479372024</v>
      </c>
      <c r="R149" s="1">
        <f ca="1">SUMIFS('Fluxo de Caixa dos Acionistas'!78:78,'Fluxo de Caixa dos Acionistas'!$1:$1,R$135)/1000</f>
        <v>323.08614049065204</v>
      </c>
      <c r="S149" s="1">
        <f ca="1">SUMIFS('Fluxo de Caixa dos Acionistas'!78:78,'Fluxo de Caixa dos Acionistas'!$1:$1,S$135)/1000</f>
        <v>135.81312809331598</v>
      </c>
      <c r="T149" s="1">
        <f ca="1">SUMIFS('Fluxo de Caixa dos Acionistas'!78:78,'Fluxo de Caixa dos Acionistas'!$1:$1,T$135)/1000</f>
        <v>119.15926273211358</v>
      </c>
      <c r="U149" s="1">
        <f ca="1">SUMIFS('Fluxo de Caixa dos Acionistas'!78:78,'Fluxo de Caixa dos Acionistas'!$1:$1,U$135)/1000</f>
        <v>112.71271725237602</v>
      </c>
      <c r="V149" s="1">
        <f ca="1">SUMIFS('Fluxo de Caixa dos Acionistas'!78:78,'Fluxo de Caixa dos Acionistas'!$1:$1,V$135)/1000</f>
        <v>87.207043441012843</v>
      </c>
      <c r="W149" s="1">
        <f ca="1">SUMIFS('Fluxo de Caixa dos Acionistas'!78:78,'Fluxo de Caixa dos Acionistas'!$1:$1,W$135)/1000</f>
        <v>98.541218488193522</v>
      </c>
      <c r="X149" s="1">
        <f ca="1">SUMIFS('Fluxo de Caixa dos Acionistas'!78:78,'Fluxo de Caixa dos Acionistas'!$1:$1,X$135)/1000</f>
        <v>55.90015799925186</v>
      </c>
      <c r="Y149" s="1">
        <f ca="1">SUMIFS('Fluxo de Caixa dos Acionistas'!78:78,'Fluxo de Caixa dos Acionistas'!$1:$1,Y$135)/1000</f>
        <v>43.643323182323911</v>
      </c>
      <c r="Z149" s="1">
        <f ca="1">SUMIFS('Fluxo de Caixa dos Acionistas'!78:78,'Fluxo de Caixa dos Acionistas'!$1:$1,Z$135)/1000</f>
        <v>36.801225964688228</v>
      </c>
      <c r="AA149" s="1">
        <f ca="1">SUMIFS('Fluxo de Caixa dos Acionistas'!78:78,'Fluxo de Caixa dos Acionistas'!$1:$1,AA$135)/1000</f>
        <v>68.462703586833186</v>
      </c>
      <c r="AB149" s="1">
        <f ca="1">SUMIFS('Fluxo de Caixa dos Acionistas'!78:78,'Fluxo de Caixa dos Acionistas'!$1:$1,AB$135)/1000</f>
        <v>38.611285564778086</v>
      </c>
      <c r="AC149" s="1">
        <f ca="1">SUMIFS('Fluxo de Caixa dos Acionistas'!78:78,'Fluxo de Caixa dos Acionistas'!$1:$1,AC$135)/1000</f>
        <v>24.373898111109156</v>
      </c>
      <c r="AD149" s="1">
        <f ca="1">SUMIFS('Fluxo de Caixa dos Acionistas'!78:78,'Fluxo de Caixa dos Acionistas'!$1:$1,AD$135)/1000</f>
        <v>202.19606585288761</v>
      </c>
      <c r="AE149" s="1">
        <f ca="1">SUMIFS('Fluxo de Caixa dos Acionistas'!78:78,'Fluxo de Caixa dos Acionistas'!$1:$1,AE$135)/1000</f>
        <v>0</v>
      </c>
      <c r="AF149" s="1">
        <f ca="1">SUMIFS('Fluxo de Caixa dos Acionistas'!78:78,'Fluxo de Caixa dos Acionistas'!$1:$1,AF$135)/1000</f>
        <v>0</v>
      </c>
      <c r="AG149" s="1">
        <f ca="1">SUMIFS('Fluxo de Caixa dos Acionistas'!78:78,'Fluxo de Caixa dos Acionistas'!$1:$1,AG$135)/1000</f>
        <v>0</v>
      </c>
      <c r="AH149" s="1">
        <f ca="1">SUMIFS('Fluxo de Caixa dos Acionistas'!78:78,'Fluxo de Caixa dos Acionistas'!$1:$1,AH$135)/1000</f>
        <v>0</v>
      </c>
      <c r="AI149" s="1">
        <f ca="1">SUMIFS('Fluxo de Caixa dos Acionistas'!78:78,'Fluxo de Caixa dos Acionistas'!$1:$1,AI$135)/1000</f>
        <v>0</v>
      </c>
      <c r="AJ149" s="1">
        <f ca="1">SUMIFS('Fluxo de Caixa dos Acionistas'!78:78,'Fluxo de Caixa dos Acionistas'!$1:$1,AJ$135)/1000</f>
        <v>0</v>
      </c>
      <c r="AK149" s="1">
        <f ca="1">SUMIFS('Fluxo de Caixa dos Acionistas'!78:78,'Fluxo de Caixa dos Acionistas'!$1:$1,AK$135)/1000</f>
        <v>0</v>
      </c>
      <c r="AL149" s="1">
        <f ca="1">SUMIFS('Fluxo de Caixa dos Acionistas'!78:78,'Fluxo de Caixa dos Acionistas'!$1:$1,AL$135)/1000</f>
        <v>0</v>
      </c>
      <c r="AM149" s="1">
        <f ca="1">SUMIFS('Fluxo de Caixa dos Acionistas'!78:78,'Fluxo de Caixa dos Acionistas'!$1:$1,AM$135)/1000</f>
        <v>0</v>
      </c>
      <c r="AN149" s="1">
        <f ca="1">SUMIFS('Fluxo de Caixa dos Acionistas'!78:78,'Fluxo de Caixa dos Acionistas'!$1:$1,AN$135)/1000</f>
        <v>0</v>
      </c>
      <c r="AO149" s="1">
        <f ca="1">SUMIFS('Fluxo de Caixa dos Acionistas'!78:78,'Fluxo de Caixa dos Acionistas'!$1:$1,AO$135)/1000</f>
        <v>0</v>
      </c>
      <c r="AP149" s="1">
        <f ca="1">SUMIFS('Fluxo de Caixa dos Acionistas'!78:78,'Fluxo de Caixa dos Acionistas'!$1:$1,AP$135)/1000</f>
        <v>0</v>
      </c>
      <c r="AQ149" s="1">
        <f ca="1">SUMIFS('Fluxo de Caixa dos Acionistas'!78:78,'Fluxo de Caixa dos Acionistas'!$1:$1,AQ$135)/1000</f>
        <v>0</v>
      </c>
    </row>
    <row r="150" spans="1:43" x14ac:dyDescent="0.3">
      <c r="A150" t="s">
        <v>653</v>
      </c>
      <c r="B150" s="1">
        <f ca="1">SUMIFS('Fluxo de Caixa dos Acionistas'!$77:$77,'Fluxo de Caixa dos Acionistas'!$1:$1,'Gráficos - Monografia'!B135)/1000</f>
        <v>-2019.9030495151999</v>
      </c>
      <c r="C150" s="1">
        <f ca="1">SUMIFS('Fluxo de Caixa dos Acionistas'!$77:$77,'Fluxo de Caixa dos Acionistas'!$1:$1,'Gráficos - Monografia'!C135)/1000</f>
        <v>-2014.3608885152003</v>
      </c>
      <c r="D150" s="1">
        <f ca="1">SUMIFS('Fluxo de Caixa dos Acionistas'!$77:$77,'Fluxo de Caixa dos Acionistas'!$1:$1,'Gráficos - Monografia'!D135)/1000</f>
        <v>-1632.6527512352004</v>
      </c>
      <c r="E150" s="1">
        <f ca="1">SUMIFS('Fluxo de Caixa dos Acionistas'!$77:$77,'Fluxo de Caixa dos Acionistas'!$1:$1,'Gráficos - Monografia'!E135)/1000</f>
        <v>-1629.5186606791999</v>
      </c>
      <c r="F150" s="1">
        <f ca="1">SUMIFS('Fluxo de Caixa dos Acionistas'!$77:$77,'Fluxo de Caixa dos Acionistas'!$1:$1,'Gráficos - Monografia'!F135)/1000</f>
        <v>-1320.2367267642082</v>
      </c>
      <c r="G150" s="1">
        <f ca="1">SUMIFS('Fluxo de Caixa dos Acionistas'!$77:$77,'Fluxo de Caixa dos Acionistas'!$1:$1,'Gráficos - Monografia'!G135)/1000</f>
        <v>-1373.9583728337916</v>
      </c>
      <c r="H150" s="1">
        <f ca="1">SUMIFS('Fluxo de Caixa dos Acionistas'!$77:$77,'Fluxo de Caixa dos Acionistas'!$1:$1,'Gráficos - Monografia'!H135)/1000</f>
        <v>-245.06946577319829</v>
      </c>
      <c r="I150" s="1">
        <f ca="1">SUMIFS('Fluxo de Caixa dos Acionistas'!$77:$77,'Fluxo de Caixa dos Acionistas'!$1:$1,'Gráficos - Monografia'!I135)/1000</f>
        <v>-252.11032479641904</v>
      </c>
      <c r="J150" s="1">
        <f ca="1">SUMIFS('Fluxo de Caixa dos Acionistas'!$77:$77,'Fluxo de Caixa dos Acionistas'!$1:$1,'Gráficos - Monografia'!J135)/1000</f>
        <v>-259.37465514821037</v>
      </c>
      <c r="K150" s="1">
        <f ca="1">SUMIFS('Fluxo de Caixa dos Acionistas'!$77:$77,'Fluxo de Caixa dos Acionistas'!$1:$1,'Gráficos - Monografia'!K135)/1000</f>
        <v>-266.84430248594526</v>
      </c>
      <c r="L150" s="1">
        <f ca="1">SUMIFS('Fluxo de Caixa dos Acionistas'!$77:$77,'Fluxo de Caixa dos Acionistas'!$1:$1,'Gráficos - Monografia'!L135)/1000</f>
        <v>-274.55103055616064</v>
      </c>
      <c r="M150" s="1">
        <f ca="1">SUMIFS('Fluxo de Caixa dos Acionistas'!$77:$77,'Fluxo de Caixa dos Acionistas'!$1:$1,'Gráficos - Monografia'!M135)/1000</f>
        <v>-282.47557941676365</v>
      </c>
      <c r="N150" s="1">
        <f ca="1">SUMIFS('Fluxo de Caixa dos Acionistas'!$77:$77,'Fluxo de Caixa dos Acionistas'!$1:$1,'Gráficos - Monografia'!N135)/1000</f>
        <v>-290.65164722645522</v>
      </c>
      <c r="O150" s="1">
        <f ca="1">SUMIFS('Fluxo de Caixa dos Acionistas'!$77:$77,'Fluxo de Caixa dos Acionistas'!$1:$1,'Gráficos - Monografia'!O135)/1000</f>
        <v>-187.41423669097779</v>
      </c>
      <c r="P150" s="1">
        <f ca="1">SUMIFS('Fluxo de Caixa dos Acionistas'!$77:$77,'Fluxo de Caixa dos Acionistas'!$1:$1,'Gráficos - Monografia'!P135)/1000</f>
        <v>-192.73889009762883</v>
      </c>
      <c r="Q150" s="1">
        <f ca="1">SUMIFS('Fluxo de Caixa dos Acionistas'!$77:$77,'Fluxo de Caixa dos Acionistas'!$1:$1,'Gráficos - Monografia'!Q135)/1000</f>
        <v>-198.20822261488263</v>
      </c>
      <c r="R150" s="1">
        <f ca="1">SUMIFS('Fluxo de Caixa dos Acionistas'!$77:$77,'Fluxo de Caixa dos Acionistas'!$1:$1,'Gráficos - Monografia'!R135)/1000</f>
        <v>-203.85714741399869</v>
      </c>
      <c r="S150" s="1">
        <f ca="1">SUMIFS('Fluxo de Caixa dos Acionistas'!$77:$77,'Fluxo de Caixa dos Acionistas'!$1:$1,'Gráficos - Monografia'!S135)/1000</f>
        <v>-209.65956228155329</v>
      </c>
      <c r="T150" s="1">
        <f ca="1">SUMIFS('Fluxo de Caixa dos Acionistas'!$77:$77,'Fluxo de Caixa dos Acionistas'!$1:$1,'Gráficos - Monografia'!T135)/1000</f>
        <v>-215.65250660093554</v>
      </c>
      <c r="U150" s="1">
        <f ca="1">SUMIFS('Fluxo de Caixa dos Acionistas'!$77:$77,'Fluxo de Caixa dos Acionistas'!$1:$1,'Gráficos - Monografia'!U135)/1000</f>
        <v>-221.80828853392418</v>
      </c>
      <c r="V150" s="1">
        <f ca="1">SUMIFS('Fluxo de Caixa dos Acionistas'!$77:$77,'Fluxo de Caixa dos Acionistas'!$1:$1,'Gráficos - Monografia'!V135)/1000</f>
        <v>-228.16620316235682</v>
      </c>
      <c r="W150" s="1">
        <f ca="1">SUMIFS('Fluxo de Caixa dos Acionistas'!$77:$77,'Fluxo de Caixa dos Acionistas'!$1:$1,'Gráficos - Monografia'!W135)/1000</f>
        <v>-234.69687221506459</v>
      </c>
      <c r="X150" s="1">
        <f ca="1">SUMIFS('Fluxo de Caixa dos Acionistas'!$77:$77,'Fluxo de Caixa dos Acionistas'!$1:$1,'Gráficos - Monografia'!X135)/1000</f>
        <v>-241.44198384436865</v>
      </c>
      <c r="Y150" s="1">
        <f ca="1">SUMIFS('Fluxo de Caixa dos Acionistas'!$77:$77,'Fluxo de Caixa dos Acionistas'!$1:$1,'Gráficos - Monografia'!Y135)/1000</f>
        <v>-248.37037064238629</v>
      </c>
      <c r="Z150" s="1">
        <f ca="1">SUMIFS('Fluxo de Caixa dos Acionistas'!$77:$77,'Fluxo de Caixa dos Acionistas'!$1:$1,'Gráficos - Monografia'!Z135)/1000</f>
        <v>-255.52625956991508</v>
      </c>
      <c r="AA150" s="1">
        <f ca="1">SUMIFS('Fluxo de Caixa dos Acionistas'!$77:$77,'Fluxo de Caixa dos Acionistas'!$1:$1,'Gráficos - Monografia'!AA135)/1000</f>
        <v>-262.87658512393187</v>
      </c>
      <c r="AB150" s="1">
        <f ca="1">SUMIFS('Fluxo de Caixa dos Acionistas'!$77:$77,'Fluxo de Caixa dos Acionistas'!$1:$1,'Gráficos - Monografia'!AB135)/1000</f>
        <v>-10.173088515200186</v>
      </c>
      <c r="AC150" s="1">
        <f ca="1">SUMIFS('Fluxo de Caixa dos Acionistas'!$77:$77,'Fluxo de Caixa dos Acionistas'!$1:$1,'Gráficos - Monografia'!AC135)/1000</f>
        <v>-10.173088515200186</v>
      </c>
      <c r="AD150" s="1">
        <f ca="1">SUMIFS('Fluxo de Caixa dos Acionistas'!$77:$77,'Fluxo de Caixa dos Acionistas'!$1:$1,'Gráficos - Monografia'!AD135)/1000</f>
        <v>-10.173088515200186</v>
      </c>
      <c r="AE150" s="1">
        <f ca="1">SUMIFS('Fluxo de Caixa dos Acionistas'!$77:$77,'Fluxo de Caixa dos Acionistas'!$1:$1,'Gráficos - Monografia'!AE135)/1000</f>
        <v>0</v>
      </c>
      <c r="AF150" s="1">
        <f ca="1">SUMIFS('Fluxo de Caixa dos Acionistas'!$77:$77,'Fluxo de Caixa dos Acionistas'!$1:$1,'Gráficos - Monografia'!AF135)/1000</f>
        <v>0</v>
      </c>
      <c r="AG150" s="1">
        <f ca="1">SUMIFS('Fluxo de Caixa dos Acionistas'!$77:$77,'Fluxo de Caixa dos Acionistas'!$1:$1,'Gráficos - Monografia'!AG135)/1000</f>
        <v>0</v>
      </c>
      <c r="AH150" s="1">
        <f ca="1">SUMIFS('Fluxo de Caixa dos Acionistas'!$77:$77,'Fluxo de Caixa dos Acionistas'!$1:$1,'Gráficos - Monografia'!AH135)/1000</f>
        <v>0</v>
      </c>
      <c r="AI150" s="1">
        <f ca="1">SUMIFS('Fluxo de Caixa dos Acionistas'!$77:$77,'Fluxo de Caixa dos Acionistas'!$1:$1,'Gráficos - Monografia'!AI135)/1000</f>
        <v>0</v>
      </c>
      <c r="AJ150" s="1">
        <f ca="1">SUMIFS('Fluxo de Caixa dos Acionistas'!$77:$77,'Fluxo de Caixa dos Acionistas'!$1:$1,'Gráficos - Monografia'!AJ135)/1000</f>
        <v>0</v>
      </c>
      <c r="AK150" s="1">
        <f ca="1">SUMIFS('Fluxo de Caixa dos Acionistas'!$77:$77,'Fluxo de Caixa dos Acionistas'!$1:$1,'Gráficos - Monografia'!AK135)/1000</f>
        <v>0</v>
      </c>
      <c r="AL150" s="1">
        <f ca="1">SUMIFS('Fluxo de Caixa dos Acionistas'!$77:$77,'Fluxo de Caixa dos Acionistas'!$1:$1,'Gráficos - Monografia'!AL135)/1000</f>
        <v>0</v>
      </c>
      <c r="AM150" s="1">
        <f ca="1">SUMIFS('Fluxo de Caixa dos Acionistas'!$77:$77,'Fluxo de Caixa dos Acionistas'!$1:$1,'Gráficos - Monografia'!AM135)/1000</f>
        <v>0</v>
      </c>
      <c r="AN150" s="1">
        <f ca="1">SUMIFS('Fluxo de Caixa dos Acionistas'!$77:$77,'Fluxo de Caixa dos Acionistas'!$1:$1,'Gráficos - Monografia'!AN135)/1000</f>
        <v>0</v>
      </c>
      <c r="AO150" s="1">
        <f ca="1">SUMIFS('Fluxo de Caixa dos Acionistas'!$77:$77,'Fluxo de Caixa dos Acionistas'!$1:$1,'Gráficos - Monografia'!AO135)/1000</f>
        <v>0</v>
      </c>
      <c r="AP150" s="1">
        <f ca="1">SUMIFS('Fluxo de Caixa dos Acionistas'!$77:$77,'Fluxo de Caixa dos Acionistas'!$1:$1,'Gráficos - Monografia'!AP135)/1000</f>
        <v>0</v>
      </c>
      <c r="AQ150" s="1">
        <f ca="1">SUMIFS('Fluxo de Caixa dos Acionistas'!$77:$77,'Fluxo de Caixa dos Acionistas'!$1:$1,'Gráficos - Monografia'!AQ135)/1000</f>
        <v>0</v>
      </c>
    </row>
    <row r="151" spans="1:43" x14ac:dyDescent="0.3">
      <c r="A151" t="s">
        <v>626</v>
      </c>
      <c r="B151" s="1">
        <f t="shared" ref="B151:AQ151" ca="1" si="3">B147+B150+B149</f>
        <v>2028.778064069922</v>
      </c>
      <c r="C151" s="1">
        <f t="shared" ca="1" si="3"/>
        <v>5389.4066413078954</v>
      </c>
      <c r="D151" s="1">
        <f t="shared" ca="1" si="3"/>
        <v>5475.0390644567315</v>
      </c>
      <c r="E151" s="1">
        <f t="shared" ca="1" si="3"/>
        <v>8046.28666110215</v>
      </c>
      <c r="F151" s="1">
        <f t="shared" ca="1" si="3"/>
        <v>8213.4534465247816</v>
      </c>
      <c r="G151" s="1">
        <f t="shared" ca="1" si="3"/>
        <v>8602.779961917422</v>
      </c>
      <c r="H151" s="1">
        <f t="shared" ca="1" si="3"/>
        <v>9676.2561246602309</v>
      </c>
      <c r="I151" s="1">
        <f t="shared" ca="1" si="3"/>
        <v>8710.8032305929228</v>
      </c>
      <c r="J151" s="1">
        <f t="shared" ca="1" si="3"/>
        <v>7421.9694269731226</v>
      </c>
      <c r="K151" s="1">
        <f t="shared" ca="1" si="3"/>
        <v>6414.2062767940388</v>
      </c>
      <c r="L151" s="1">
        <f t="shared" ca="1" si="3"/>
        <v>5706.7144424915714</v>
      </c>
      <c r="M151" s="1">
        <f t="shared" ca="1" si="3"/>
        <v>5049.9524890448365</v>
      </c>
      <c r="N151" s="1">
        <f t="shared" ca="1" si="3"/>
        <v>4400.4525073649838</v>
      </c>
      <c r="O151" s="1">
        <f t="shared" ca="1" si="3"/>
        <v>3880.4478885544186</v>
      </c>
      <c r="P151" s="1">
        <f t="shared" ca="1" si="3"/>
        <v>3410.4061898568389</v>
      </c>
      <c r="Q151" s="1">
        <f t="shared" ca="1" si="3"/>
        <v>3065.415598394482</v>
      </c>
      <c r="R151" s="1">
        <f t="shared" ca="1" si="3"/>
        <v>2089.6213086301491</v>
      </c>
      <c r="S151" s="1">
        <f t="shared" ca="1" si="3"/>
        <v>2293.9343067836007</v>
      </c>
      <c r="T151" s="1">
        <f t="shared" ca="1" si="3"/>
        <v>2069.7888195058449</v>
      </c>
      <c r="U151" s="1">
        <f t="shared" ca="1" si="3"/>
        <v>1876.4645209152984</v>
      </c>
      <c r="V151" s="1">
        <f t="shared" ca="1" si="3"/>
        <v>1686.5213469922296</v>
      </c>
      <c r="W151" s="1">
        <f t="shared" ca="1" si="3"/>
        <v>1550.3419306961887</v>
      </c>
      <c r="X151" s="1">
        <f t="shared" ca="1" si="3"/>
        <v>1398.680853841927</v>
      </c>
      <c r="Y151" s="1">
        <f t="shared" ca="1" si="3"/>
        <v>1318.0483239855555</v>
      </c>
      <c r="Z151" s="1">
        <f t="shared" ca="1" si="3"/>
        <v>1252.2855270291159</v>
      </c>
      <c r="AA151" s="1">
        <f t="shared" ca="1" si="3"/>
        <v>1213.5297533670123</v>
      </c>
      <c r="AB151" s="1">
        <f t="shared" ca="1" si="3"/>
        <v>1405.189213886752</v>
      </c>
      <c r="AC151" s="1">
        <f t="shared" ca="1" si="3"/>
        <v>1261.9738240033789</v>
      </c>
      <c r="AD151" s="1">
        <f t="shared" ca="1" si="3"/>
        <v>1097.4731273595439</v>
      </c>
      <c r="AE151" s="1">
        <f t="shared" ca="1" si="3"/>
        <v>-10869.625044523464</v>
      </c>
      <c r="AF151" s="1">
        <f t="shared" ca="1" si="3"/>
        <v>0</v>
      </c>
      <c r="AG151" s="1">
        <f t="shared" ca="1" si="3"/>
        <v>0</v>
      </c>
      <c r="AH151" s="1">
        <f t="shared" ca="1" si="3"/>
        <v>0</v>
      </c>
      <c r="AI151" s="1">
        <f t="shared" ca="1" si="3"/>
        <v>0</v>
      </c>
      <c r="AJ151" s="1">
        <f t="shared" ca="1" si="3"/>
        <v>0</v>
      </c>
      <c r="AK151" s="1">
        <f t="shared" ca="1" si="3"/>
        <v>0</v>
      </c>
      <c r="AL151" s="1">
        <f t="shared" ca="1" si="3"/>
        <v>0</v>
      </c>
      <c r="AM151" s="1">
        <f t="shared" ca="1" si="3"/>
        <v>0</v>
      </c>
      <c r="AN151" s="1">
        <f t="shared" ca="1" si="3"/>
        <v>0</v>
      </c>
      <c r="AO151" s="1">
        <f t="shared" ca="1" si="3"/>
        <v>0</v>
      </c>
      <c r="AP151" s="1">
        <f t="shared" ca="1" si="3"/>
        <v>0</v>
      </c>
      <c r="AQ151" s="1">
        <f t="shared" ca="1" si="3"/>
        <v>0</v>
      </c>
    </row>
    <row r="153" spans="1:43" x14ac:dyDescent="0.3">
      <c r="B153" s="1">
        <f ca="1">SUMIFS('Avaliação e Simulações'!$5:$5,'Avaliação e Simulações'!$1:$1,'Gráficos - Monografia'!B135)</f>
        <v>953.59006406992251</v>
      </c>
      <c r="C153" s="1">
        <f ca="1">SUMIFS('Avaliação e Simulações'!$5:$5,'Avaliação e Simulações'!$1:$1,'Gráficos - Monografia'!C135)</f>
        <v>5389.4066413078963</v>
      </c>
      <c r="D153" s="1">
        <f ca="1">SUMIFS('Avaliação e Simulações'!$5:$5,'Avaliação e Simulações'!$1:$1,'Gráficos - Monografia'!D135)</f>
        <v>5475.0390644567333</v>
      </c>
      <c r="E153" s="1">
        <f ca="1">SUMIFS('Avaliação e Simulações'!$5:$5,'Avaliação e Simulações'!$1:$1,'Gráficos - Monografia'!E135)</f>
        <v>8046.28666110215</v>
      </c>
      <c r="F153" s="1">
        <f ca="1">SUMIFS('Avaliação e Simulações'!$5:$5,'Avaliação e Simulações'!$1:$1,'Gráficos - Monografia'!F135)</f>
        <v>8213.4534465247834</v>
      </c>
      <c r="G153" s="1">
        <f ca="1">SUMIFS('Avaliação e Simulações'!$5:$5,'Avaliação e Simulações'!$1:$1,'Gráficos - Monografia'!G135)</f>
        <v>8602.7799619174202</v>
      </c>
      <c r="H153" s="1">
        <f ca="1">SUMIFS('Avaliação e Simulações'!$5:$5,'Avaliação e Simulações'!$1:$1,'Gráficos - Monografia'!H135)</f>
        <v>9676.256124660229</v>
      </c>
      <c r="I153" s="1">
        <f ca="1">SUMIFS('Avaliação e Simulações'!$5:$5,'Avaliação e Simulações'!$1:$1,'Gráficos - Monografia'!I135)</f>
        <v>8710.8032305929246</v>
      </c>
      <c r="J153" s="1">
        <f ca="1">SUMIFS('Avaliação e Simulações'!$5:$5,'Avaliação e Simulações'!$1:$1,'Gráficos - Monografia'!J135)</f>
        <v>7421.9694269731235</v>
      </c>
      <c r="K153" s="1">
        <f ca="1">SUMIFS('Avaliação e Simulações'!$5:$5,'Avaliação e Simulações'!$1:$1,'Gráficos - Monografia'!K135)</f>
        <v>6414.2062767940379</v>
      </c>
      <c r="L153" s="1">
        <f ca="1">SUMIFS('Avaliação e Simulações'!$5:$5,'Avaliação e Simulações'!$1:$1,'Gráficos - Monografia'!L135)</f>
        <v>5706.7144424915705</v>
      </c>
      <c r="M153" s="1">
        <f ca="1">SUMIFS('Avaliação e Simulações'!$5:$5,'Avaliação e Simulações'!$1:$1,'Gráficos - Monografia'!M135)</f>
        <v>5049.9524890448365</v>
      </c>
      <c r="N153" s="1">
        <f ca="1">SUMIFS('Avaliação e Simulações'!$5:$5,'Avaliação e Simulações'!$1:$1,'Gráficos - Monografia'!N135)</f>
        <v>4400.4525073649838</v>
      </c>
      <c r="O153" s="1">
        <f ca="1">SUMIFS('Avaliação e Simulações'!$5:$5,'Avaliação e Simulações'!$1:$1,'Gráficos - Monografia'!O135)</f>
        <v>3880.4478885544186</v>
      </c>
      <c r="P153" s="1">
        <f ca="1">SUMIFS('Avaliação e Simulações'!$5:$5,'Avaliação e Simulações'!$1:$1,'Gráficos - Monografia'!P135)</f>
        <v>3410.4061898568389</v>
      </c>
      <c r="Q153" s="1">
        <f ca="1">SUMIFS('Avaliação e Simulações'!$5:$5,'Avaliação e Simulações'!$1:$1,'Gráficos - Monografia'!Q135)</f>
        <v>3065.415598394482</v>
      </c>
      <c r="R153" s="1">
        <f ca="1">SUMIFS('Avaliação e Simulações'!$5:$5,'Avaliação e Simulações'!$1:$1,'Gráficos - Monografia'!R135)</f>
        <v>2089.6213086301491</v>
      </c>
      <c r="S153" s="1">
        <f ca="1">SUMIFS('Avaliação e Simulações'!$5:$5,'Avaliação e Simulações'!$1:$1,'Gráficos - Monografia'!S135)</f>
        <v>2293.9343067836007</v>
      </c>
      <c r="T153" s="1">
        <f ca="1">SUMIFS('Avaliação e Simulações'!$5:$5,'Avaliação e Simulações'!$1:$1,'Gráficos - Monografia'!T135)</f>
        <v>2069.7888195058449</v>
      </c>
      <c r="U153" s="1">
        <f ca="1">SUMIFS('Avaliação e Simulações'!$5:$5,'Avaliação e Simulações'!$1:$1,'Gráficos - Monografia'!U135)</f>
        <v>1876.4645209152982</v>
      </c>
      <c r="V153" s="1">
        <f ca="1">SUMIFS('Avaliação e Simulações'!$5:$5,'Avaliação e Simulações'!$1:$1,'Gráficos - Monografia'!V135)</f>
        <v>1686.5213469922298</v>
      </c>
      <c r="W153" s="1">
        <f ca="1">SUMIFS('Avaliação e Simulações'!$5:$5,'Avaliação e Simulações'!$1:$1,'Gráficos - Monografia'!W135)</f>
        <v>1550.3419306961885</v>
      </c>
      <c r="X153" s="1">
        <f ca="1">SUMIFS('Avaliação e Simulações'!$5:$5,'Avaliação e Simulações'!$1:$1,'Gráficos - Monografia'!X135)</f>
        <v>1398.6808538419273</v>
      </c>
      <c r="Y153" s="1">
        <f ca="1">SUMIFS('Avaliação e Simulações'!$5:$5,'Avaliação e Simulações'!$1:$1,'Gráficos - Monografia'!Y135)</f>
        <v>1318.0483239855553</v>
      </c>
      <c r="Z153" s="1">
        <f ca="1">SUMIFS('Avaliação e Simulações'!$5:$5,'Avaliação e Simulações'!$1:$1,'Gráficos - Monografia'!Z135)</f>
        <v>1252.2855270291161</v>
      </c>
      <c r="AA153" s="1">
        <f ca="1">SUMIFS('Avaliação e Simulações'!$5:$5,'Avaliação e Simulações'!$1:$1,'Gráficos - Monografia'!AA135)</f>
        <v>1213.5297533670123</v>
      </c>
      <c r="AB153" s="1">
        <f ca="1">SUMIFS('Avaliação e Simulações'!$5:$5,'Avaliação e Simulações'!$1:$1,'Gráficos - Monografia'!AB135)</f>
        <v>1405.1892138867518</v>
      </c>
      <c r="AC153" s="1">
        <f ca="1">SUMIFS('Avaliação e Simulações'!$5:$5,'Avaliação e Simulações'!$1:$1,'Gráficos - Monografia'!AC135)</f>
        <v>1261.9738240033789</v>
      </c>
      <c r="AD153" s="1">
        <f ca="1">SUMIFS('Avaliação e Simulações'!$5:$5,'Avaliação e Simulações'!$1:$1,'Gráficos - Monografia'!AD135)</f>
        <v>1097.4731273595442</v>
      </c>
      <c r="AE153" s="1">
        <f ca="1">SUMIFS('Avaliação e Simulações'!$5:$5,'Avaliação e Simulações'!$1:$1,'Gráficos - Monografia'!AE135)</f>
        <v>-10869.625044523464</v>
      </c>
      <c r="AF153" s="1">
        <f ca="1">SUMIFS('Avaliação e Simulações'!$5:$5,'Avaliação e Simulações'!$1:$1,'Gráficos - Monografia'!AF135)</f>
        <v>0</v>
      </c>
      <c r="AG153" s="1">
        <f ca="1">SUMIFS('Avaliação e Simulações'!$5:$5,'Avaliação e Simulações'!$1:$1,'Gráficos - Monografia'!AG135)</f>
        <v>0</v>
      </c>
      <c r="AH153" s="1">
        <f ca="1">SUMIFS('Avaliação e Simulações'!$5:$5,'Avaliação e Simulações'!$1:$1,'Gráficos - Monografia'!AH135)</f>
        <v>0</v>
      </c>
      <c r="AI153" s="1">
        <f ca="1">SUMIFS('Avaliação e Simulações'!$5:$5,'Avaliação e Simulações'!$1:$1,'Gráficos - Monografia'!AI135)</f>
        <v>0</v>
      </c>
      <c r="AJ153" s="1">
        <f ca="1">SUMIFS('Avaliação e Simulações'!$5:$5,'Avaliação e Simulações'!$1:$1,'Gráficos - Monografia'!AJ135)</f>
        <v>0</v>
      </c>
      <c r="AK153" s="1">
        <f ca="1">SUMIFS('Avaliação e Simulações'!$5:$5,'Avaliação e Simulações'!$1:$1,'Gráficos - Monografia'!AK135)</f>
        <v>0</v>
      </c>
      <c r="AL153" s="1">
        <f ca="1">SUMIFS('Avaliação e Simulações'!$5:$5,'Avaliação e Simulações'!$1:$1,'Gráficos - Monografia'!AL135)</f>
        <v>0</v>
      </c>
      <c r="AM153" s="1">
        <f ca="1">SUMIFS('Avaliação e Simulações'!$5:$5,'Avaliação e Simulações'!$1:$1,'Gráficos - Monografia'!AM135)</f>
        <v>0</v>
      </c>
      <c r="AN153" s="1">
        <f ca="1">SUMIFS('Avaliação e Simulações'!$5:$5,'Avaliação e Simulações'!$1:$1,'Gráficos - Monografia'!AN135)</f>
        <v>0</v>
      </c>
      <c r="AO153" s="1">
        <f ca="1">SUMIFS('Avaliação e Simulações'!$5:$5,'Avaliação e Simulações'!$1:$1,'Gráficos - Monografia'!AO135)</f>
        <v>0</v>
      </c>
      <c r="AP153" s="1">
        <f ca="1">SUMIFS('Avaliação e Simulações'!$5:$5,'Avaliação e Simulações'!$1:$1,'Gráficos - Monografia'!AP135)</f>
        <v>0</v>
      </c>
      <c r="AQ153" s="1">
        <f ca="1">SUMIFS('Avaliação e Simulações'!$5:$5,'Avaliação e Simulações'!$1:$1,'Gráficos - Monografia'!AQ135)</f>
        <v>0</v>
      </c>
    </row>
    <row r="160" spans="1:43" ht="66" x14ac:dyDescent="0.3">
      <c r="B160" s="101" t="s">
        <v>380</v>
      </c>
      <c r="C160" s="101" t="s">
        <v>1179</v>
      </c>
    </row>
    <row r="161" spans="2:8" x14ac:dyDescent="0.3">
      <c r="B161" s="101">
        <v>2024</v>
      </c>
      <c r="C161" s="105">
        <v>236</v>
      </c>
    </row>
    <row r="162" spans="2:8" x14ac:dyDescent="0.3">
      <c r="B162" s="101">
        <v>2025</v>
      </c>
      <c r="C162" s="105">
        <v>275</v>
      </c>
    </row>
    <row r="163" spans="2:8" x14ac:dyDescent="0.3">
      <c r="B163" s="101">
        <f>B162+1</f>
        <v>2026</v>
      </c>
      <c r="C163" s="105">
        <v>625</v>
      </c>
    </row>
    <row r="164" spans="2:8" x14ac:dyDescent="0.3">
      <c r="B164" s="101">
        <f>B163+1</f>
        <v>2027</v>
      </c>
      <c r="C164" s="105">
        <v>148</v>
      </c>
    </row>
    <row r="165" spans="2:8" x14ac:dyDescent="0.3">
      <c r="B165" s="101" t="s">
        <v>1180</v>
      </c>
      <c r="C165" s="105">
        <v>246</v>
      </c>
    </row>
    <row r="176" spans="2:8" x14ac:dyDescent="0.3">
      <c r="B176" s="101">
        <v>2018</v>
      </c>
      <c r="C176" s="101">
        <v>2019</v>
      </c>
      <c r="D176" s="101">
        <v>2020</v>
      </c>
      <c r="E176" s="101">
        <v>2021</v>
      </c>
      <c r="F176" s="101">
        <v>2022</v>
      </c>
      <c r="G176" s="101">
        <v>2023</v>
      </c>
      <c r="H176" s="101" t="s">
        <v>618</v>
      </c>
    </row>
    <row r="177" spans="1:8" x14ac:dyDescent="0.3">
      <c r="A177" s="102" t="s">
        <v>114</v>
      </c>
      <c r="B177" s="102">
        <v>186993</v>
      </c>
      <c r="C177" s="103">
        <v>459396</v>
      </c>
      <c r="D177" s="103">
        <v>809273</v>
      </c>
      <c r="E177" s="103">
        <v>970681</v>
      </c>
      <c r="F177" s="103">
        <v>9612961</v>
      </c>
      <c r="G177" s="103">
        <v>2335403</v>
      </c>
      <c r="H177" s="132"/>
    </row>
    <row r="178" spans="1:8" x14ac:dyDescent="0.3">
      <c r="A178" s="111" t="s">
        <v>378</v>
      </c>
      <c r="B178" s="270">
        <v>0.22027163925929416</v>
      </c>
      <c r="C178" s="270">
        <v>0.2793791574279379</v>
      </c>
      <c r="D178" s="270">
        <v>0.4249970459803013</v>
      </c>
      <c r="E178" s="270">
        <v>0.22080990390588906</v>
      </c>
      <c r="F178" s="270">
        <v>1.5106464628210214</v>
      </c>
      <c r="G178" s="270">
        <v>0.19616925300803248</v>
      </c>
      <c r="H178" s="270">
        <f>MEDIAN(B178:G178)</f>
        <v>0.25009453066691345</v>
      </c>
    </row>
    <row r="179" spans="1:8" x14ac:dyDescent="0.3">
      <c r="A179" s="102" t="s">
        <v>116</v>
      </c>
      <c r="B179" s="102">
        <v>607441</v>
      </c>
      <c r="C179" s="103">
        <v>226301</v>
      </c>
      <c r="D179" s="103">
        <v>22793</v>
      </c>
      <c r="E179" s="103">
        <v>3680185</v>
      </c>
      <c r="F179" s="103">
        <v>0</v>
      </c>
      <c r="G179" s="103">
        <v>0</v>
      </c>
      <c r="H179" s="132"/>
    </row>
    <row r="183" spans="1:8" x14ac:dyDescent="0.3">
      <c r="A183" s="112" t="s">
        <v>614</v>
      </c>
      <c r="B183" s="101">
        <v>2020</v>
      </c>
      <c r="C183" s="101">
        <v>2021</v>
      </c>
      <c r="D183" s="101">
        <v>2022</v>
      </c>
      <c r="E183" s="101">
        <v>2023</v>
      </c>
      <c r="F183" s="101" t="s">
        <v>629</v>
      </c>
    </row>
    <row r="184" spans="1:8" x14ac:dyDescent="0.3">
      <c r="A184" s="102" t="s">
        <v>632</v>
      </c>
      <c r="B184" s="133">
        <v>14.52760560730078</v>
      </c>
      <c r="C184" s="134">
        <v>13.136769392580645</v>
      </c>
      <c r="D184" s="134">
        <v>9.9339560168025685</v>
      </c>
      <c r="E184" s="134">
        <v>7.6358343300849398</v>
      </c>
      <c r="F184" s="141" t="s">
        <v>1181</v>
      </c>
    </row>
    <row r="190" spans="1:8" x14ac:dyDescent="0.3">
      <c r="A190" s="112" t="s">
        <v>634</v>
      </c>
      <c r="B190" s="101">
        <v>2018</v>
      </c>
      <c r="C190" s="101">
        <v>2019</v>
      </c>
      <c r="D190" s="101">
        <v>2020</v>
      </c>
      <c r="E190" s="101">
        <v>2021</v>
      </c>
      <c r="F190" s="101">
        <v>2022</v>
      </c>
      <c r="G190" s="101">
        <v>2023</v>
      </c>
      <c r="H190" s="101" t="s">
        <v>629</v>
      </c>
    </row>
    <row r="191" spans="1:8" ht="26.4" x14ac:dyDescent="0.3">
      <c r="A191" s="102" t="s">
        <v>182</v>
      </c>
      <c r="B191" s="103">
        <v>-197084</v>
      </c>
      <c r="C191" s="103">
        <v>-245716</v>
      </c>
      <c r="D191" s="103">
        <v>-337947</v>
      </c>
      <c r="E191" s="103">
        <v>-315640</v>
      </c>
      <c r="F191" s="103">
        <v>-367529</v>
      </c>
      <c r="G191" s="103">
        <v>-567393</v>
      </c>
      <c r="H191" s="103" t="str">
        <f>"-132.419"&amp; " (valor real)"</f>
        <v>-132.419 (valor real)</v>
      </c>
    </row>
    <row r="192" spans="1:8" x14ac:dyDescent="0.3">
      <c r="A192" s="272" t="s">
        <v>378</v>
      </c>
      <c r="B192" s="273">
        <v>-0.23215850727983792</v>
      </c>
      <c r="C192" s="273">
        <v>-0.14943083754878839</v>
      </c>
      <c r="D192" s="273">
        <v>-0.17747592802169956</v>
      </c>
      <c r="E192" s="273">
        <v>-7.1801588852418885E-2</v>
      </c>
      <c r="F192" s="273">
        <v>-5.7756021670549502E-2</v>
      </c>
      <c r="G192" s="273">
        <v>-4.7659894661429558E-2</v>
      </c>
      <c r="H192" s="274" t="str">
        <f>"[-23%, -4,8%] (limite min/max)"</f>
        <v>[-23%, -4,8%] (limite min/max)</v>
      </c>
    </row>
    <row r="193" spans="1:8" ht="26.4" x14ac:dyDescent="0.3">
      <c r="A193" s="142" t="s">
        <v>215</v>
      </c>
      <c r="B193" s="103" t="s">
        <v>612</v>
      </c>
      <c r="C193" s="103">
        <v>-255208</v>
      </c>
      <c r="D193" s="103">
        <v>-244174</v>
      </c>
      <c r="E193" s="103">
        <v>-183922</v>
      </c>
      <c r="F193" s="103">
        <v>-352759</v>
      </c>
      <c r="G193" s="103">
        <v>-221404</v>
      </c>
      <c r="H193" s="103" t="s">
        <v>1182</v>
      </c>
    </row>
    <row r="194" spans="1:8" x14ac:dyDescent="0.3">
      <c r="A194" s="111" t="s">
        <v>378</v>
      </c>
      <c r="B194" s="270" t="s">
        <v>612</v>
      </c>
      <c r="C194" s="270">
        <v>-0.15520334528134588</v>
      </c>
      <c r="D194" s="270">
        <v>-0.12823018771810513</v>
      </c>
      <c r="E194" s="270">
        <v>-4.1838460983761837E-2</v>
      </c>
      <c r="F194" s="270">
        <v>-5.5434962815128525E-2</v>
      </c>
      <c r="G194" s="270">
        <v>-1.8597500000209995E-2</v>
      </c>
      <c r="H194" s="150">
        <f>AVERAGE(F194:G194)</f>
        <v>-3.7016231407669256E-2</v>
      </c>
    </row>
    <row r="200" spans="1:8" ht="39.6" x14ac:dyDescent="0.3">
      <c r="A200" s="145" t="s">
        <v>640</v>
      </c>
      <c r="B200" s="101" t="s">
        <v>637</v>
      </c>
      <c r="C200" s="101" t="s">
        <v>641</v>
      </c>
    </row>
    <row r="201" spans="1:8" x14ac:dyDescent="0.3">
      <c r="A201" s="124" t="s">
        <v>1130</v>
      </c>
      <c r="B201" s="147" t="s">
        <v>1149</v>
      </c>
      <c r="C201" s="141">
        <v>15.305999999999999</v>
      </c>
    </row>
    <row r="202" spans="1:8" x14ac:dyDescent="0.3">
      <c r="A202" s="148" t="s">
        <v>1131</v>
      </c>
      <c r="B202" s="150" t="s">
        <v>1149</v>
      </c>
      <c r="C202" s="271">
        <v>911.14300000000003</v>
      </c>
    </row>
    <row r="203" spans="1:8" x14ac:dyDescent="0.3">
      <c r="A203" s="124" t="s">
        <v>1132</v>
      </c>
      <c r="B203" s="147" t="s">
        <v>1149</v>
      </c>
      <c r="C203" s="141">
        <v>431.64499999999998</v>
      </c>
    </row>
    <row r="204" spans="1:8" x14ac:dyDescent="0.3">
      <c r="A204" s="148" t="s">
        <v>1133</v>
      </c>
      <c r="B204" s="150" t="s">
        <v>1149</v>
      </c>
      <c r="C204" s="271">
        <v>1506.51</v>
      </c>
    </row>
    <row r="205" spans="1:8" x14ac:dyDescent="0.3">
      <c r="A205" s="124" t="s">
        <v>636</v>
      </c>
      <c r="B205" s="147" t="s">
        <v>1149</v>
      </c>
      <c r="C205" s="141">
        <v>544.01499999999999</v>
      </c>
    </row>
    <row r="206" spans="1:8" x14ac:dyDescent="0.3">
      <c r="A206" s="148" t="s">
        <v>1134</v>
      </c>
      <c r="B206" s="150" t="s">
        <v>1149</v>
      </c>
      <c r="C206" s="271">
        <v>1540.3710000000001</v>
      </c>
    </row>
    <row r="207" spans="1:8" x14ac:dyDescent="0.3">
      <c r="A207" s="124" t="s">
        <v>1135</v>
      </c>
      <c r="B207" s="147" t="s">
        <v>1149</v>
      </c>
      <c r="C207" s="141">
        <v>409.16199999999998</v>
      </c>
    </row>
    <row r="208" spans="1:8" x14ac:dyDescent="0.3">
      <c r="A208" s="148" t="s">
        <v>1136</v>
      </c>
      <c r="B208" s="150">
        <v>0.03</v>
      </c>
      <c r="C208" s="271">
        <v>266.65199999999999</v>
      </c>
    </row>
    <row r="209" spans="1:3" x14ac:dyDescent="0.3">
      <c r="A209" s="124" t="s">
        <v>1137</v>
      </c>
      <c r="B209" s="147">
        <v>0.1</v>
      </c>
      <c r="C209" s="141">
        <v>0</v>
      </c>
    </row>
    <row r="210" spans="1:3" x14ac:dyDescent="0.3">
      <c r="A210" s="148" t="s">
        <v>1138</v>
      </c>
      <c r="B210" s="150">
        <v>0.1</v>
      </c>
      <c r="C210" s="271">
        <v>0.73099999999999998</v>
      </c>
    </row>
    <row r="211" spans="1:3" x14ac:dyDescent="0.3">
      <c r="A211" s="124" t="s">
        <v>1139</v>
      </c>
      <c r="B211" s="147">
        <v>0.2</v>
      </c>
      <c r="C211" s="141">
        <v>0.44600000000000001</v>
      </c>
    </row>
    <row r="212" spans="1:3" x14ac:dyDescent="0.3">
      <c r="A212" s="148" t="s">
        <v>1140</v>
      </c>
      <c r="B212" s="150">
        <v>0.2</v>
      </c>
      <c r="C212" s="271">
        <v>4.7830000000000004</v>
      </c>
    </row>
    <row r="213" spans="1:3" x14ac:dyDescent="0.3">
      <c r="A213" s="124" t="s">
        <v>1141</v>
      </c>
      <c r="B213" s="147">
        <v>0.04</v>
      </c>
      <c r="C213" s="141">
        <v>5.0819999999999999</v>
      </c>
    </row>
    <row r="214" spans="1:3" x14ac:dyDescent="0.3">
      <c r="A214" s="148" t="s">
        <v>1143</v>
      </c>
      <c r="B214" s="150" t="s">
        <v>1154</v>
      </c>
      <c r="C214" s="271">
        <v>23.747</v>
      </c>
    </row>
    <row r="215" spans="1:3" x14ac:dyDescent="0.3">
      <c r="A215" s="124" t="s">
        <v>1144</v>
      </c>
      <c r="B215" s="147" t="s">
        <v>1149</v>
      </c>
      <c r="C215" s="141">
        <v>0.34300000000000003</v>
      </c>
    </row>
    <row r="216" spans="1:3" x14ac:dyDescent="0.3">
      <c r="A216" s="148" t="s">
        <v>1145</v>
      </c>
      <c r="B216" s="150" t="s">
        <v>1149</v>
      </c>
      <c r="C216" s="271">
        <v>2769.7060000000001</v>
      </c>
    </row>
    <row r="217" spans="1:3" x14ac:dyDescent="0.3">
      <c r="A217" s="124" t="s">
        <v>635</v>
      </c>
      <c r="B217" s="147" t="s">
        <v>1149</v>
      </c>
      <c r="C217" s="141">
        <v>11.997</v>
      </c>
    </row>
    <row r="218" spans="1:3" x14ac:dyDescent="0.3">
      <c r="A218" s="148" t="s">
        <v>636</v>
      </c>
      <c r="B218" s="150" t="s">
        <v>1149</v>
      </c>
      <c r="C218" s="271">
        <v>0</v>
      </c>
    </row>
    <row r="219" spans="1:3" x14ac:dyDescent="0.3">
      <c r="A219" s="124" t="s">
        <v>1146</v>
      </c>
      <c r="B219" s="147" t="s">
        <v>1149</v>
      </c>
      <c r="C219" s="141">
        <v>983.47900000000004</v>
      </c>
    </row>
    <row r="221" spans="1:3" ht="39.6" x14ac:dyDescent="0.3">
      <c r="A221" s="145" t="s">
        <v>639</v>
      </c>
      <c r="B221" s="101" t="s">
        <v>638</v>
      </c>
      <c r="C221" s="101" t="s">
        <v>641</v>
      </c>
    </row>
    <row r="222" spans="1:3" x14ac:dyDescent="0.3">
      <c r="A222" s="124" t="s">
        <v>1134</v>
      </c>
      <c r="B222" s="147" t="s">
        <v>1149</v>
      </c>
      <c r="C222" s="141">
        <v>331.80399999999997</v>
      </c>
    </row>
    <row r="223" spans="1:3" x14ac:dyDescent="0.3">
      <c r="A223" s="148" t="s">
        <v>1163</v>
      </c>
      <c r="B223" s="150" t="s">
        <v>1149</v>
      </c>
      <c r="C223" s="271">
        <v>8158.835</v>
      </c>
    </row>
    <row r="224" spans="1:3" x14ac:dyDescent="0.3">
      <c r="A224" s="124" t="s">
        <v>1135</v>
      </c>
      <c r="B224" s="147" t="s">
        <v>1149</v>
      </c>
      <c r="C224" s="141">
        <v>336.81099999999998</v>
      </c>
    </row>
    <row r="225" spans="1:12" x14ac:dyDescent="0.3">
      <c r="A225" s="148" t="s">
        <v>1164</v>
      </c>
      <c r="B225" s="150" t="s">
        <v>1149</v>
      </c>
      <c r="C225" s="271">
        <v>733.74900000000002</v>
      </c>
    </row>
    <row r="226" spans="1:12" x14ac:dyDescent="0.3">
      <c r="A226" s="124" t="s">
        <v>1165</v>
      </c>
      <c r="B226" s="147" t="s">
        <v>1149</v>
      </c>
      <c r="C226" s="141">
        <v>0.379</v>
      </c>
    </row>
    <row r="227" spans="1:12" x14ac:dyDescent="0.3">
      <c r="A227" s="148" t="s">
        <v>1166</v>
      </c>
      <c r="B227" s="150" t="s">
        <v>1149</v>
      </c>
      <c r="C227" s="271">
        <v>6.0750000000000002</v>
      </c>
    </row>
    <row r="228" spans="1:12" x14ac:dyDescent="0.3">
      <c r="A228" s="124" t="s">
        <v>1167</v>
      </c>
      <c r="B228" s="147" t="s">
        <v>1149</v>
      </c>
      <c r="C228" s="141">
        <v>8.1649999999999991</v>
      </c>
    </row>
    <row r="229" spans="1:12" x14ac:dyDescent="0.3">
      <c r="A229" s="148" t="s">
        <v>1168</v>
      </c>
      <c r="B229" s="150">
        <v>0.2</v>
      </c>
      <c r="C229" s="271">
        <v>0.27100000000000002</v>
      </c>
    </row>
    <row r="230" spans="1:12" x14ac:dyDescent="0.3">
      <c r="A230" s="124" t="s">
        <v>1169</v>
      </c>
      <c r="B230" s="147" t="s">
        <v>1149</v>
      </c>
      <c r="C230" s="141">
        <v>1338.789</v>
      </c>
    </row>
    <row r="234" spans="1:12" ht="30.6" customHeight="1" x14ac:dyDescent="0.3">
      <c r="A234" s="112" t="s">
        <v>645</v>
      </c>
      <c r="B234" s="135">
        <v>2024</v>
      </c>
      <c r="C234" s="135">
        <v>2025</v>
      </c>
      <c r="D234" s="135">
        <v>2026</v>
      </c>
      <c r="E234" s="135">
        <v>2028</v>
      </c>
      <c r="F234" s="135">
        <v>2029</v>
      </c>
      <c r="G234" s="135">
        <v>2035</v>
      </c>
      <c r="H234" s="135">
        <v>2040</v>
      </c>
      <c r="I234" s="135">
        <v>2047</v>
      </c>
      <c r="J234" s="135">
        <v>2049</v>
      </c>
      <c r="K234" s="135">
        <v>2053</v>
      </c>
      <c r="L234" s="135">
        <v>2055</v>
      </c>
    </row>
    <row r="235" spans="1:12" x14ac:dyDescent="0.3">
      <c r="A235" s="124" t="s">
        <v>642</v>
      </c>
      <c r="B235" s="146">
        <v>-57.710249999999988</v>
      </c>
      <c r="C235" s="146">
        <v>-58.866841799999989</v>
      </c>
      <c r="D235" s="146">
        <v>-121.7268</v>
      </c>
      <c r="E235" s="146">
        <v>-64.588726987199991</v>
      </c>
      <c r="F235" s="146">
        <v>-66.526388796815993</v>
      </c>
      <c r="G235" s="146">
        <v>-632.09319826802209</v>
      </c>
      <c r="H235" s="146">
        <v>0</v>
      </c>
      <c r="I235" s="146">
        <v>-6690.4231531115238</v>
      </c>
      <c r="J235" s="146">
        <v>0</v>
      </c>
      <c r="K235" s="146">
        <v>-2880.9099137998528</v>
      </c>
      <c r="L235" s="146">
        <v>0</v>
      </c>
    </row>
    <row r="236" spans="1:12" x14ac:dyDescent="0.3">
      <c r="A236" s="148" t="s">
        <v>643</v>
      </c>
      <c r="B236" s="149">
        <f ca="1">SUMIFS('Fluxo de Caixa dos Acionistas'!$74:$74,'Fluxo de Caixa dos Acionistas'!$1:$1,B$234)/1000</f>
        <v>-57.710249999999988</v>
      </c>
      <c r="C236" s="149">
        <f ca="1">SUMIFS('Fluxo de Caixa dos Acionistas'!$74:$74,'Fluxo de Caixa dos Acionistas'!$1:$1,C$234)/1000</f>
        <v>-58.866841799999989</v>
      </c>
      <c r="D236" s="149">
        <f ca="1">SUMIFS('Fluxo de Caixa dos Acionistas'!$74:$74,'Fluxo de Caixa dos Acionistas'!$1:$1,D$234)/1000</f>
        <v>-121.7268</v>
      </c>
      <c r="E236" s="149">
        <f ca="1">SUMIFS('Fluxo de Caixa dos Acionistas'!$74:$74,'Fluxo de Caixa dos Acionistas'!$1:$1,E$234)/1000</f>
        <v>-64.588726987199991</v>
      </c>
      <c r="F236" s="149">
        <f ca="1">SUMIFS('Fluxo de Caixa dos Acionistas'!$74:$74,'Fluxo de Caixa dos Acionistas'!$1:$1,F$234)/1000</f>
        <v>-66.526388796815993</v>
      </c>
      <c r="G236" s="149">
        <f ca="1">SUMIFS('Fluxo de Caixa dos Acionistas'!$74:$74,'Fluxo de Caixa dos Acionistas'!$1:$1,G$234)/1000</f>
        <v>0</v>
      </c>
      <c r="H236" s="149">
        <f ca="1">SUMIFS('Fluxo de Caixa dos Acionistas'!$74:$74,'Fluxo de Caixa dos Acionistas'!$1:$1,H$234)/1000</f>
        <v>-732.7692572934875</v>
      </c>
      <c r="I236" s="149">
        <f ca="1">SUMIFS('Fluxo de Caixa dos Acionistas'!$74:$74,'Fluxo de Caixa dos Acionistas'!$1:$1,I$234)/1000</f>
        <v>0</v>
      </c>
      <c r="J236" s="149">
        <f ca="1">SUMIFS('Fluxo de Caixa dos Acionistas'!$74:$74,'Fluxo de Caixa dos Acionistas'!$1:$1,J$234)/1000</f>
        <v>0</v>
      </c>
      <c r="K236" s="149">
        <f ca="1">SUMIFS('Fluxo de Caixa dos Acionistas'!$74:$74,'Fluxo de Caixa dos Acionistas'!$1:$1,K$234)/1000</f>
        <v>-10869.625044523464</v>
      </c>
      <c r="L236" s="149">
        <f ca="1">SUMIFS('Fluxo de Caixa dos Acionistas'!$74:$74,'Fluxo de Caixa dos Acionistas'!$1:$1,L$234)/1000</f>
        <v>0</v>
      </c>
    </row>
    <row r="237" spans="1:12" x14ac:dyDescent="0.3">
      <c r="A237" s="124" t="s">
        <v>644</v>
      </c>
      <c r="B237" s="146">
        <v>-57.710249999999988</v>
      </c>
      <c r="C237" s="146">
        <v>-58.866841799999989</v>
      </c>
      <c r="D237" s="146">
        <v>-121.7268</v>
      </c>
      <c r="E237" s="146">
        <v>-64.588726987199991</v>
      </c>
      <c r="F237" s="146">
        <v>-66.526388796815993</v>
      </c>
      <c r="G237" s="146">
        <v>0</v>
      </c>
      <c r="H237" s="146">
        <v>0</v>
      </c>
      <c r="I237" s="146">
        <v>0</v>
      </c>
      <c r="J237" s="146">
        <v>-956.09767685101474</v>
      </c>
      <c r="K237" s="146">
        <v>-7988.7151307236109</v>
      </c>
      <c r="L237" s="146">
        <v>-3056.357327550264</v>
      </c>
    </row>
  </sheetData>
  <pageMargins left="0.511811024" right="0.511811024" top="0.78740157499999996" bottom="0.78740157499999996" header="0.31496062000000002" footer="0.31496062000000002"/>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C23A0-F772-4EE8-BC2E-FDF0D49AAA3E}">
  <sheetPr>
    <tabColor theme="9" tint="-0.499984740745262"/>
  </sheetPr>
  <dimension ref="A1:BI436"/>
  <sheetViews>
    <sheetView workbookViewId="0">
      <pane xSplit="1" ySplit="4" topLeftCell="B104" activePane="bottomRight" state="frozen"/>
      <selection pane="topRight" activeCell="B1" sqref="B1"/>
      <selection pane="bottomLeft" activeCell="A5" sqref="A5"/>
      <selection pane="bottomRight" activeCell="O138" sqref="O138"/>
    </sheetView>
  </sheetViews>
  <sheetFormatPr defaultRowHeight="14.4" x14ac:dyDescent="0.3"/>
  <cols>
    <col min="1" max="1" width="24" customWidth="1"/>
    <col min="2" max="58" width="11" customWidth="1"/>
    <col min="61" max="61" width="9.109375" bestFit="1" customWidth="1"/>
  </cols>
  <sheetData>
    <row r="1" spans="1:58" x14ac:dyDescent="0.3">
      <c r="A1" s="248" t="s">
        <v>770</v>
      </c>
      <c r="BF1" s="249" t="s">
        <v>771</v>
      </c>
    </row>
    <row r="2" spans="1:58" x14ac:dyDescent="0.3">
      <c r="A2" s="248" t="s">
        <v>772</v>
      </c>
    </row>
    <row r="4" spans="1:58" x14ac:dyDescent="0.3">
      <c r="A4" s="250" t="s">
        <v>773</v>
      </c>
      <c r="B4" s="251">
        <v>40178</v>
      </c>
      <c r="C4" s="251">
        <v>40268</v>
      </c>
      <c r="D4" s="251">
        <v>40359</v>
      </c>
      <c r="E4" s="251">
        <v>40451</v>
      </c>
      <c r="F4" s="251">
        <v>40543</v>
      </c>
      <c r="G4" s="251">
        <v>40633</v>
      </c>
      <c r="H4" s="251">
        <v>40724</v>
      </c>
      <c r="I4" s="251">
        <v>40816</v>
      </c>
      <c r="J4" s="251">
        <v>40908</v>
      </c>
      <c r="K4" s="251">
        <v>40999</v>
      </c>
      <c r="L4" s="251">
        <v>41090</v>
      </c>
      <c r="M4" s="251">
        <v>41182</v>
      </c>
      <c r="N4" s="251">
        <v>41274</v>
      </c>
      <c r="O4" s="251">
        <v>41364</v>
      </c>
      <c r="P4" s="251">
        <v>41455</v>
      </c>
      <c r="Q4" s="251">
        <v>41547</v>
      </c>
      <c r="R4" s="251">
        <v>41639</v>
      </c>
      <c r="S4" s="251">
        <v>41729</v>
      </c>
      <c r="T4" s="251">
        <v>41820</v>
      </c>
      <c r="U4" s="251">
        <v>41912</v>
      </c>
      <c r="V4" s="251">
        <v>42004</v>
      </c>
      <c r="W4" s="251">
        <v>42094</v>
      </c>
      <c r="X4" s="251">
        <v>42185</v>
      </c>
      <c r="Y4" s="251">
        <v>42277</v>
      </c>
      <c r="Z4" s="251">
        <v>42369</v>
      </c>
      <c r="AA4" s="251">
        <v>42460</v>
      </c>
      <c r="AB4" s="251">
        <v>42551</v>
      </c>
      <c r="AC4" s="251">
        <v>42643</v>
      </c>
      <c r="AD4" s="251">
        <v>42735</v>
      </c>
      <c r="AE4" s="251">
        <v>42825</v>
      </c>
      <c r="AF4" s="251">
        <v>42916</v>
      </c>
      <c r="AG4" s="251">
        <v>43008</v>
      </c>
      <c r="AH4" s="251">
        <v>43100</v>
      </c>
      <c r="AI4" s="251">
        <v>43190</v>
      </c>
      <c r="AJ4" s="251">
        <v>43281</v>
      </c>
      <c r="AK4" s="251">
        <v>43373</v>
      </c>
      <c r="AL4" s="251">
        <v>43465</v>
      </c>
      <c r="AM4" s="251">
        <v>43555</v>
      </c>
      <c r="AN4" s="251">
        <v>43646</v>
      </c>
      <c r="AO4" s="251">
        <v>43738</v>
      </c>
      <c r="AP4" s="251">
        <v>43830</v>
      </c>
      <c r="AQ4" s="251">
        <v>43921</v>
      </c>
      <c r="AR4" s="251">
        <v>44012</v>
      </c>
      <c r="AS4" s="251">
        <v>44104</v>
      </c>
      <c r="AT4" s="251">
        <v>44196</v>
      </c>
      <c r="AU4" s="251">
        <v>44286</v>
      </c>
      <c r="AV4" s="251">
        <v>44377</v>
      </c>
      <c r="AW4" s="251">
        <v>44469</v>
      </c>
      <c r="AX4" s="251">
        <v>44561</v>
      </c>
      <c r="AY4" s="251">
        <v>44651</v>
      </c>
      <c r="AZ4" s="251">
        <v>44742</v>
      </c>
      <c r="BA4" s="251">
        <v>44834</v>
      </c>
      <c r="BB4" s="251">
        <v>44926</v>
      </c>
      <c r="BC4" s="251">
        <v>45016</v>
      </c>
      <c r="BD4" s="251">
        <v>45107</v>
      </c>
      <c r="BE4" s="251">
        <v>45199</v>
      </c>
      <c r="BF4" s="251">
        <v>45291</v>
      </c>
    </row>
    <row r="5" spans="1:58" x14ac:dyDescent="0.3">
      <c r="A5" s="252" t="s">
        <v>774</v>
      </c>
      <c r="B5" s="253" t="s">
        <v>5</v>
      </c>
      <c r="C5" s="253" t="s">
        <v>5</v>
      </c>
      <c r="D5" s="253" t="s">
        <v>5</v>
      </c>
      <c r="E5" s="253" t="s">
        <v>5</v>
      </c>
      <c r="F5" s="253" t="s">
        <v>5</v>
      </c>
      <c r="G5" s="253" t="s">
        <v>5</v>
      </c>
      <c r="H5" s="253" t="s">
        <v>5</v>
      </c>
      <c r="I5" s="253" t="s">
        <v>5</v>
      </c>
      <c r="J5" s="253" t="s">
        <v>5</v>
      </c>
      <c r="K5" s="253" t="s">
        <v>5</v>
      </c>
      <c r="L5" s="253" t="s">
        <v>5</v>
      </c>
      <c r="M5" s="253" t="s">
        <v>5</v>
      </c>
      <c r="N5" s="253" t="s">
        <v>5</v>
      </c>
      <c r="O5" s="253" t="s">
        <v>5</v>
      </c>
      <c r="P5" s="253" t="s">
        <v>5</v>
      </c>
      <c r="Q5" s="253" t="s">
        <v>5</v>
      </c>
      <c r="R5" s="253" t="s">
        <v>5</v>
      </c>
      <c r="S5" s="253" t="s">
        <v>5</v>
      </c>
      <c r="T5" s="253" t="s">
        <v>5</v>
      </c>
      <c r="U5" s="253" t="s">
        <v>5</v>
      </c>
      <c r="V5" s="253" t="s">
        <v>5</v>
      </c>
      <c r="W5" s="253" t="s">
        <v>5</v>
      </c>
      <c r="X5" s="253" t="s">
        <v>5</v>
      </c>
      <c r="Y5" s="253" t="s">
        <v>5</v>
      </c>
      <c r="Z5" s="253" t="s">
        <v>5</v>
      </c>
      <c r="AA5" s="253" t="s">
        <v>5</v>
      </c>
      <c r="AB5" s="253" t="s">
        <v>5</v>
      </c>
      <c r="AC5" s="253" t="s">
        <v>5</v>
      </c>
      <c r="AD5" s="253" t="s">
        <v>5</v>
      </c>
      <c r="AE5" s="253" t="s">
        <v>5</v>
      </c>
      <c r="AF5" s="253" t="s">
        <v>5</v>
      </c>
      <c r="AG5" s="253" t="s">
        <v>5</v>
      </c>
      <c r="AH5" s="253" t="s">
        <v>5</v>
      </c>
      <c r="AI5" s="253" t="s">
        <v>5</v>
      </c>
      <c r="AJ5" s="253" t="s">
        <v>5</v>
      </c>
      <c r="AK5" s="253" t="s">
        <v>5</v>
      </c>
      <c r="AL5" s="253" t="s">
        <v>5</v>
      </c>
      <c r="AM5" s="253" t="s">
        <v>5</v>
      </c>
      <c r="AN5" s="253" t="s">
        <v>5</v>
      </c>
      <c r="AO5" s="253" t="s">
        <v>5</v>
      </c>
      <c r="AP5" s="253" t="s">
        <v>5</v>
      </c>
      <c r="AQ5" s="253" t="s">
        <v>5</v>
      </c>
      <c r="AR5" s="253" t="s">
        <v>5</v>
      </c>
      <c r="AS5" s="253" t="s">
        <v>5</v>
      </c>
      <c r="AT5" s="253" t="s">
        <v>5</v>
      </c>
      <c r="AU5" s="253" t="s">
        <v>5</v>
      </c>
      <c r="AV5" s="253" t="s">
        <v>5</v>
      </c>
      <c r="AW5" s="253" t="s">
        <v>5</v>
      </c>
      <c r="AX5" s="253" t="s">
        <v>5</v>
      </c>
      <c r="AY5" s="253" t="s">
        <v>5</v>
      </c>
      <c r="AZ5" s="253" t="s">
        <v>5</v>
      </c>
      <c r="BA5" s="253" t="s">
        <v>5</v>
      </c>
      <c r="BB5" s="253" t="s">
        <v>5</v>
      </c>
      <c r="BC5" s="253" t="s">
        <v>5</v>
      </c>
      <c r="BD5" s="253" t="s">
        <v>5</v>
      </c>
      <c r="BE5" s="253" t="s">
        <v>5</v>
      </c>
      <c r="BF5" s="253" t="s">
        <v>5</v>
      </c>
    </row>
    <row r="6" spans="1:58" x14ac:dyDescent="0.3">
      <c r="A6" s="252" t="s">
        <v>775</v>
      </c>
      <c r="B6" s="253" t="s">
        <v>776</v>
      </c>
      <c r="C6" s="253" t="s">
        <v>776</v>
      </c>
      <c r="D6" s="253" t="s">
        <v>776</v>
      </c>
      <c r="E6" s="253" t="s">
        <v>776</v>
      </c>
      <c r="F6" s="253" t="s">
        <v>777</v>
      </c>
      <c r="G6" s="253" t="s">
        <v>777</v>
      </c>
      <c r="H6" s="253" t="s">
        <v>777</v>
      </c>
      <c r="I6" s="253" t="s">
        <v>777</v>
      </c>
      <c r="J6" s="253" t="s">
        <v>777</v>
      </c>
      <c r="K6" s="253" t="s">
        <v>777</v>
      </c>
      <c r="L6" s="253" t="s">
        <v>777</v>
      </c>
      <c r="M6" s="253" t="s">
        <v>777</v>
      </c>
      <c r="N6" s="253" t="s">
        <v>777</v>
      </c>
      <c r="O6" s="253" t="s">
        <v>777</v>
      </c>
      <c r="P6" s="253" t="s">
        <v>777</v>
      </c>
      <c r="Q6" s="253" t="s">
        <v>777</v>
      </c>
      <c r="R6" s="253" t="s">
        <v>777</v>
      </c>
      <c r="S6" s="253" t="s">
        <v>777</v>
      </c>
      <c r="T6" s="253" t="s">
        <v>777</v>
      </c>
      <c r="U6" s="253" t="s">
        <v>777</v>
      </c>
      <c r="V6" s="253" t="s">
        <v>777</v>
      </c>
      <c r="W6" s="253" t="s">
        <v>777</v>
      </c>
      <c r="X6" s="253" t="s">
        <v>777</v>
      </c>
      <c r="Y6" s="253" t="s">
        <v>777</v>
      </c>
      <c r="Z6" s="253" t="s">
        <v>777</v>
      </c>
      <c r="AA6" s="253" t="s">
        <v>777</v>
      </c>
      <c r="AB6" s="253" t="s">
        <v>777</v>
      </c>
      <c r="AC6" s="253" t="s">
        <v>777</v>
      </c>
      <c r="AD6" s="253" t="s">
        <v>777</v>
      </c>
      <c r="AE6" s="253" t="s">
        <v>777</v>
      </c>
      <c r="AF6" s="253" t="s">
        <v>777</v>
      </c>
      <c r="AG6" s="253" t="s">
        <v>777</v>
      </c>
      <c r="AH6" s="253" t="s">
        <v>777</v>
      </c>
      <c r="AI6" s="253" t="s">
        <v>777</v>
      </c>
      <c r="AJ6" s="253" t="s">
        <v>777</v>
      </c>
      <c r="AK6" s="253" t="s">
        <v>777</v>
      </c>
      <c r="AL6" s="253" t="s">
        <v>777</v>
      </c>
      <c r="AM6" s="253" t="s">
        <v>777</v>
      </c>
      <c r="AN6" s="253" t="s">
        <v>777</v>
      </c>
      <c r="AO6" s="253" t="s">
        <v>777</v>
      </c>
      <c r="AP6" s="253" t="s">
        <v>777</v>
      </c>
      <c r="AQ6" s="253" t="s">
        <v>777</v>
      </c>
      <c r="AR6" s="253" t="s">
        <v>777</v>
      </c>
      <c r="AS6" s="253" t="s">
        <v>777</v>
      </c>
      <c r="AT6" s="253" t="s">
        <v>777</v>
      </c>
      <c r="AU6" s="253" t="s">
        <v>777</v>
      </c>
      <c r="AV6" s="253" t="s">
        <v>777</v>
      </c>
      <c r="AW6" s="253" t="s">
        <v>777</v>
      </c>
      <c r="AX6" s="253" t="s">
        <v>777</v>
      </c>
      <c r="AY6" s="253" t="s">
        <v>777</v>
      </c>
      <c r="AZ6" s="253" t="s">
        <v>777</v>
      </c>
      <c r="BA6" s="253" t="s">
        <v>777</v>
      </c>
      <c r="BB6" s="253" t="s">
        <v>777</v>
      </c>
      <c r="BC6" s="253" t="s">
        <v>777</v>
      </c>
      <c r="BD6" s="253" t="s">
        <v>777</v>
      </c>
      <c r="BE6" s="253" t="s">
        <v>777</v>
      </c>
      <c r="BF6" s="253" t="s">
        <v>777</v>
      </c>
    </row>
    <row r="7" spans="1:58" x14ac:dyDescent="0.3">
      <c r="A7" s="252" t="s">
        <v>778</v>
      </c>
      <c r="B7" s="253" t="s">
        <v>779</v>
      </c>
      <c r="C7" s="253" t="s">
        <v>779</v>
      </c>
      <c r="D7" s="253" t="s">
        <v>779</v>
      </c>
      <c r="E7" s="253" t="s">
        <v>779</v>
      </c>
      <c r="F7" s="253" t="s">
        <v>779</v>
      </c>
      <c r="G7" s="253" t="s">
        <v>779</v>
      </c>
      <c r="H7" s="253" t="s">
        <v>779</v>
      </c>
      <c r="I7" s="253" t="s">
        <v>779</v>
      </c>
      <c r="J7" s="253" t="s">
        <v>779</v>
      </c>
      <c r="K7" s="253" t="s">
        <v>779</v>
      </c>
      <c r="L7" s="253" t="s">
        <v>779</v>
      </c>
      <c r="M7" s="253" t="s">
        <v>779</v>
      </c>
      <c r="N7" s="253" t="s">
        <v>779</v>
      </c>
      <c r="O7" s="253" t="s">
        <v>779</v>
      </c>
      <c r="P7" s="253" t="s">
        <v>779</v>
      </c>
      <c r="Q7" s="253" t="s">
        <v>779</v>
      </c>
      <c r="R7" s="253" t="s">
        <v>779</v>
      </c>
      <c r="S7" s="253" t="s">
        <v>779</v>
      </c>
      <c r="T7" s="253" t="s">
        <v>779</v>
      </c>
      <c r="U7" s="253" t="s">
        <v>779</v>
      </c>
      <c r="V7" s="253" t="s">
        <v>779</v>
      </c>
      <c r="W7" s="253" t="s">
        <v>779</v>
      </c>
      <c r="X7" s="253" t="s">
        <v>779</v>
      </c>
      <c r="Y7" s="253" t="s">
        <v>779</v>
      </c>
      <c r="Z7" s="253" t="s">
        <v>779</v>
      </c>
      <c r="AA7" s="253" t="s">
        <v>779</v>
      </c>
      <c r="AB7" s="253" t="s">
        <v>779</v>
      </c>
      <c r="AC7" s="253" t="s">
        <v>779</v>
      </c>
      <c r="AD7" s="253" t="s">
        <v>779</v>
      </c>
      <c r="AE7" s="253" t="s">
        <v>779</v>
      </c>
      <c r="AF7" s="253" t="s">
        <v>779</v>
      </c>
      <c r="AG7" s="253" t="s">
        <v>779</v>
      </c>
      <c r="AH7" s="253" t="s">
        <v>779</v>
      </c>
      <c r="AI7" s="253" t="s">
        <v>779</v>
      </c>
      <c r="AJ7" s="253" t="s">
        <v>779</v>
      </c>
      <c r="AK7" s="253" t="s">
        <v>779</v>
      </c>
      <c r="AL7" s="253" t="s">
        <v>779</v>
      </c>
      <c r="AM7" s="253" t="s">
        <v>779</v>
      </c>
      <c r="AN7" s="253" t="s">
        <v>779</v>
      </c>
      <c r="AO7" s="253" t="s">
        <v>779</v>
      </c>
      <c r="AP7" s="253" t="s">
        <v>779</v>
      </c>
      <c r="AQ7" s="253" t="s">
        <v>779</v>
      </c>
      <c r="AR7" s="253" t="s">
        <v>779</v>
      </c>
      <c r="AS7" s="253" t="s">
        <v>779</v>
      </c>
      <c r="AT7" s="253" t="s">
        <v>779</v>
      </c>
      <c r="AU7" s="253" t="s">
        <v>779</v>
      </c>
      <c r="AV7" s="253" t="s">
        <v>779</v>
      </c>
      <c r="AW7" s="253" t="s">
        <v>779</v>
      </c>
      <c r="AX7" s="253" t="s">
        <v>779</v>
      </c>
      <c r="AY7" s="253" t="s">
        <v>779</v>
      </c>
      <c r="AZ7" s="253" t="s">
        <v>779</v>
      </c>
      <c r="BA7" s="253" t="s">
        <v>779</v>
      </c>
      <c r="BB7" s="253" t="s">
        <v>779</v>
      </c>
      <c r="BC7" s="253" t="s">
        <v>779</v>
      </c>
      <c r="BD7" s="253" t="s">
        <v>779</v>
      </c>
      <c r="BE7" s="253" t="s">
        <v>779</v>
      </c>
      <c r="BF7" s="253" t="s">
        <v>779</v>
      </c>
    </row>
    <row r="8" spans="1:58" x14ac:dyDescent="0.3">
      <c r="A8" s="252"/>
      <c r="B8" s="253"/>
      <c r="C8" s="253"/>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row>
    <row r="9" spans="1:58" x14ac:dyDescent="0.3">
      <c r="A9" s="252" t="s">
        <v>780</v>
      </c>
      <c r="B9" s="253" t="s">
        <v>5</v>
      </c>
      <c r="C9" s="253" t="s">
        <v>5</v>
      </c>
      <c r="D9" s="253" t="s">
        <v>5</v>
      </c>
      <c r="E9" s="253" t="s">
        <v>5</v>
      </c>
      <c r="F9" s="253" t="s">
        <v>5</v>
      </c>
      <c r="G9" s="253" t="s">
        <v>5</v>
      </c>
      <c r="H9" s="253" t="s">
        <v>5</v>
      </c>
      <c r="I9" s="253" t="s">
        <v>5</v>
      </c>
      <c r="J9" s="253" t="s">
        <v>5</v>
      </c>
      <c r="K9" s="253" t="s">
        <v>5</v>
      </c>
      <c r="L9" s="253" t="s">
        <v>5</v>
      </c>
      <c r="M9" s="253" t="s">
        <v>5</v>
      </c>
      <c r="N9" s="253" t="s">
        <v>5</v>
      </c>
      <c r="O9" s="253" t="s">
        <v>5</v>
      </c>
      <c r="P9" s="253" t="s">
        <v>5</v>
      </c>
      <c r="Q9" s="253" t="s">
        <v>5</v>
      </c>
      <c r="R9" s="253" t="s">
        <v>5</v>
      </c>
      <c r="S9" s="253" t="s">
        <v>5</v>
      </c>
      <c r="T9" s="253" t="s">
        <v>5</v>
      </c>
      <c r="U9" s="253" t="s">
        <v>5</v>
      </c>
      <c r="V9" s="253" t="s">
        <v>5</v>
      </c>
      <c r="W9" s="253" t="s">
        <v>5</v>
      </c>
      <c r="X9" s="253" t="s">
        <v>5</v>
      </c>
      <c r="Y9" s="253" t="s">
        <v>5</v>
      </c>
      <c r="Z9" s="253" t="s">
        <v>5</v>
      </c>
      <c r="AA9" s="253" t="s">
        <v>5</v>
      </c>
      <c r="AB9" s="253" t="s">
        <v>5</v>
      </c>
      <c r="AC9" s="253" t="s">
        <v>5</v>
      </c>
      <c r="AD9" s="253" t="s">
        <v>5</v>
      </c>
      <c r="AE9" s="253" t="s">
        <v>5</v>
      </c>
      <c r="AF9" s="253" t="s">
        <v>5</v>
      </c>
      <c r="AG9" s="253" t="s">
        <v>5</v>
      </c>
      <c r="AH9" s="253" t="s">
        <v>5</v>
      </c>
      <c r="AI9" s="253" t="s">
        <v>5</v>
      </c>
      <c r="AJ9" s="253" t="s">
        <v>5</v>
      </c>
      <c r="AK9" s="253" t="s">
        <v>5</v>
      </c>
      <c r="AL9" s="253" t="s">
        <v>5</v>
      </c>
      <c r="AM9" s="253" t="s">
        <v>5</v>
      </c>
      <c r="AN9" s="253" t="s">
        <v>5</v>
      </c>
      <c r="AO9" s="253" t="s">
        <v>5</v>
      </c>
      <c r="AP9" s="253" t="s">
        <v>5</v>
      </c>
      <c r="AQ9" s="253" t="s">
        <v>5</v>
      </c>
      <c r="AR9" s="253" t="s">
        <v>5</v>
      </c>
      <c r="AS9" s="253" t="s">
        <v>5</v>
      </c>
      <c r="AT9" s="253" t="s">
        <v>5</v>
      </c>
      <c r="AU9" s="253" t="s">
        <v>5</v>
      </c>
      <c r="AV9" s="253" t="s">
        <v>5</v>
      </c>
      <c r="AW9" s="253" t="s">
        <v>5</v>
      </c>
      <c r="AX9" s="253" t="s">
        <v>5</v>
      </c>
      <c r="AY9" s="253" t="s">
        <v>5</v>
      </c>
      <c r="AZ9" s="253" t="s">
        <v>5</v>
      </c>
      <c r="BA9" s="253" t="s">
        <v>5</v>
      </c>
      <c r="BB9" s="253" t="s">
        <v>5</v>
      </c>
      <c r="BC9" s="253" t="s">
        <v>5</v>
      </c>
      <c r="BD9" s="253" t="s">
        <v>5</v>
      </c>
      <c r="BE9" s="253" t="s">
        <v>5</v>
      </c>
      <c r="BF9" s="253" t="s">
        <v>5</v>
      </c>
    </row>
    <row r="10" spans="1:58" x14ac:dyDescent="0.3">
      <c r="A10" s="252" t="s">
        <v>781</v>
      </c>
      <c r="B10" s="254">
        <v>417861</v>
      </c>
      <c r="C10" s="254">
        <v>402826</v>
      </c>
      <c r="D10" s="254">
        <v>422430</v>
      </c>
      <c r="E10" s="254">
        <v>396183</v>
      </c>
      <c r="F10" s="254">
        <v>2695652</v>
      </c>
      <c r="G10" s="254">
        <v>2708775</v>
      </c>
      <c r="H10" s="254">
        <v>4379278</v>
      </c>
      <c r="I10" s="254">
        <v>4422095</v>
      </c>
      <c r="J10" s="254">
        <v>5390091</v>
      </c>
      <c r="K10" s="254">
        <v>5823076</v>
      </c>
      <c r="L10" s="254">
        <v>4366107</v>
      </c>
      <c r="M10" s="254">
        <v>4246531</v>
      </c>
      <c r="N10" s="254">
        <v>4256468</v>
      </c>
      <c r="O10" s="254">
        <v>4217434</v>
      </c>
      <c r="P10" s="254">
        <v>4179763</v>
      </c>
      <c r="Q10" s="254">
        <v>3171132</v>
      </c>
      <c r="R10" s="254">
        <v>1805279</v>
      </c>
      <c r="S10" s="254">
        <v>1942225</v>
      </c>
      <c r="T10" s="254">
        <v>1931284</v>
      </c>
      <c r="U10" s="254">
        <v>1981903</v>
      </c>
      <c r="V10" s="254">
        <v>1061138</v>
      </c>
      <c r="W10" s="254">
        <v>1133728</v>
      </c>
      <c r="X10" s="254">
        <v>1043268</v>
      </c>
      <c r="Y10" s="254">
        <v>1233805</v>
      </c>
      <c r="Z10" s="254">
        <v>1177037</v>
      </c>
      <c r="AA10" s="254">
        <v>1098993</v>
      </c>
      <c r="AB10" s="254">
        <v>998456</v>
      </c>
      <c r="AC10" s="254">
        <v>1087135</v>
      </c>
      <c r="AD10" s="254">
        <v>1082369</v>
      </c>
      <c r="AE10" s="254">
        <v>1400312</v>
      </c>
      <c r="AF10" s="254">
        <v>1379460</v>
      </c>
      <c r="AG10" s="254">
        <v>1377661</v>
      </c>
      <c r="AH10" s="254">
        <v>1251764</v>
      </c>
      <c r="AI10" s="254">
        <v>1228426</v>
      </c>
      <c r="AJ10" s="254">
        <v>1459604</v>
      </c>
      <c r="AK10" s="254">
        <v>1279999</v>
      </c>
      <c r="AL10" s="254">
        <v>1537063</v>
      </c>
      <c r="AM10" s="254">
        <v>4332603</v>
      </c>
      <c r="AN10" s="254">
        <v>4387144</v>
      </c>
      <c r="AO10" s="254">
        <v>4596221</v>
      </c>
      <c r="AP10" s="254">
        <v>5489751</v>
      </c>
      <c r="AQ10" s="254">
        <v>6984388</v>
      </c>
      <c r="AR10" s="254">
        <v>6660586</v>
      </c>
      <c r="AS10" s="254">
        <v>7055431</v>
      </c>
      <c r="AT10" s="254">
        <v>6792833</v>
      </c>
      <c r="AU10" s="254">
        <v>9341748</v>
      </c>
      <c r="AV10" s="254">
        <v>10504500</v>
      </c>
      <c r="AW10" s="254">
        <v>11445166</v>
      </c>
      <c r="AX10" s="254">
        <v>12221416</v>
      </c>
      <c r="AY10" s="254">
        <v>12862921</v>
      </c>
      <c r="AZ10" s="254">
        <v>16292271</v>
      </c>
      <c r="BA10" s="254">
        <v>19920152</v>
      </c>
      <c r="BB10" s="254">
        <v>20302520</v>
      </c>
      <c r="BC10" s="254">
        <v>25623115</v>
      </c>
      <c r="BD10" s="254">
        <v>25991952</v>
      </c>
      <c r="BE10" s="254">
        <v>28521683</v>
      </c>
      <c r="BF10" s="254">
        <v>28310932</v>
      </c>
    </row>
    <row r="11" spans="1:58" x14ac:dyDescent="0.3">
      <c r="A11" s="255" t="s">
        <v>782</v>
      </c>
      <c r="B11" s="256">
        <v>355870</v>
      </c>
      <c r="C11" s="256">
        <v>311942</v>
      </c>
      <c r="D11" s="256">
        <v>266515</v>
      </c>
      <c r="E11" s="256">
        <v>170640</v>
      </c>
      <c r="F11" s="256">
        <v>2446144</v>
      </c>
      <c r="G11" s="256">
        <v>2317659</v>
      </c>
      <c r="H11" s="256">
        <v>979498</v>
      </c>
      <c r="I11" s="256">
        <v>2143674</v>
      </c>
      <c r="J11" s="256">
        <v>2853585</v>
      </c>
      <c r="K11" s="256">
        <v>2044900</v>
      </c>
      <c r="L11" s="256">
        <v>1449213</v>
      </c>
      <c r="M11" s="256">
        <v>1242500</v>
      </c>
      <c r="N11" s="256">
        <v>982930</v>
      </c>
      <c r="O11" s="256">
        <v>944726</v>
      </c>
      <c r="P11" s="256">
        <v>648540</v>
      </c>
      <c r="Q11" s="256">
        <v>474340</v>
      </c>
      <c r="R11" s="256">
        <v>673250</v>
      </c>
      <c r="S11" s="256">
        <v>601361</v>
      </c>
      <c r="T11" s="256">
        <v>656632</v>
      </c>
      <c r="U11" s="256">
        <v>695377</v>
      </c>
      <c r="V11" s="256">
        <v>806236</v>
      </c>
      <c r="W11" s="256">
        <v>813775</v>
      </c>
      <c r="X11" s="256">
        <v>749206</v>
      </c>
      <c r="Y11" s="256">
        <v>891147</v>
      </c>
      <c r="Z11" s="256">
        <v>899822</v>
      </c>
      <c r="AA11" s="256">
        <v>822542</v>
      </c>
      <c r="AB11" s="256">
        <v>716120</v>
      </c>
      <c r="AC11" s="256">
        <v>784300</v>
      </c>
      <c r="AD11" s="256">
        <v>781580</v>
      </c>
      <c r="AE11" s="256">
        <v>927548</v>
      </c>
      <c r="AF11" s="256">
        <v>911831</v>
      </c>
      <c r="AG11" s="256">
        <v>921758</v>
      </c>
      <c r="AH11" s="256">
        <v>849655</v>
      </c>
      <c r="AI11" s="256">
        <v>807148</v>
      </c>
      <c r="AJ11" s="256">
        <v>985089</v>
      </c>
      <c r="AK11" s="256">
        <v>794540</v>
      </c>
      <c r="AL11" s="256">
        <v>1039562</v>
      </c>
      <c r="AM11" s="256">
        <v>675301</v>
      </c>
      <c r="AN11" s="256">
        <v>1000921</v>
      </c>
      <c r="AO11" s="256">
        <v>1139211</v>
      </c>
      <c r="AP11" s="256">
        <v>1513090</v>
      </c>
      <c r="AQ11" s="256">
        <v>1732269</v>
      </c>
      <c r="AR11" s="256">
        <v>1400073</v>
      </c>
      <c r="AS11" s="256">
        <v>1650433</v>
      </c>
      <c r="AT11" s="256">
        <v>1841415</v>
      </c>
      <c r="AU11" s="256">
        <v>4097287</v>
      </c>
      <c r="AV11" s="256">
        <v>5517215</v>
      </c>
      <c r="AW11" s="256">
        <v>5463662</v>
      </c>
      <c r="AX11" s="256">
        <v>6106295</v>
      </c>
      <c r="AY11" s="256">
        <v>6805410</v>
      </c>
      <c r="AZ11" s="256">
        <v>7975120</v>
      </c>
      <c r="BA11" s="256">
        <v>11122283</v>
      </c>
      <c r="BB11" s="256">
        <v>10602627</v>
      </c>
      <c r="BC11" s="256">
        <v>3884323</v>
      </c>
      <c r="BD11" s="256">
        <v>3664023</v>
      </c>
      <c r="BE11" s="256">
        <v>5086534</v>
      </c>
      <c r="BF11" s="256">
        <v>5294874</v>
      </c>
    </row>
    <row r="12" spans="1:58" x14ac:dyDescent="0.3">
      <c r="A12" s="257" t="s">
        <v>783</v>
      </c>
      <c r="B12" s="258" t="s">
        <v>784</v>
      </c>
      <c r="C12" s="258" t="s">
        <v>784</v>
      </c>
      <c r="D12" s="258" t="s">
        <v>784</v>
      </c>
      <c r="E12" s="258" t="s">
        <v>784</v>
      </c>
      <c r="F12" s="259">
        <v>20850</v>
      </c>
      <c r="G12" s="259">
        <v>6736</v>
      </c>
      <c r="H12" s="259">
        <v>84257</v>
      </c>
      <c r="I12" s="259">
        <v>77472</v>
      </c>
      <c r="J12" s="259">
        <v>57002</v>
      </c>
      <c r="K12" s="259">
        <v>10298</v>
      </c>
      <c r="L12" s="259">
        <v>24646</v>
      </c>
      <c r="M12" s="259">
        <v>21178</v>
      </c>
      <c r="N12" s="259">
        <v>37608</v>
      </c>
      <c r="O12" s="259">
        <v>49409</v>
      </c>
      <c r="P12" s="259">
        <v>40527</v>
      </c>
      <c r="Q12" s="259">
        <v>11973</v>
      </c>
      <c r="R12" s="259">
        <v>33582</v>
      </c>
      <c r="S12" s="259">
        <v>186937</v>
      </c>
      <c r="T12" s="259">
        <v>349581</v>
      </c>
      <c r="U12" s="259">
        <v>397688</v>
      </c>
      <c r="V12" s="259">
        <v>350634</v>
      </c>
      <c r="W12" s="259">
        <v>309187</v>
      </c>
      <c r="X12" s="259">
        <v>327857</v>
      </c>
      <c r="Y12" s="259">
        <v>167194</v>
      </c>
      <c r="Z12" s="259">
        <v>283951</v>
      </c>
      <c r="AA12" s="259">
        <v>165487</v>
      </c>
      <c r="AB12" s="259">
        <v>28069</v>
      </c>
      <c r="AC12" s="259">
        <v>13273</v>
      </c>
      <c r="AD12" s="259">
        <v>24793</v>
      </c>
      <c r="AE12" s="259">
        <v>13353</v>
      </c>
      <c r="AF12" s="259">
        <v>41604</v>
      </c>
      <c r="AG12" s="259">
        <v>27878</v>
      </c>
      <c r="AH12" s="259">
        <v>92445</v>
      </c>
      <c r="AI12" s="259">
        <v>86663</v>
      </c>
      <c r="AJ12" s="259">
        <v>69331</v>
      </c>
      <c r="AK12" s="259">
        <v>28160</v>
      </c>
      <c r="AL12" s="259">
        <v>154109</v>
      </c>
      <c r="AM12" s="259">
        <v>107363</v>
      </c>
      <c r="AN12" s="259">
        <v>392879</v>
      </c>
      <c r="AO12" s="259">
        <v>358921</v>
      </c>
      <c r="AP12" s="259">
        <v>459396</v>
      </c>
      <c r="AQ12" s="259">
        <v>315180</v>
      </c>
      <c r="AR12" s="259">
        <v>319688</v>
      </c>
      <c r="AS12" s="259">
        <v>422585</v>
      </c>
      <c r="AT12" s="259">
        <v>809273</v>
      </c>
      <c r="AU12" s="259">
        <v>3185031</v>
      </c>
      <c r="AV12" s="259">
        <v>3381619</v>
      </c>
      <c r="AW12" s="259">
        <v>1948979</v>
      </c>
      <c r="AX12" s="259">
        <v>970681</v>
      </c>
      <c r="AY12" s="259">
        <v>3091614</v>
      </c>
      <c r="AZ12" s="259">
        <v>3193381</v>
      </c>
      <c r="BA12" s="259">
        <v>8362706</v>
      </c>
      <c r="BB12" s="259">
        <v>9612961</v>
      </c>
      <c r="BC12" s="259">
        <v>527180</v>
      </c>
      <c r="BD12" s="259">
        <v>1155253</v>
      </c>
      <c r="BE12" s="259">
        <v>2225259</v>
      </c>
      <c r="BF12" s="259">
        <v>2335403</v>
      </c>
    </row>
    <row r="13" spans="1:58" x14ac:dyDescent="0.3">
      <c r="A13" s="257" t="s">
        <v>785</v>
      </c>
      <c r="B13" s="258" t="s">
        <v>784</v>
      </c>
      <c r="C13" s="258" t="s">
        <v>784</v>
      </c>
      <c r="D13" s="258" t="s">
        <v>784</v>
      </c>
      <c r="E13" s="258" t="s">
        <v>784</v>
      </c>
      <c r="F13" s="259">
        <v>2405724</v>
      </c>
      <c r="G13" s="259">
        <v>2261079</v>
      </c>
      <c r="H13" s="259">
        <v>801450</v>
      </c>
      <c r="I13" s="259">
        <v>1935650</v>
      </c>
      <c r="J13" s="259">
        <v>1434177</v>
      </c>
      <c r="K13" s="259">
        <v>1226044</v>
      </c>
      <c r="L13" s="259">
        <v>1344061</v>
      </c>
      <c r="M13" s="259">
        <v>1154556</v>
      </c>
      <c r="N13" s="259">
        <v>870650</v>
      </c>
      <c r="O13" s="259">
        <v>637911</v>
      </c>
      <c r="P13" s="259">
        <v>324132</v>
      </c>
      <c r="Q13" s="259">
        <v>144965</v>
      </c>
      <c r="R13" s="259">
        <v>393958</v>
      </c>
      <c r="S13" s="259">
        <v>121332</v>
      </c>
      <c r="T13" s="259">
        <v>15488</v>
      </c>
      <c r="U13" s="259">
        <v>6212</v>
      </c>
      <c r="V13" s="259">
        <v>98312</v>
      </c>
      <c r="W13" s="259">
        <v>52935</v>
      </c>
      <c r="X13" s="259">
        <v>27781</v>
      </c>
      <c r="Y13" s="259">
        <v>250106</v>
      </c>
      <c r="Z13" s="259">
        <v>213090</v>
      </c>
      <c r="AA13" s="259">
        <v>329861</v>
      </c>
      <c r="AB13" s="259">
        <v>411334</v>
      </c>
      <c r="AC13" s="259">
        <v>515293</v>
      </c>
      <c r="AD13" s="259">
        <v>546507</v>
      </c>
      <c r="AE13" s="259">
        <v>649599</v>
      </c>
      <c r="AF13" s="259">
        <v>615468</v>
      </c>
      <c r="AG13" s="259">
        <v>655738</v>
      </c>
      <c r="AH13" s="259">
        <v>511863</v>
      </c>
      <c r="AI13" s="259">
        <v>475776</v>
      </c>
      <c r="AJ13" s="259">
        <v>652191</v>
      </c>
      <c r="AK13" s="259">
        <v>501935</v>
      </c>
      <c r="AL13" s="259">
        <v>643783</v>
      </c>
      <c r="AM13" s="259">
        <v>162391</v>
      </c>
      <c r="AN13" s="259">
        <v>132872</v>
      </c>
      <c r="AO13" s="259">
        <v>252003</v>
      </c>
      <c r="AP13" s="259">
        <v>226301</v>
      </c>
      <c r="AQ13" s="259">
        <v>102039</v>
      </c>
      <c r="AR13" s="259">
        <v>24081</v>
      </c>
      <c r="AS13" s="259">
        <v>34009</v>
      </c>
      <c r="AT13" s="259">
        <v>22793</v>
      </c>
      <c r="AU13" s="259">
        <v>77820</v>
      </c>
      <c r="AV13" s="259">
        <v>1135096</v>
      </c>
      <c r="AW13" s="259">
        <v>2577231</v>
      </c>
      <c r="AX13" s="259">
        <v>3680185</v>
      </c>
      <c r="AY13" s="259">
        <v>2352001</v>
      </c>
      <c r="AZ13" s="259">
        <v>3365992</v>
      </c>
      <c r="BA13" s="259">
        <v>928879</v>
      </c>
      <c r="BB13" s="259">
        <v>0</v>
      </c>
      <c r="BC13" s="259">
        <v>0</v>
      </c>
      <c r="BD13" s="259">
        <v>0</v>
      </c>
      <c r="BE13" s="259">
        <v>0</v>
      </c>
      <c r="BF13" s="259">
        <v>0</v>
      </c>
    </row>
    <row r="14" spans="1:58" x14ac:dyDescent="0.3">
      <c r="A14" s="260" t="s">
        <v>786</v>
      </c>
      <c r="B14" s="261" t="s">
        <v>784</v>
      </c>
      <c r="C14" s="261" t="s">
        <v>784</v>
      </c>
      <c r="D14" s="261" t="s">
        <v>784</v>
      </c>
      <c r="E14" s="261" t="s">
        <v>784</v>
      </c>
      <c r="F14" s="256">
        <v>2405724</v>
      </c>
      <c r="G14" s="261" t="s">
        <v>784</v>
      </c>
      <c r="H14" s="261" t="s">
        <v>784</v>
      </c>
      <c r="I14" s="261" t="s">
        <v>784</v>
      </c>
      <c r="J14" s="261" t="s">
        <v>784</v>
      </c>
      <c r="K14" s="261" t="s">
        <v>784</v>
      </c>
      <c r="L14" s="261" t="s">
        <v>784</v>
      </c>
      <c r="M14" s="261" t="s">
        <v>784</v>
      </c>
      <c r="N14" s="261" t="s">
        <v>784</v>
      </c>
      <c r="O14" s="261" t="s">
        <v>784</v>
      </c>
      <c r="P14" s="261" t="s">
        <v>784</v>
      </c>
      <c r="Q14" s="261" t="s">
        <v>784</v>
      </c>
      <c r="R14" s="256">
        <v>120957</v>
      </c>
      <c r="S14" s="256">
        <v>121332</v>
      </c>
      <c r="T14" s="256">
        <v>0</v>
      </c>
      <c r="U14" s="256">
        <v>6212</v>
      </c>
      <c r="V14" s="256">
        <v>98312</v>
      </c>
      <c r="W14" s="256">
        <v>52935</v>
      </c>
      <c r="X14" s="256">
        <v>27781</v>
      </c>
      <c r="Y14" s="256">
        <v>250106</v>
      </c>
      <c r="Z14" s="256">
        <v>193296</v>
      </c>
      <c r="AA14" s="256">
        <v>293661</v>
      </c>
      <c r="AB14" s="256">
        <v>378204</v>
      </c>
      <c r="AC14" s="256">
        <v>481297</v>
      </c>
      <c r="AD14" s="256">
        <v>546507</v>
      </c>
      <c r="AE14" s="256">
        <v>649599</v>
      </c>
      <c r="AF14" s="256">
        <v>615468</v>
      </c>
      <c r="AG14" s="256">
        <v>655738</v>
      </c>
      <c r="AH14" s="256">
        <v>511863</v>
      </c>
      <c r="AI14" s="256">
        <v>475776</v>
      </c>
      <c r="AJ14" s="256">
        <v>652191</v>
      </c>
      <c r="AK14" s="256">
        <v>501935</v>
      </c>
      <c r="AL14" s="256">
        <v>643783</v>
      </c>
      <c r="AM14" s="256">
        <v>162391</v>
      </c>
      <c r="AN14" s="256">
        <v>132872</v>
      </c>
      <c r="AO14" s="256">
        <v>252003</v>
      </c>
      <c r="AP14" s="256">
        <v>226301</v>
      </c>
      <c r="AQ14" s="256">
        <v>102039</v>
      </c>
      <c r="AR14" s="256">
        <v>24081</v>
      </c>
      <c r="AS14" s="256">
        <v>34009</v>
      </c>
      <c r="AT14" s="256">
        <v>22793</v>
      </c>
      <c r="AU14" s="256">
        <v>77820</v>
      </c>
      <c r="AV14" s="256">
        <v>1135096</v>
      </c>
      <c r="AW14" s="256">
        <v>2577231</v>
      </c>
      <c r="AX14" s="256">
        <v>3680185</v>
      </c>
      <c r="AY14" s="256">
        <v>2352001</v>
      </c>
      <c r="AZ14" s="256">
        <v>3365992</v>
      </c>
      <c r="BA14" s="256">
        <v>928879</v>
      </c>
      <c r="BB14" s="256">
        <v>0</v>
      </c>
      <c r="BC14" s="256">
        <v>0</v>
      </c>
      <c r="BD14" s="256">
        <v>0</v>
      </c>
      <c r="BE14" s="256">
        <v>0</v>
      </c>
      <c r="BF14" s="256">
        <v>0</v>
      </c>
    </row>
    <row r="15" spans="1:58" x14ac:dyDescent="0.3">
      <c r="A15" s="262" t="s">
        <v>787</v>
      </c>
      <c r="B15" s="253" t="s">
        <v>784</v>
      </c>
      <c r="C15" s="253" t="s">
        <v>784</v>
      </c>
      <c r="D15" s="253" t="s">
        <v>784</v>
      </c>
      <c r="E15" s="253" t="s">
        <v>784</v>
      </c>
      <c r="F15" s="253" t="s">
        <v>784</v>
      </c>
      <c r="G15" s="253" t="s">
        <v>784</v>
      </c>
      <c r="H15" s="253" t="s">
        <v>784</v>
      </c>
      <c r="I15" s="253" t="s">
        <v>784</v>
      </c>
      <c r="J15" s="253" t="s">
        <v>784</v>
      </c>
      <c r="K15" s="253" t="s">
        <v>784</v>
      </c>
      <c r="L15" s="253" t="s">
        <v>784</v>
      </c>
      <c r="M15" s="253" t="s">
        <v>784</v>
      </c>
      <c r="N15" s="253" t="s">
        <v>784</v>
      </c>
      <c r="O15" s="253" t="s">
        <v>784</v>
      </c>
      <c r="P15" s="253" t="s">
        <v>784</v>
      </c>
      <c r="Q15" s="253" t="s">
        <v>784</v>
      </c>
      <c r="R15" s="253" t="s">
        <v>784</v>
      </c>
      <c r="S15" s="253" t="s">
        <v>784</v>
      </c>
      <c r="T15" s="253" t="s">
        <v>784</v>
      </c>
      <c r="U15" s="253" t="s">
        <v>784</v>
      </c>
      <c r="V15" s="253" t="s">
        <v>784</v>
      </c>
      <c r="W15" s="253" t="s">
        <v>784</v>
      </c>
      <c r="X15" s="253" t="s">
        <v>784</v>
      </c>
      <c r="Y15" s="253" t="s">
        <v>784</v>
      </c>
      <c r="Z15" s="253" t="s">
        <v>784</v>
      </c>
      <c r="AA15" s="253" t="s">
        <v>784</v>
      </c>
      <c r="AB15" s="253" t="s">
        <v>784</v>
      </c>
      <c r="AC15" s="253" t="s">
        <v>784</v>
      </c>
      <c r="AD15" s="253" t="s">
        <v>784</v>
      </c>
      <c r="AE15" s="253" t="s">
        <v>784</v>
      </c>
      <c r="AF15" s="253" t="s">
        <v>784</v>
      </c>
      <c r="AG15" s="253" t="s">
        <v>784</v>
      </c>
      <c r="AH15" s="254">
        <v>511863</v>
      </c>
      <c r="AI15" s="253" t="s">
        <v>784</v>
      </c>
      <c r="AJ15" s="254">
        <v>343623</v>
      </c>
      <c r="AK15" s="254">
        <v>207871</v>
      </c>
      <c r="AL15" s="254">
        <v>643783</v>
      </c>
      <c r="AM15" s="254">
        <v>162391</v>
      </c>
      <c r="AN15" s="254">
        <v>132872</v>
      </c>
      <c r="AO15" s="254">
        <v>252003</v>
      </c>
      <c r="AP15" s="254">
        <v>226301</v>
      </c>
      <c r="AQ15" s="254">
        <v>102039</v>
      </c>
      <c r="AR15" s="254">
        <v>24081</v>
      </c>
      <c r="AS15" s="254">
        <v>34009</v>
      </c>
      <c r="AT15" s="254">
        <v>22793</v>
      </c>
      <c r="AU15" s="254">
        <v>77820</v>
      </c>
      <c r="AV15" s="254">
        <v>1135096</v>
      </c>
      <c r="AW15" s="254">
        <v>2577231</v>
      </c>
      <c r="AX15" s="254">
        <v>3680185</v>
      </c>
      <c r="AY15" s="254">
        <v>2352001</v>
      </c>
      <c r="AZ15" s="254">
        <v>3365992</v>
      </c>
      <c r="BA15" s="254">
        <v>928879</v>
      </c>
      <c r="BB15" s="254">
        <v>0</v>
      </c>
      <c r="BC15" s="254">
        <v>0</v>
      </c>
      <c r="BD15" s="254">
        <v>0</v>
      </c>
      <c r="BE15" s="254">
        <v>0</v>
      </c>
      <c r="BF15" s="254">
        <v>0</v>
      </c>
    </row>
    <row r="16" spans="1:58" x14ac:dyDescent="0.3">
      <c r="A16" s="263" t="s">
        <v>788</v>
      </c>
      <c r="B16" s="261" t="s">
        <v>784</v>
      </c>
      <c r="C16" s="261" t="s">
        <v>784</v>
      </c>
      <c r="D16" s="261" t="s">
        <v>784</v>
      </c>
      <c r="E16" s="261" t="s">
        <v>784</v>
      </c>
      <c r="F16" s="261" t="s">
        <v>784</v>
      </c>
      <c r="G16" s="261" t="s">
        <v>784</v>
      </c>
      <c r="H16" s="261" t="s">
        <v>784</v>
      </c>
      <c r="I16" s="261" t="s">
        <v>784</v>
      </c>
      <c r="J16" s="261" t="s">
        <v>784</v>
      </c>
      <c r="K16" s="261" t="s">
        <v>784</v>
      </c>
      <c r="L16" s="261" t="s">
        <v>784</v>
      </c>
      <c r="M16" s="261" t="s">
        <v>784</v>
      </c>
      <c r="N16" s="261" t="s">
        <v>784</v>
      </c>
      <c r="O16" s="261" t="s">
        <v>784</v>
      </c>
      <c r="P16" s="261" t="s">
        <v>784</v>
      </c>
      <c r="Q16" s="261" t="s">
        <v>784</v>
      </c>
      <c r="R16" s="261" t="s">
        <v>784</v>
      </c>
      <c r="S16" s="261" t="s">
        <v>784</v>
      </c>
      <c r="T16" s="261" t="s">
        <v>784</v>
      </c>
      <c r="U16" s="261" t="s">
        <v>784</v>
      </c>
      <c r="V16" s="261" t="s">
        <v>784</v>
      </c>
      <c r="W16" s="261" t="s">
        <v>784</v>
      </c>
      <c r="X16" s="261" t="s">
        <v>784</v>
      </c>
      <c r="Y16" s="261" t="s">
        <v>784</v>
      </c>
      <c r="Z16" s="261" t="s">
        <v>784</v>
      </c>
      <c r="AA16" s="261" t="s">
        <v>784</v>
      </c>
      <c r="AB16" s="261" t="s">
        <v>784</v>
      </c>
      <c r="AC16" s="261" t="s">
        <v>784</v>
      </c>
      <c r="AD16" s="261" t="s">
        <v>784</v>
      </c>
      <c r="AE16" s="261" t="s">
        <v>784</v>
      </c>
      <c r="AF16" s="261" t="s">
        <v>784</v>
      </c>
      <c r="AG16" s="261" t="s">
        <v>784</v>
      </c>
      <c r="AH16" s="256">
        <v>511863</v>
      </c>
      <c r="AI16" s="261" t="s">
        <v>784</v>
      </c>
      <c r="AJ16" s="256">
        <v>0</v>
      </c>
      <c r="AK16" s="256">
        <v>0</v>
      </c>
      <c r="AL16" s="256">
        <v>643783</v>
      </c>
      <c r="AM16" s="256">
        <v>162391</v>
      </c>
      <c r="AN16" s="256">
        <v>132872</v>
      </c>
      <c r="AO16" s="256">
        <v>252003</v>
      </c>
      <c r="AP16" s="261" t="s">
        <v>784</v>
      </c>
      <c r="AQ16" s="261" t="s">
        <v>784</v>
      </c>
      <c r="AR16" s="256">
        <v>24081</v>
      </c>
      <c r="AS16" s="256">
        <v>34009</v>
      </c>
      <c r="AT16" s="256">
        <v>22793</v>
      </c>
      <c r="AU16" s="256">
        <v>77820</v>
      </c>
      <c r="AV16" s="256">
        <v>1135096</v>
      </c>
      <c r="AW16" s="256">
        <v>2577231</v>
      </c>
      <c r="AX16" s="256">
        <v>0</v>
      </c>
      <c r="AY16" s="256">
        <v>0</v>
      </c>
      <c r="AZ16" s="256">
        <v>0</v>
      </c>
      <c r="BA16" s="256">
        <v>0</v>
      </c>
      <c r="BB16" s="256">
        <v>0</v>
      </c>
      <c r="BC16" s="256">
        <v>0</v>
      </c>
      <c r="BD16" s="256">
        <v>0</v>
      </c>
      <c r="BE16" s="256">
        <v>0</v>
      </c>
      <c r="BF16" s="256">
        <v>0</v>
      </c>
    </row>
    <row r="17" spans="1:58" x14ac:dyDescent="0.3">
      <c r="A17" s="263" t="s">
        <v>789</v>
      </c>
      <c r="B17" s="261" t="s">
        <v>784</v>
      </c>
      <c r="C17" s="261" t="s">
        <v>784</v>
      </c>
      <c r="D17" s="261" t="s">
        <v>784</v>
      </c>
      <c r="E17" s="261" t="s">
        <v>784</v>
      </c>
      <c r="F17" s="261" t="s">
        <v>784</v>
      </c>
      <c r="G17" s="261" t="s">
        <v>784</v>
      </c>
      <c r="H17" s="261" t="s">
        <v>784</v>
      </c>
      <c r="I17" s="261" t="s">
        <v>784</v>
      </c>
      <c r="J17" s="261" t="s">
        <v>784</v>
      </c>
      <c r="K17" s="261" t="s">
        <v>784</v>
      </c>
      <c r="L17" s="261" t="s">
        <v>784</v>
      </c>
      <c r="M17" s="261" t="s">
        <v>784</v>
      </c>
      <c r="N17" s="261" t="s">
        <v>784</v>
      </c>
      <c r="O17" s="261" t="s">
        <v>784</v>
      </c>
      <c r="P17" s="261" t="s">
        <v>784</v>
      </c>
      <c r="Q17" s="261" t="s">
        <v>784</v>
      </c>
      <c r="R17" s="261" t="s">
        <v>784</v>
      </c>
      <c r="S17" s="261" t="s">
        <v>784</v>
      </c>
      <c r="T17" s="261" t="s">
        <v>784</v>
      </c>
      <c r="U17" s="261" t="s">
        <v>784</v>
      </c>
      <c r="V17" s="261" t="s">
        <v>784</v>
      </c>
      <c r="W17" s="261" t="s">
        <v>784</v>
      </c>
      <c r="X17" s="261" t="s">
        <v>784</v>
      </c>
      <c r="Y17" s="261" t="s">
        <v>784</v>
      </c>
      <c r="Z17" s="261" t="s">
        <v>784</v>
      </c>
      <c r="AA17" s="261" t="s">
        <v>784</v>
      </c>
      <c r="AB17" s="261" t="s">
        <v>784</v>
      </c>
      <c r="AC17" s="261" t="s">
        <v>784</v>
      </c>
      <c r="AD17" s="261" t="s">
        <v>784</v>
      </c>
      <c r="AE17" s="261" t="s">
        <v>784</v>
      </c>
      <c r="AF17" s="261" t="s">
        <v>784</v>
      </c>
      <c r="AG17" s="261" t="s">
        <v>784</v>
      </c>
      <c r="AH17" s="256">
        <v>0</v>
      </c>
      <c r="AI17" s="261" t="s">
        <v>784</v>
      </c>
      <c r="AJ17" s="256">
        <v>343623</v>
      </c>
      <c r="AK17" s="256">
        <v>207871</v>
      </c>
      <c r="AL17" s="256">
        <v>0</v>
      </c>
      <c r="AM17" s="256">
        <v>0</v>
      </c>
      <c r="AN17" s="256">
        <v>0</v>
      </c>
      <c r="AO17" s="256">
        <v>0</v>
      </c>
      <c r="AP17" s="261" t="s">
        <v>784</v>
      </c>
      <c r="AQ17" s="261" t="s">
        <v>784</v>
      </c>
      <c r="AR17" s="256">
        <v>0</v>
      </c>
      <c r="AS17" s="256">
        <v>0</v>
      </c>
      <c r="AT17" s="256">
        <v>0</v>
      </c>
      <c r="AU17" s="256">
        <v>0</v>
      </c>
      <c r="AV17" s="256">
        <v>0</v>
      </c>
      <c r="AW17" s="256">
        <v>0</v>
      </c>
      <c r="AX17" s="256">
        <v>3680185</v>
      </c>
      <c r="AY17" s="256">
        <v>2352001</v>
      </c>
      <c r="AZ17" s="256">
        <v>3365992</v>
      </c>
      <c r="BA17" s="256">
        <v>928879</v>
      </c>
      <c r="BB17" s="256">
        <v>0</v>
      </c>
      <c r="BC17" s="256">
        <v>0</v>
      </c>
      <c r="BD17" s="256">
        <v>0</v>
      </c>
      <c r="BE17" s="256">
        <v>0</v>
      </c>
      <c r="BF17" s="256">
        <v>0</v>
      </c>
    </row>
    <row r="18" spans="1:58" x14ac:dyDescent="0.3">
      <c r="A18" s="263" t="s">
        <v>790</v>
      </c>
      <c r="B18" s="261" t="s">
        <v>784</v>
      </c>
      <c r="C18" s="261" t="s">
        <v>784</v>
      </c>
      <c r="D18" s="261" t="s">
        <v>784</v>
      </c>
      <c r="E18" s="261" t="s">
        <v>784</v>
      </c>
      <c r="F18" s="261" t="s">
        <v>784</v>
      </c>
      <c r="G18" s="261" t="s">
        <v>784</v>
      </c>
      <c r="H18" s="261" t="s">
        <v>784</v>
      </c>
      <c r="I18" s="261" t="s">
        <v>784</v>
      </c>
      <c r="J18" s="261" t="s">
        <v>784</v>
      </c>
      <c r="K18" s="261" t="s">
        <v>784</v>
      </c>
      <c r="L18" s="261" t="s">
        <v>784</v>
      </c>
      <c r="M18" s="261" t="s">
        <v>784</v>
      </c>
      <c r="N18" s="261" t="s">
        <v>784</v>
      </c>
      <c r="O18" s="261" t="s">
        <v>784</v>
      </c>
      <c r="P18" s="261" t="s">
        <v>784</v>
      </c>
      <c r="Q18" s="261" t="s">
        <v>784</v>
      </c>
      <c r="R18" s="261" t="s">
        <v>784</v>
      </c>
      <c r="S18" s="261" t="s">
        <v>784</v>
      </c>
      <c r="T18" s="261" t="s">
        <v>784</v>
      </c>
      <c r="U18" s="261" t="s">
        <v>784</v>
      </c>
      <c r="V18" s="261" t="s">
        <v>784</v>
      </c>
      <c r="W18" s="261" t="s">
        <v>784</v>
      </c>
      <c r="X18" s="261" t="s">
        <v>784</v>
      </c>
      <c r="Y18" s="261" t="s">
        <v>784</v>
      </c>
      <c r="Z18" s="261" t="s">
        <v>784</v>
      </c>
      <c r="AA18" s="261" t="s">
        <v>784</v>
      </c>
      <c r="AB18" s="261" t="s">
        <v>784</v>
      </c>
      <c r="AC18" s="261" t="s">
        <v>784</v>
      </c>
      <c r="AD18" s="261" t="s">
        <v>784</v>
      </c>
      <c r="AE18" s="261" t="s">
        <v>784</v>
      </c>
      <c r="AF18" s="261" t="s">
        <v>784</v>
      </c>
      <c r="AG18" s="261" t="s">
        <v>784</v>
      </c>
      <c r="AH18" s="256">
        <v>0</v>
      </c>
      <c r="AI18" s="261" t="s">
        <v>784</v>
      </c>
      <c r="AJ18" s="256">
        <v>0</v>
      </c>
      <c r="AK18" s="256">
        <v>0</v>
      </c>
      <c r="AL18" s="256">
        <v>0</v>
      </c>
      <c r="AM18" s="256">
        <v>0</v>
      </c>
      <c r="AN18" s="256">
        <v>0</v>
      </c>
      <c r="AO18" s="256">
        <v>0</v>
      </c>
      <c r="AP18" s="261" t="s">
        <v>784</v>
      </c>
      <c r="AQ18" s="261" t="s">
        <v>784</v>
      </c>
      <c r="AR18" s="256">
        <v>0</v>
      </c>
      <c r="AS18" s="256">
        <v>0</v>
      </c>
      <c r="AT18" s="256">
        <v>0</v>
      </c>
      <c r="AU18" s="256">
        <v>0</v>
      </c>
      <c r="AV18" s="256">
        <v>0</v>
      </c>
      <c r="AW18" s="256">
        <v>0</v>
      </c>
      <c r="AX18" s="256">
        <v>0</v>
      </c>
      <c r="AY18" s="256">
        <v>0</v>
      </c>
      <c r="AZ18" s="256">
        <v>0</v>
      </c>
      <c r="BA18" s="256">
        <v>0</v>
      </c>
      <c r="BB18" s="256">
        <v>0</v>
      </c>
      <c r="BC18" s="256">
        <v>0</v>
      </c>
      <c r="BD18" s="256">
        <v>0</v>
      </c>
      <c r="BE18" s="256">
        <v>0</v>
      </c>
      <c r="BF18" s="256">
        <v>0</v>
      </c>
    </row>
    <row r="19" spans="1:58" x14ac:dyDescent="0.3">
      <c r="A19" s="262" t="s">
        <v>791</v>
      </c>
      <c r="B19" s="253" t="s">
        <v>784</v>
      </c>
      <c r="C19" s="253" t="s">
        <v>784</v>
      </c>
      <c r="D19" s="253" t="s">
        <v>784</v>
      </c>
      <c r="E19" s="253" t="s">
        <v>784</v>
      </c>
      <c r="F19" s="253" t="s">
        <v>784</v>
      </c>
      <c r="G19" s="253" t="s">
        <v>784</v>
      </c>
      <c r="H19" s="253" t="s">
        <v>784</v>
      </c>
      <c r="I19" s="253" t="s">
        <v>784</v>
      </c>
      <c r="J19" s="253" t="s">
        <v>784</v>
      </c>
      <c r="K19" s="253" t="s">
        <v>784</v>
      </c>
      <c r="L19" s="253" t="s">
        <v>784</v>
      </c>
      <c r="M19" s="253" t="s">
        <v>784</v>
      </c>
      <c r="N19" s="253" t="s">
        <v>784</v>
      </c>
      <c r="O19" s="253" t="s">
        <v>784</v>
      </c>
      <c r="P19" s="253" t="s">
        <v>784</v>
      </c>
      <c r="Q19" s="253" t="s">
        <v>784</v>
      </c>
      <c r="R19" s="253" t="s">
        <v>784</v>
      </c>
      <c r="S19" s="253" t="s">
        <v>784</v>
      </c>
      <c r="T19" s="253" t="s">
        <v>784</v>
      </c>
      <c r="U19" s="253" t="s">
        <v>784</v>
      </c>
      <c r="V19" s="253" t="s">
        <v>784</v>
      </c>
      <c r="W19" s="253" t="s">
        <v>784</v>
      </c>
      <c r="X19" s="253" t="s">
        <v>784</v>
      </c>
      <c r="Y19" s="253" t="s">
        <v>784</v>
      </c>
      <c r="Z19" s="253" t="s">
        <v>784</v>
      </c>
      <c r="AA19" s="253" t="s">
        <v>784</v>
      </c>
      <c r="AB19" s="253" t="s">
        <v>784</v>
      </c>
      <c r="AC19" s="253" t="s">
        <v>784</v>
      </c>
      <c r="AD19" s="253" t="s">
        <v>784</v>
      </c>
      <c r="AE19" s="253" t="s">
        <v>784</v>
      </c>
      <c r="AF19" s="253" t="s">
        <v>784</v>
      </c>
      <c r="AG19" s="253" t="s">
        <v>784</v>
      </c>
      <c r="AH19" s="254">
        <v>0</v>
      </c>
      <c r="AI19" s="253" t="s">
        <v>784</v>
      </c>
      <c r="AJ19" s="254">
        <v>308568</v>
      </c>
      <c r="AK19" s="254">
        <v>294064</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4">
        <v>0</v>
      </c>
      <c r="BC19" s="254">
        <v>0</v>
      </c>
      <c r="BD19" s="254">
        <v>0</v>
      </c>
      <c r="BE19" s="254">
        <v>0</v>
      </c>
      <c r="BF19" s="254">
        <v>0</v>
      </c>
    </row>
    <row r="20" spans="1:58" x14ac:dyDescent="0.3">
      <c r="A20" s="260" t="s">
        <v>792</v>
      </c>
      <c r="B20" s="261" t="s">
        <v>784</v>
      </c>
      <c r="C20" s="261" t="s">
        <v>784</v>
      </c>
      <c r="D20" s="261" t="s">
        <v>784</v>
      </c>
      <c r="E20" s="261" t="s">
        <v>784</v>
      </c>
      <c r="F20" s="256">
        <v>0</v>
      </c>
      <c r="G20" s="261" t="s">
        <v>784</v>
      </c>
      <c r="H20" s="261" t="s">
        <v>784</v>
      </c>
      <c r="I20" s="261" t="s">
        <v>784</v>
      </c>
      <c r="J20" s="261" t="s">
        <v>784</v>
      </c>
      <c r="K20" s="261" t="s">
        <v>784</v>
      </c>
      <c r="L20" s="261" t="s">
        <v>784</v>
      </c>
      <c r="M20" s="261" t="s">
        <v>784</v>
      </c>
      <c r="N20" s="261" t="s">
        <v>784</v>
      </c>
      <c r="O20" s="261" t="s">
        <v>784</v>
      </c>
      <c r="P20" s="261" t="s">
        <v>784</v>
      </c>
      <c r="Q20" s="261" t="s">
        <v>784</v>
      </c>
      <c r="R20" s="256">
        <v>273001</v>
      </c>
      <c r="S20" s="256">
        <v>0</v>
      </c>
      <c r="T20" s="256">
        <v>15488</v>
      </c>
      <c r="U20" s="256">
        <v>0</v>
      </c>
      <c r="V20" s="256">
        <v>0</v>
      </c>
      <c r="W20" s="256">
        <v>0</v>
      </c>
      <c r="X20" s="256">
        <v>0</v>
      </c>
      <c r="Y20" s="256">
        <v>0</v>
      </c>
      <c r="Z20" s="256">
        <v>19794</v>
      </c>
      <c r="AA20" s="256">
        <v>36200</v>
      </c>
      <c r="AB20" s="256">
        <v>33130</v>
      </c>
      <c r="AC20" s="256">
        <v>33996</v>
      </c>
      <c r="AD20" s="256">
        <v>0</v>
      </c>
      <c r="AE20" s="256">
        <v>0</v>
      </c>
      <c r="AF20" s="256">
        <v>0</v>
      </c>
      <c r="AG20" s="256">
        <v>0</v>
      </c>
      <c r="AH20" s="256">
        <v>0</v>
      </c>
      <c r="AI20" s="256">
        <v>0</v>
      </c>
      <c r="AJ20" s="256">
        <v>0</v>
      </c>
      <c r="AK20" s="256">
        <v>0</v>
      </c>
      <c r="AL20" s="256">
        <v>0</v>
      </c>
      <c r="AM20" s="256">
        <v>0</v>
      </c>
      <c r="AN20" s="256">
        <v>0</v>
      </c>
      <c r="AO20" s="256">
        <v>0</v>
      </c>
      <c r="AP20" s="256">
        <v>0</v>
      </c>
      <c r="AQ20" s="256">
        <v>0</v>
      </c>
      <c r="AR20" s="256">
        <v>0</v>
      </c>
      <c r="AS20" s="256">
        <v>0</v>
      </c>
      <c r="AT20" s="256">
        <v>0</v>
      </c>
      <c r="AU20" s="256">
        <v>0</v>
      </c>
      <c r="AV20" s="256">
        <v>0</v>
      </c>
      <c r="AW20" s="256">
        <v>0</v>
      </c>
      <c r="AX20" s="256">
        <v>0</v>
      </c>
      <c r="AY20" s="256">
        <v>0</v>
      </c>
      <c r="AZ20" s="256">
        <v>0</v>
      </c>
      <c r="BA20" s="256">
        <v>0</v>
      </c>
      <c r="BB20" s="256">
        <v>0</v>
      </c>
      <c r="BC20" s="256">
        <v>0</v>
      </c>
      <c r="BD20" s="256">
        <v>0</v>
      </c>
      <c r="BE20" s="256">
        <v>0</v>
      </c>
      <c r="BF20" s="256">
        <v>0</v>
      </c>
    </row>
    <row r="21" spans="1:58" x14ac:dyDescent="0.3">
      <c r="A21" s="257" t="s">
        <v>793</v>
      </c>
      <c r="B21" s="258" t="s">
        <v>784</v>
      </c>
      <c r="C21" s="258" t="s">
        <v>784</v>
      </c>
      <c r="D21" s="258" t="s">
        <v>784</v>
      </c>
      <c r="E21" s="258" t="s">
        <v>784</v>
      </c>
      <c r="F21" s="259">
        <v>1944</v>
      </c>
      <c r="G21" s="259">
        <v>200</v>
      </c>
      <c r="H21" s="259">
        <v>14299</v>
      </c>
      <c r="I21" s="259">
        <v>82756</v>
      </c>
      <c r="J21" s="259">
        <v>1382</v>
      </c>
      <c r="K21" s="259">
        <v>729009</v>
      </c>
      <c r="L21" s="259">
        <v>2729</v>
      </c>
      <c r="M21" s="259">
        <v>1130</v>
      </c>
      <c r="N21" s="259">
        <v>3377</v>
      </c>
      <c r="O21" s="259">
        <v>2057</v>
      </c>
      <c r="P21" s="259">
        <v>1780</v>
      </c>
      <c r="Q21" s="259">
        <v>1471</v>
      </c>
      <c r="R21" s="259">
        <v>989</v>
      </c>
      <c r="S21" s="259">
        <v>15048</v>
      </c>
      <c r="T21" s="259">
        <v>20863</v>
      </c>
      <c r="U21" s="259">
        <v>19594</v>
      </c>
      <c r="V21" s="259">
        <v>1835</v>
      </c>
      <c r="W21" s="259">
        <v>1764</v>
      </c>
      <c r="X21" s="259">
        <v>3697</v>
      </c>
      <c r="Y21" s="259">
        <v>244960</v>
      </c>
      <c r="Z21" s="259">
        <v>244499</v>
      </c>
      <c r="AA21" s="259">
        <v>123308</v>
      </c>
      <c r="AB21" s="259">
        <v>83690</v>
      </c>
      <c r="AC21" s="259">
        <v>110525</v>
      </c>
      <c r="AD21" s="259">
        <v>30680</v>
      </c>
      <c r="AE21" s="259">
        <v>40937</v>
      </c>
      <c r="AF21" s="259">
        <v>79173</v>
      </c>
      <c r="AG21" s="259">
        <v>51576</v>
      </c>
      <c r="AH21" s="259">
        <v>62046</v>
      </c>
      <c r="AI21" s="259">
        <v>63713</v>
      </c>
      <c r="AJ21" s="259">
        <v>88073</v>
      </c>
      <c r="AK21" s="259">
        <v>37097</v>
      </c>
      <c r="AL21" s="259">
        <v>34932</v>
      </c>
      <c r="AM21" s="259">
        <v>18452</v>
      </c>
      <c r="AN21" s="259">
        <v>36023</v>
      </c>
      <c r="AO21" s="259">
        <v>86047</v>
      </c>
      <c r="AP21" s="259">
        <v>374598</v>
      </c>
      <c r="AQ21" s="259">
        <v>213830</v>
      </c>
      <c r="AR21" s="259">
        <v>210437</v>
      </c>
      <c r="AS21" s="259">
        <v>197907</v>
      </c>
      <c r="AT21" s="259">
        <v>386165</v>
      </c>
      <c r="AU21" s="259">
        <v>22568</v>
      </c>
      <c r="AV21" s="259">
        <v>329548</v>
      </c>
      <c r="AW21" s="259">
        <v>291783</v>
      </c>
      <c r="AX21" s="259">
        <v>915033</v>
      </c>
      <c r="AY21" s="259">
        <v>845187</v>
      </c>
      <c r="AZ21" s="259">
        <v>888980</v>
      </c>
      <c r="BA21" s="259">
        <v>1079329</v>
      </c>
      <c r="BB21" s="259">
        <v>166304</v>
      </c>
      <c r="BC21" s="259">
        <v>2230118</v>
      </c>
      <c r="BD21" s="259">
        <v>1357896</v>
      </c>
      <c r="BE21" s="259">
        <v>1613769</v>
      </c>
      <c r="BF21" s="259">
        <v>1743491</v>
      </c>
    </row>
    <row r="22" spans="1:58" x14ac:dyDescent="0.3">
      <c r="A22" s="260" t="s">
        <v>794</v>
      </c>
      <c r="B22" s="256">
        <v>8019</v>
      </c>
      <c r="C22" s="256">
        <v>2010</v>
      </c>
      <c r="D22" s="256">
        <v>4789</v>
      </c>
      <c r="E22" s="256">
        <v>1950</v>
      </c>
      <c r="F22" s="261" t="s">
        <v>784</v>
      </c>
      <c r="G22" s="261" t="s">
        <v>784</v>
      </c>
      <c r="H22" s="261" t="s">
        <v>784</v>
      </c>
      <c r="I22" s="261" t="s">
        <v>784</v>
      </c>
      <c r="J22" s="261" t="s">
        <v>784</v>
      </c>
      <c r="K22" s="261" t="s">
        <v>784</v>
      </c>
      <c r="L22" s="261" t="s">
        <v>784</v>
      </c>
      <c r="M22" s="261" t="s">
        <v>784</v>
      </c>
      <c r="N22" s="261" t="s">
        <v>784</v>
      </c>
      <c r="O22" s="261" t="s">
        <v>784</v>
      </c>
      <c r="P22" s="261" t="s">
        <v>784</v>
      </c>
      <c r="Q22" s="261" t="s">
        <v>784</v>
      </c>
      <c r="R22" s="261" t="s">
        <v>784</v>
      </c>
      <c r="S22" s="256">
        <v>0</v>
      </c>
      <c r="T22" s="261" t="s">
        <v>784</v>
      </c>
      <c r="U22" s="256">
        <v>0</v>
      </c>
      <c r="V22" s="261" t="s">
        <v>784</v>
      </c>
      <c r="W22" s="256">
        <v>1764</v>
      </c>
      <c r="X22" s="256">
        <v>3697</v>
      </c>
      <c r="Y22" s="256">
        <v>86044</v>
      </c>
      <c r="Z22" s="256">
        <v>244499</v>
      </c>
      <c r="AA22" s="256">
        <v>123308</v>
      </c>
      <c r="AB22" s="256">
        <v>83690</v>
      </c>
      <c r="AC22" s="256">
        <v>110525</v>
      </c>
      <c r="AD22" s="256">
        <v>30680</v>
      </c>
      <c r="AE22" s="256">
        <v>40937</v>
      </c>
      <c r="AF22" s="256">
        <v>79173</v>
      </c>
      <c r="AG22" s="256">
        <v>51576</v>
      </c>
      <c r="AH22" s="256">
        <v>62046</v>
      </c>
      <c r="AI22" s="256">
        <v>63713</v>
      </c>
      <c r="AJ22" s="256">
        <v>88073</v>
      </c>
      <c r="AK22" s="256">
        <v>37097</v>
      </c>
      <c r="AL22" s="256">
        <v>34932</v>
      </c>
      <c r="AM22" s="256">
        <v>18452</v>
      </c>
      <c r="AN22" s="256">
        <v>36023</v>
      </c>
      <c r="AO22" s="256">
        <v>86047</v>
      </c>
      <c r="AP22" s="256">
        <v>374598</v>
      </c>
      <c r="AQ22" s="256">
        <v>213830</v>
      </c>
      <c r="AR22" s="256">
        <v>210437</v>
      </c>
      <c r="AS22" s="256">
        <v>197907</v>
      </c>
      <c r="AT22" s="256">
        <v>386165</v>
      </c>
      <c r="AU22" s="256">
        <v>22568</v>
      </c>
      <c r="AV22" s="256">
        <v>329548</v>
      </c>
      <c r="AW22" s="256">
        <v>291783</v>
      </c>
      <c r="AX22" s="256">
        <v>915033</v>
      </c>
      <c r="AY22" s="256">
        <v>845187</v>
      </c>
      <c r="AZ22" s="256">
        <v>888980</v>
      </c>
      <c r="BA22" s="256">
        <v>1079329</v>
      </c>
      <c r="BB22" s="256">
        <v>166304</v>
      </c>
      <c r="BC22" s="256">
        <v>2230118</v>
      </c>
      <c r="BD22" s="256">
        <v>1357896</v>
      </c>
      <c r="BE22" s="256">
        <v>1613769</v>
      </c>
      <c r="BF22" s="256">
        <v>1743491</v>
      </c>
    </row>
    <row r="23" spans="1:58" x14ac:dyDescent="0.3">
      <c r="A23" s="260" t="s">
        <v>795</v>
      </c>
      <c r="B23" s="261" t="s">
        <v>784</v>
      </c>
      <c r="C23" s="261" t="s">
        <v>784</v>
      </c>
      <c r="D23" s="261" t="s">
        <v>784</v>
      </c>
      <c r="E23" s="261" t="s">
        <v>784</v>
      </c>
      <c r="F23" s="261" t="s">
        <v>784</v>
      </c>
      <c r="G23" s="261" t="s">
        <v>784</v>
      </c>
      <c r="H23" s="261" t="s">
        <v>784</v>
      </c>
      <c r="I23" s="261" t="s">
        <v>784</v>
      </c>
      <c r="J23" s="261" t="s">
        <v>784</v>
      </c>
      <c r="K23" s="261" t="s">
        <v>784</v>
      </c>
      <c r="L23" s="261" t="s">
        <v>784</v>
      </c>
      <c r="M23" s="261" t="s">
        <v>784</v>
      </c>
      <c r="N23" s="261" t="s">
        <v>784</v>
      </c>
      <c r="O23" s="261" t="s">
        <v>784</v>
      </c>
      <c r="P23" s="261" t="s">
        <v>784</v>
      </c>
      <c r="Q23" s="261" t="s">
        <v>784</v>
      </c>
      <c r="R23" s="261" t="s">
        <v>784</v>
      </c>
      <c r="S23" s="256">
        <v>15048</v>
      </c>
      <c r="T23" s="261" t="s">
        <v>784</v>
      </c>
      <c r="U23" s="256">
        <v>19594</v>
      </c>
      <c r="V23" s="261" t="s">
        <v>784</v>
      </c>
      <c r="W23" s="256">
        <v>0</v>
      </c>
      <c r="X23" s="256">
        <v>0</v>
      </c>
      <c r="Y23" s="256">
        <v>158916</v>
      </c>
      <c r="Z23" s="256">
        <v>0</v>
      </c>
      <c r="AA23" s="256">
        <v>0</v>
      </c>
      <c r="AB23" s="256">
        <v>0</v>
      </c>
      <c r="AC23" s="256">
        <v>0</v>
      </c>
      <c r="AD23" s="256">
        <v>0</v>
      </c>
      <c r="AE23" s="256">
        <v>0</v>
      </c>
      <c r="AF23" s="256">
        <v>0</v>
      </c>
      <c r="AG23" s="256">
        <v>0</v>
      </c>
      <c r="AH23" s="256">
        <v>0</v>
      </c>
      <c r="AI23" s="256">
        <v>0</v>
      </c>
      <c r="AJ23" s="256">
        <v>0</v>
      </c>
      <c r="AK23" s="256">
        <v>0</v>
      </c>
      <c r="AL23" s="256">
        <v>0</v>
      </c>
      <c r="AM23" s="256">
        <v>0</v>
      </c>
      <c r="AN23" s="256">
        <v>0</v>
      </c>
      <c r="AO23" s="256">
        <v>0</v>
      </c>
      <c r="AP23" s="256">
        <v>0</v>
      </c>
      <c r="AQ23" s="256">
        <v>0</v>
      </c>
      <c r="AR23" s="256">
        <v>0</v>
      </c>
      <c r="AS23" s="256">
        <v>0</v>
      </c>
      <c r="AT23" s="256">
        <v>0</v>
      </c>
      <c r="AU23" s="256">
        <v>0</v>
      </c>
      <c r="AV23" s="256">
        <v>0</v>
      </c>
      <c r="AW23" s="256">
        <v>0</v>
      </c>
      <c r="AX23" s="256">
        <v>0</v>
      </c>
      <c r="AY23" s="256">
        <v>0</v>
      </c>
      <c r="AZ23" s="256">
        <v>0</v>
      </c>
      <c r="BA23" s="256">
        <v>0</v>
      </c>
      <c r="BB23" s="256">
        <v>0</v>
      </c>
      <c r="BC23" s="256">
        <v>0</v>
      </c>
      <c r="BD23" s="256">
        <v>0</v>
      </c>
      <c r="BE23" s="256">
        <v>0</v>
      </c>
      <c r="BF23" s="256">
        <v>0</v>
      </c>
    </row>
    <row r="24" spans="1:58" x14ac:dyDescent="0.3">
      <c r="A24" s="257" t="s">
        <v>796</v>
      </c>
      <c r="B24" s="259">
        <v>0</v>
      </c>
      <c r="C24" s="259">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25856</v>
      </c>
      <c r="T24" s="259">
        <v>0</v>
      </c>
      <c r="U24" s="259">
        <v>0</v>
      </c>
      <c r="V24" s="259">
        <v>8784</v>
      </c>
      <c r="W24" s="259">
        <v>82347</v>
      </c>
      <c r="X24" s="259">
        <v>63188</v>
      </c>
      <c r="Y24" s="259">
        <v>9269</v>
      </c>
      <c r="Z24" s="259">
        <v>25279</v>
      </c>
      <c r="AA24" s="259">
        <v>65364</v>
      </c>
      <c r="AB24" s="259">
        <v>75590</v>
      </c>
      <c r="AC24" s="259">
        <v>33108</v>
      </c>
      <c r="AD24" s="259">
        <v>33192</v>
      </c>
      <c r="AE24" s="259">
        <v>63324</v>
      </c>
      <c r="AF24" s="259">
        <v>42373</v>
      </c>
      <c r="AG24" s="259">
        <v>56985</v>
      </c>
      <c r="AH24" s="259">
        <v>41174</v>
      </c>
      <c r="AI24" s="259">
        <v>60054</v>
      </c>
      <c r="AJ24" s="259">
        <v>47596</v>
      </c>
      <c r="AK24" s="259">
        <v>81815</v>
      </c>
      <c r="AL24" s="259">
        <v>58786</v>
      </c>
      <c r="AM24" s="259">
        <v>176505</v>
      </c>
      <c r="AN24" s="259">
        <v>93641</v>
      </c>
      <c r="AO24" s="259">
        <v>128588</v>
      </c>
      <c r="AP24" s="259">
        <v>125474</v>
      </c>
      <c r="AQ24" s="259">
        <v>158642</v>
      </c>
      <c r="AR24" s="259">
        <v>249998</v>
      </c>
      <c r="AS24" s="259">
        <v>332471</v>
      </c>
      <c r="AT24" s="259">
        <v>194666</v>
      </c>
      <c r="AU24" s="259">
        <v>395781</v>
      </c>
      <c r="AV24" s="259">
        <v>382438</v>
      </c>
      <c r="AW24" s="259">
        <v>384679</v>
      </c>
      <c r="AX24" s="259">
        <v>217536</v>
      </c>
      <c r="AY24" s="259">
        <v>281174</v>
      </c>
      <c r="AZ24" s="259">
        <v>275693</v>
      </c>
      <c r="BA24" s="259">
        <v>338514</v>
      </c>
      <c r="BB24" s="259">
        <v>0</v>
      </c>
      <c r="BC24" s="259">
        <v>0</v>
      </c>
      <c r="BD24" s="259">
        <v>729200</v>
      </c>
      <c r="BE24" s="259">
        <v>662465</v>
      </c>
      <c r="BF24" s="259">
        <v>651651</v>
      </c>
    </row>
    <row r="25" spans="1:58" x14ac:dyDescent="0.3">
      <c r="A25" s="257" t="s">
        <v>797</v>
      </c>
      <c r="B25" s="258" t="s">
        <v>784</v>
      </c>
      <c r="C25" s="258" t="s">
        <v>784</v>
      </c>
      <c r="D25" s="258" t="s">
        <v>784</v>
      </c>
      <c r="E25" s="258" t="s">
        <v>784</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59">
        <v>453425</v>
      </c>
      <c r="BC25" s="259">
        <v>599614</v>
      </c>
      <c r="BD25" s="259">
        <v>0</v>
      </c>
      <c r="BE25" s="259">
        <v>0</v>
      </c>
      <c r="BF25" s="259">
        <v>0</v>
      </c>
    </row>
    <row r="26" spans="1:58" x14ac:dyDescent="0.3">
      <c r="A26" s="257" t="s">
        <v>798</v>
      </c>
      <c r="B26" s="258" t="s">
        <v>784</v>
      </c>
      <c r="C26" s="258" t="s">
        <v>784</v>
      </c>
      <c r="D26" s="258" t="s">
        <v>784</v>
      </c>
      <c r="E26" s="258" t="s">
        <v>784</v>
      </c>
      <c r="F26" s="259">
        <v>7507</v>
      </c>
      <c r="G26" s="259">
        <v>12609</v>
      </c>
      <c r="H26" s="259">
        <v>17605</v>
      </c>
      <c r="I26" s="259">
        <v>21319</v>
      </c>
      <c r="J26" s="259">
        <v>34706</v>
      </c>
      <c r="K26" s="259">
        <v>45031</v>
      </c>
      <c r="L26" s="259">
        <v>47888</v>
      </c>
      <c r="M26" s="259">
        <v>41915</v>
      </c>
      <c r="N26" s="259">
        <v>57706</v>
      </c>
      <c r="O26" s="259">
        <v>58786</v>
      </c>
      <c r="P26" s="259">
        <v>60481</v>
      </c>
      <c r="Q26" s="259">
        <v>48359</v>
      </c>
      <c r="R26" s="259">
        <v>42523</v>
      </c>
      <c r="S26" s="259">
        <v>40949</v>
      </c>
      <c r="T26" s="259">
        <v>53761</v>
      </c>
      <c r="U26" s="259">
        <v>47029</v>
      </c>
      <c r="V26" s="259">
        <v>39341</v>
      </c>
      <c r="W26" s="259">
        <v>39225</v>
      </c>
      <c r="X26" s="259">
        <v>36330</v>
      </c>
      <c r="Y26" s="259">
        <v>25940</v>
      </c>
      <c r="Z26" s="259">
        <v>26801</v>
      </c>
      <c r="AA26" s="259">
        <v>29363</v>
      </c>
      <c r="AB26" s="259">
        <v>27916</v>
      </c>
      <c r="AC26" s="259">
        <v>24373</v>
      </c>
      <c r="AD26" s="259">
        <v>69331</v>
      </c>
      <c r="AE26" s="259">
        <v>65811</v>
      </c>
      <c r="AF26" s="259">
        <v>54959</v>
      </c>
      <c r="AG26" s="259">
        <v>53430</v>
      </c>
      <c r="AH26" s="259">
        <v>59492</v>
      </c>
      <c r="AI26" s="259">
        <v>54721</v>
      </c>
      <c r="AJ26" s="259">
        <v>63079</v>
      </c>
      <c r="AK26" s="259">
        <v>76443</v>
      </c>
      <c r="AL26" s="259">
        <v>67011</v>
      </c>
      <c r="AM26" s="259">
        <v>122682</v>
      </c>
      <c r="AN26" s="259">
        <v>90764</v>
      </c>
      <c r="AO26" s="259">
        <v>74888</v>
      </c>
      <c r="AP26" s="259">
        <v>116773</v>
      </c>
      <c r="AQ26" s="259">
        <v>136036</v>
      </c>
      <c r="AR26" s="259">
        <v>140727</v>
      </c>
      <c r="AS26" s="259">
        <v>142240</v>
      </c>
      <c r="AT26" s="259">
        <v>124321</v>
      </c>
      <c r="AU26" s="259">
        <v>105144</v>
      </c>
      <c r="AV26" s="259">
        <v>84757</v>
      </c>
      <c r="AW26" s="259">
        <v>76977</v>
      </c>
      <c r="AX26" s="259">
        <v>85839</v>
      </c>
      <c r="AY26" s="259">
        <v>56077</v>
      </c>
      <c r="AZ26" s="259">
        <v>44358</v>
      </c>
      <c r="BA26" s="259">
        <v>47006</v>
      </c>
      <c r="BB26" s="259">
        <v>76012</v>
      </c>
      <c r="BC26" s="259">
        <v>92436</v>
      </c>
      <c r="BD26" s="259">
        <v>199217</v>
      </c>
      <c r="BE26" s="259">
        <v>262462</v>
      </c>
      <c r="BF26" s="259">
        <v>347658</v>
      </c>
    </row>
    <row r="27" spans="1:58" x14ac:dyDescent="0.3">
      <c r="A27" s="260" t="s">
        <v>799</v>
      </c>
      <c r="B27" s="261" t="s">
        <v>784</v>
      </c>
      <c r="C27" s="261" t="s">
        <v>784</v>
      </c>
      <c r="D27" s="261" t="s">
        <v>784</v>
      </c>
      <c r="E27" s="261" t="s">
        <v>784</v>
      </c>
      <c r="F27" s="256">
        <v>7507</v>
      </c>
      <c r="G27" s="261" t="s">
        <v>784</v>
      </c>
      <c r="H27" s="261" t="s">
        <v>784</v>
      </c>
      <c r="I27" s="261" t="s">
        <v>784</v>
      </c>
      <c r="J27" s="261" t="s">
        <v>784</v>
      </c>
      <c r="K27" s="261" t="s">
        <v>784</v>
      </c>
      <c r="L27" s="261" t="s">
        <v>784</v>
      </c>
      <c r="M27" s="261" t="s">
        <v>784</v>
      </c>
      <c r="N27" s="261" t="s">
        <v>784</v>
      </c>
      <c r="O27" s="261" t="s">
        <v>784</v>
      </c>
      <c r="P27" s="261" t="s">
        <v>784</v>
      </c>
      <c r="Q27" s="261" t="s">
        <v>784</v>
      </c>
      <c r="R27" s="256">
        <v>42523</v>
      </c>
      <c r="S27" s="256">
        <v>40949</v>
      </c>
      <c r="T27" s="256">
        <v>53761</v>
      </c>
      <c r="U27" s="256">
        <v>47029</v>
      </c>
      <c r="V27" s="256">
        <v>39341</v>
      </c>
      <c r="W27" s="256">
        <v>39225</v>
      </c>
      <c r="X27" s="256">
        <v>36330</v>
      </c>
      <c r="Y27" s="256">
        <v>25940</v>
      </c>
      <c r="Z27" s="256">
        <v>26801</v>
      </c>
      <c r="AA27" s="256">
        <v>29363</v>
      </c>
      <c r="AB27" s="256">
        <v>27916</v>
      </c>
      <c r="AC27" s="256">
        <v>24373</v>
      </c>
      <c r="AD27" s="256">
        <v>69331</v>
      </c>
      <c r="AE27" s="256">
        <v>65811</v>
      </c>
      <c r="AF27" s="261" t="s">
        <v>784</v>
      </c>
      <c r="AG27" s="256">
        <v>53430</v>
      </c>
      <c r="AH27" s="256">
        <v>59492</v>
      </c>
      <c r="AI27" s="256">
        <v>54721</v>
      </c>
      <c r="AJ27" s="256">
        <v>63079</v>
      </c>
      <c r="AK27" s="256">
        <v>76443</v>
      </c>
      <c r="AL27" s="256">
        <v>67011</v>
      </c>
      <c r="AM27" s="256">
        <v>122682</v>
      </c>
      <c r="AN27" s="256">
        <v>90764</v>
      </c>
      <c r="AO27" s="256">
        <v>74888</v>
      </c>
      <c r="AP27" s="256">
        <v>116773</v>
      </c>
      <c r="AQ27" s="256">
        <v>136036</v>
      </c>
      <c r="AR27" s="256">
        <v>140727</v>
      </c>
      <c r="AS27" s="256">
        <v>142240</v>
      </c>
      <c r="AT27" s="256">
        <v>124321</v>
      </c>
      <c r="AU27" s="256">
        <v>105144</v>
      </c>
      <c r="AV27" s="256">
        <v>84757</v>
      </c>
      <c r="AW27" s="256">
        <v>76977</v>
      </c>
      <c r="AX27" s="256">
        <v>85839</v>
      </c>
      <c r="AY27" s="256">
        <v>56077</v>
      </c>
      <c r="AZ27" s="256">
        <v>44358</v>
      </c>
      <c r="BA27" s="256">
        <v>47006</v>
      </c>
      <c r="BB27" s="256">
        <v>76012</v>
      </c>
      <c r="BC27" s="256">
        <v>92436</v>
      </c>
      <c r="BD27" s="256">
        <v>199217</v>
      </c>
      <c r="BE27" s="256">
        <v>262462</v>
      </c>
      <c r="BF27" s="256">
        <v>347658</v>
      </c>
    </row>
    <row r="28" spans="1:58" x14ac:dyDescent="0.3">
      <c r="A28" s="257" t="s">
        <v>800</v>
      </c>
      <c r="B28" s="258" t="s">
        <v>784</v>
      </c>
      <c r="C28" s="258" t="s">
        <v>784</v>
      </c>
      <c r="D28" s="258" t="s">
        <v>784</v>
      </c>
      <c r="E28" s="258" t="s">
        <v>784</v>
      </c>
      <c r="F28" s="259">
        <v>2137</v>
      </c>
      <c r="G28" s="259">
        <v>19622</v>
      </c>
      <c r="H28" s="259">
        <v>15976</v>
      </c>
      <c r="I28" s="259">
        <v>10800</v>
      </c>
      <c r="J28" s="259">
        <v>8392</v>
      </c>
      <c r="K28" s="259">
        <v>8296</v>
      </c>
      <c r="L28" s="259">
        <v>7455</v>
      </c>
      <c r="M28" s="259">
        <v>5781</v>
      </c>
      <c r="N28" s="259">
        <v>2011</v>
      </c>
      <c r="O28" s="259">
        <v>4285</v>
      </c>
      <c r="P28" s="259">
        <v>5589</v>
      </c>
      <c r="Q28" s="259">
        <v>3759</v>
      </c>
      <c r="R28" s="259">
        <v>3057</v>
      </c>
      <c r="S28" s="259">
        <v>9300</v>
      </c>
      <c r="T28" s="259">
        <v>8776</v>
      </c>
      <c r="U28" s="259">
        <v>6144</v>
      </c>
      <c r="V28" s="259">
        <v>3486</v>
      </c>
      <c r="W28" s="259">
        <v>7642</v>
      </c>
      <c r="X28" s="259">
        <v>5599</v>
      </c>
      <c r="Y28" s="259">
        <v>3393</v>
      </c>
      <c r="Z28" s="259">
        <v>722</v>
      </c>
      <c r="AA28" s="259">
        <v>6559</v>
      </c>
      <c r="AB28" s="259">
        <v>5750</v>
      </c>
      <c r="AC28" s="259">
        <v>4304</v>
      </c>
      <c r="AD28" s="259">
        <v>2696</v>
      </c>
      <c r="AE28" s="259">
        <v>3267</v>
      </c>
      <c r="AF28" s="259">
        <v>1484</v>
      </c>
      <c r="AG28" s="259">
        <v>4454</v>
      </c>
      <c r="AH28" s="259">
        <v>3106</v>
      </c>
      <c r="AI28" s="259">
        <v>4201</v>
      </c>
      <c r="AJ28" s="259">
        <v>2598</v>
      </c>
      <c r="AK28" s="259">
        <v>2534</v>
      </c>
      <c r="AL28" s="259">
        <v>1659</v>
      </c>
      <c r="AM28" s="259">
        <v>5874</v>
      </c>
      <c r="AN28" s="259">
        <v>12097</v>
      </c>
      <c r="AO28" s="259">
        <v>9335</v>
      </c>
      <c r="AP28" s="259">
        <v>10333</v>
      </c>
      <c r="AQ28" s="259">
        <v>8062</v>
      </c>
      <c r="AR28" s="259">
        <v>11013</v>
      </c>
      <c r="AS28" s="259">
        <v>28759</v>
      </c>
      <c r="AT28" s="259">
        <v>25594</v>
      </c>
      <c r="AU28" s="259">
        <v>23233</v>
      </c>
      <c r="AV28" s="259">
        <v>15940</v>
      </c>
      <c r="AW28" s="259">
        <v>9352</v>
      </c>
      <c r="AX28" s="259">
        <v>9760</v>
      </c>
      <c r="AY28" s="259">
        <v>31995</v>
      </c>
      <c r="AZ28" s="259">
        <v>26054</v>
      </c>
      <c r="BA28" s="259">
        <v>18803</v>
      </c>
      <c r="BB28" s="259">
        <v>10809</v>
      </c>
      <c r="BC28" s="259">
        <v>5342</v>
      </c>
      <c r="BD28" s="259">
        <v>13944</v>
      </c>
      <c r="BE28" s="259">
        <v>31060</v>
      </c>
      <c r="BF28" s="259">
        <v>22129</v>
      </c>
    </row>
    <row r="29" spans="1:58" x14ac:dyDescent="0.3">
      <c r="A29" s="257" t="s">
        <v>801</v>
      </c>
      <c r="B29" s="258" t="s">
        <v>784</v>
      </c>
      <c r="C29" s="258" t="s">
        <v>784</v>
      </c>
      <c r="D29" s="258" t="s">
        <v>784</v>
      </c>
      <c r="E29" s="258" t="s">
        <v>784</v>
      </c>
      <c r="F29" s="259">
        <v>7982</v>
      </c>
      <c r="G29" s="259">
        <v>17413</v>
      </c>
      <c r="H29" s="259">
        <v>45911</v>
      </c>
      <c r="I29" s="259">
        <v>15677</v>
      </c>
      <c r="J29" s="259">
        <v>1317926</v>
      </c>
      <c r="K29" s="259">
        <v>26222</v>
      </c>
      <c r="L29" s="259">
        <v>22434</v>
      </c>
      <c r="M29" s="259">
        <v>17940</v>
      </c>
      <c r="N29" s="259">
        <v>11578</v>
      </c>
      <c r="O29" s="259">
        <v>192278</v>
      </c>
      <c r="P29" s="259">
        <v>216031</v>
      </c>
      <c r="Q29" s="259">
        <v>263813</v>
      </c>
      <c r="R29" s="259">
        <v>199141</v>
      </c>
      <c r="S29" s="259">
        <v>201939</v>
      </c>
      <c r="T29" s="259">
        <v>208163</v>
      </c>
      <c r="U29" s="259">
        <v>218710</v>
      </c>
      <c r="V29" s="259">
        <v>303844</v>
      </c>
      <c r="W29" s="259">
        <v>320675</v>
      </c>
      <c r="X29" s="259">
        <v>284754</v>
      </c>
      <c r="Y29" s="259">
        <v>190285</v>
      </c>
      <c r="Z29" s="259">
        <v>105480</v>
      </c>
      <c r="AA29" s="259">
        <v>102600</v>
      </c>
      <c r="AB29" s="259">
        <v>83771</v>
      </c>
      <c r="AC29" s="259">
        <v>83424</v>
      </c>
      <c r="AD29" s="259">
        <v>74381</v>
      </c>
      <c r="AE29" s="259">
        <v>91257</v>
      </c>
      <c r="AF29" s="259">
        <v>76770</v>
      </c>
      <c r="AG29" s="259">
        <v>71697</v>
      </c>
      <c r="AH29" s="259">
        <v>79529</v>
      </c>
      <c r="AI29" s="259">
        <v>62020</v>
      </c>
      <c r="AJ29" s="259">
        <v>62221</v>
      </c>
      <c r="AK29" s="259">
        <v>66556</v>
      </c>
      <c r="AL29" s="259">
        <v>79282</v>
      </c>
      <c r="AM29" s="259">
        <v>82034</v>
      </c>
      <c r="AN29" s="259">
        <v>242645</v>
      </c>
      <c r="AO29" s="259">
        <v>229429</v>
      </c>
      <c r="AP29" s="259">
        <v>200215</v>
      </c>
      <c r="AQ29" s="259">
        <v>798480</v>
      </c>
      <c r="AR29" s="259">
        <v>444129</v>
      </c>
      <c r="AS29" s="259">
        <v>492462</v>
      </c>
      <c r="AT29" s="259">
        <v>278603</v>
      </c>
      <c r="AU29" s="259">
        <v>287710</v>
      </c>
      <c r="AV29" s="259">
        <v>187817</v>
      </c>
      <c r="AW29" s="259">
        <v>174661</v>
      </c>
      <c r="AX29" s="259">
        <v>227261</v>
      </c>
      <c r="AY29" s="259">
        <v>147362</v>
      </c>
      <c r="AZ29" s="259">
        <v>180662</v>
      </c>
      <c r="BA29" s="259">
        <v>347046</v>
      </c>
      <c r="BB29" s="259">
        <v>283116</v>
      </c>
      <c r="BC29" s="259">
        <v>429633</v>
      </c>
      <c r="BD29" s="259">
        <v>208513</v>
      </c>
      <c r="BE29" s="259">
        <v>291519</v>
      </c>
      <c r="BF29" s="259">
        <v>194542</v>
      </c>
    </row>
    <row r="30" spans="1:58" x14ac:dyDescent="0.3">
      <c r="A30" s="260" t="s">
        <v>802</v>
      </c>
      <c r="B30" s="261" t="s">
        <v>784</v>
      </c>
      <c r="C30" s="261" t="s">
        <v>784</v>
      </c>
      <c r="D30" s="261" t="s">
        <v>784</v>
      </c>
      <c r="E30" s="261" t="s">
        <v>784</v>
      </c>
      <c r="F30" s="256">
        <v>0</v>
      </c>
      <c r="G30" s="256">
        <v>0</v>
      </c>
      <c r="H30" s="256">
        <v>0</v>
      </c>
      <c r="I30" s="256">
        <v>0</v>
      </c>
      <c r="J30" s="256">
        <v>1296128</v>
      </c>
      <c r="K30" s="256">
        <v>0</v>
      </c>
      <c r="L30" s="256">
        <v>0</v>
      </c>
      <c r="M30" s="256">
        <v>0</v>
      </c>
      <c r="N30" s="256">
        <v>0</v>
      </c>
      <c r="O30" s="256">
        <v>109268</v>
      </c>
      <c r="P30" s="256">
        <v>129001</v>
      </c>
      <c r="Q30" s="256">
        <v>161001</v>
      </c>
      <c r="R30" s="256">
        <v>155540</v>
      </c>
      <c r="S30" s="256">
        <v>145090</v>
      </c>
      <c r="T30" s="256">
        <v>143771</v>
      </c>
      <c r="U30" s="256">
        <v>152403</v>
      </c>
      <c r="V30" s="256">
        <v>258158</v>
      </c>
      <c r="W30" s="256">
        <v>263530</v>
      </c>
      <c r="X30" s="256">
        <v>247327</v>
      </c>
      <c r="Y30" s="256">
        <v>154870</v>
      </c>
      <c r="Z30" s="256">
        <v>73644</v>
      </c>
      <c r="AA30" s="256">
        <v>66391</v>
      </c>
      <c r="AB30" s="256">
        <v>53588</v>
      </c>
      <c r="AC30" s="256">
        <v>50056</v>
      </c>
      <c r="AD30" s="256">
        <v>50255</v>
      </c>
      <c r="AE30" s="256">
        <v>48857</v>
      </c>
      <c r="AF30" s="256">
        <v>28318</v>
      </c>
      <c r="AG30" s="256">
        <v>27118</v>
      </c>
      <c r="AH30" s="256">
        <v>28316</v>
      </c>
      <c r="AI30" s="256">
        <v>28452</v>
      </c>
      <c r="AJ30" s="256">
        <v>29535</v>
      </c>
      <c r="AK30" s="256">
        <v>27467</v>
      </c>
      <c r="AL30" s="256">
        <v>26581</v>
      </c>
      <c r="AM30" s="256">
        <v>26731</v>
      </c>
      <c r="AN30" s="256">
        <v>0</v>
      </c>
      <c r="AO30" s="256">
        <v>28568</v>
      </c>
      <c r="AP30" s="256">
        <v>0</v>
      </c>
      <c r="AQ30" s="256">
        <v>0</v>
      </c>
      <c r="AR30" s="256">
        <v>0</v>
      </c>
      <c r="AS30" s="256">
        <v>0</v>
      </c>
      <c r="AT30" s="256">
        <v>68439</v>
      </c>
      <c r="AU30" s="256">
        <v>74533</v>
      </c>
      <c r="AV30" s="256">
        <v>70110</v>
      </c>
      <c r="AW30" s="256">
        <v>72665</v>
      </c>
      <c r="AX30" s="256">
        <v>74508</v>
      </c>
      <c r="AY30" s="256">
        <v>0</v>
      </c>
      <c r="AZ30" s="256">
        <v>0</v>
      </c>
      <c r="BA30" s="256">
        <v>0</v>
      </c>
      <c r="BB30" s="256">
        <v>65314</v>
      </c>
      <c r="BC30" s="256">
        <v>69219</v>
      </c>
      <c r="BD30" s="256">
        <v>67915</v>
      </c>
      <c r="BE30" s="256">
        <v>73084</v>
      </c>
      <c r="BF30" s="256">
        <v>0</v>
      </c>
    </row>
    <row r="31" spans="1:58" x14ac:dyDescent="0.3">
      <c r="A31" s="260" t="s">
        <v>803</v>
      </c>
      <c r="B31" s="261" t="s">
        <v>784</v>
      </c>
      <c r="C31" s="261" t="s">
        <v>784</v>
      </c>
      <c r="D31" s="261" t="s">
        <v>784</v>
      </c>
      <c r="E31" s="261" t="s">
        <v>784</v>
      </c>
      <c r="F31" s="256">
        <v>0</v>
      </c>
      <c r="G31" s="256">
        <v>0</v>
      </c>
      <c r="H31" s="256">
        <v>0</v>
      </c>
      <c r="I31" s="256">
        <v>0</v>
      </c>
      <c r="J31" s="256">
        <v>0</v>
      </c>
      <c r="K31" s="256">
        <v>0</v>
      </c>
      <c r="L31" s="256">
        <v>0</v>
      </c>
      <c r="M31" s="256">
        <v>0</v>
      </c>
      <c r="N31" s="256">
        <v>0</v>
      </c>
      <c r="O31" s="256">
        <v>0</v>
      </c>
      <c r="P31" s="256">
        <v>0</v>
      </c>
      <c r="Q31" s="256">
        <v>0</v>
      </c>
      <c r="R31" s="256">
        <v>0</v>
      </c>
      <c r="S31" s="256">
        <v>0</v>
      </c>
      <c r="T31" s="256">
        <v>0</v>
      </c>
      <c r="U31" s="256">
        <v>0</v>
      </c>
      <c r="V31" s="256">
        <v>0</v>
      </c>
      <c r="W31" s="256">
        <v>0</v>
      </c>
      <c r="X31" s="256">
        <v>0</v>
      </c>
      <c r="Y31" s="256">
        <v>0</v>
      </c>
      <c r="Z31" s="256">
        <v>0</v>
      </c>
      <c r="AA31" s="256">
        <v>0</v>
      </c>
      <c r="AB31" s="256">
        <v>0</v>
      </c>
      <c r="AC31" s="256">
        <v>0</v>
      </c>
      <c r="AD31" s="256">
        <v>0</v>
      </c>
      <c r="AE31" s="256">
        <v>0</v>
      </c>
      <c r="AF31" s="256">
        <v>0</v>
      </c>
      <c r="AG31" s="256">
        <v>0</v>
      </c>
      <c r="AH31" s="256">
        <v>0</v>
      </c>
      <c r="AI31" s="256">
        <v>0</v>
      </c>
      <c r="AJ31" s="256">
        <v>0</v>
      </c>
      <c r="AK31" s="256">
        <v>0</v>
      </c>
      <c r="AL31" s="256">
        <v>0</v>
      </c>
      <c r="AM31" s="256">
        <v>0</v>
      </c>
      <c r="AN31" s="256">
        <v>0</v>
      </c>
      <c r="AO31" s="256">
        <v>0</v>
      </c>
      <c r="AP31" s="256">
        <v>0</v>
      </c>
      <c r="AQ31" s="256">
        <v>0</v>
      </c>
      <c r="AR31" s="256">
        <v>0</v>
      </c>
      <c r="AS31" s="256">
        <v>0</v>
      </c>
      <c r="AT31" s="256">
        <v>0</v>
      </c>
      <c r="AU31" s="256">
        <v>0</v>
      </c>
      <c r="AV31" s="256">
        <v>0</v>
      </c>
      <c r="AW31" s="256">
        <v>0</v>
      </c>
      <c r="AX31" s="256">
        <v>0</v>
      </c>
      <c r="AY31" s="256">
        <v>0</v>
      </c>
      <c r="AZ31" s="256">
        <v>0</v>
      </c>
      <c r="BA31" s="256">
        <v>0</v>
      </c>
      <c r="BB31" s="256">
        <v>0</v>
      </c>
      <c r="BC31" s="256">
        <v>0</v>
      </c>
      <c r="BD31" s="256">
        <v>0</v>
      </c>
      <c r="BE31" s="256">
        <v>0</v>
      </c>
      <c r="BF31" s="256">
        <v>0</v>
      </c>
    </row>
    <row r="32" spans="1:58" x14ac:dyDescent="0.3">
      <c r="A32" s="260" t="s">
        <v>804</v>
      </c>
      <c r="B32" s="261" t="s">
        <v>784</v>
      </c>
      <c r="C32" s="261" t="s">
        <v>784</v>
      </c>
      <c r="D32" s="261" t="s">
        <v>784</v>
      </c>
      <c r="E32" s="261" t="s">
        <v>784</v>
      </c>
      <c r="F32" s="256">
        <v>7982</v>
      </c>
      <c r="G32" s="256">
        <v>17413</v>
      </c>
      <c r="H32" s="256">
        <v>45911</v>
      </c>
      <c r="I32" s="256">
        <v>15677</v>
      </c>
      <c r="J32" s="256">
        <v>21798</v>
      </c>
      <c r="K32" s="256">
        <v>26222</v>
      </c>
      <c r="L32" s="256">
        <v>22434</v>
      </c>
      <c r="M32" s="256">
        <v>17940</v>
      </c>
      <c r="N32" s="256">
        <v>11578</v>
      </c>
      <c r="O32" s="256">
        <v>83010</v>
      </c>
      <c r="P32" s="256">
        <v>87030</v>
      </c>
      <c r="Q32" s="256">
        <v>102812</v>
      </c>
      <c r="R32" s="256">
        <v>43601</v>
      </c>
      <c r="S32" s="256">
        <v>56849</v>
      </c>
      <c r="T32" s="256">
        <v>64392</v>
      </c>
      <c r="U32" s="256">
        <v>66307</v>
      </c>
      <c r="V32" s="256">
        <v>45686</v>
      </c>
      <c r="W32" s="256">
        <v>57145</v>
      </c>
      <c r="X32" s="256">
        <v>37427</v>
      </c>
      <c r="Y32" s="256">
        <v>35415</v>
      </c>
      <c r="Z32" s="256">
        <v>31836</v>
      </c>
      <c r="AA32" s="256">
        <v>36209</v>
      </c>
      <c r="AB32" s="256">
        <v>30183</v>
      </c>
      <c r="AC32" s="256">
        <v>33368</v>
      </c>
      <c r="AD32" s="256">
        <v>24126</v>
      </c>
      <c r="AE32" s="256">
        <v>42400</v>
      </c>
      <c r="AF32" s="256">
        <v>48452</v>
      </c>
      <c r="AG32" s="256">
        <v>44579</v>
      </c>
      <c r="AH32" s="256">
        <v>51213</v>
      </c>
      <c r="AI32" s="256">
        <v>33568</v>
      </c>
      <c r="AJ32" s="256">
        <v>32686</v>
      </c>
      <c r="AK32" s="256">
        <v>39089</v>
      </c>
      <c r="AL32" s="256">
        <v>52701</v>
      </c>
      <c r="AM32" s="256">
        <v>55303</v>
      </c>
      <c r="AN32" s="256">
        <v>242645</v>
      </c>
      <c r="AO32" s="256">
        <v>200861</v>
      </c>
      <c r="AP32" s="256">
        <v>200215</v>
      </c>
      <c r="AQ32" s="256">
        <v>798480</v>
      </c>
      <c r="AR32" s="256">
        <v>444129</v>
      </c>
      <c r="AS32" s="256">
        <v>492462</v>
      </c>
      <c r="AT32" s="256">
        <v>210164</v>
      </c>
      <c r="AU32" s="256">
        <v>213177</v>
      </c>
      <c r="AV32" s="256">
        <v>117707</v>
      </c>
      <c r="AW32" s="256">
        <v>101996</v>
      </c>
      <c r="AX32" s="256">
        <v>152753</v>
      </c>
      <c r="AY32" s="256">
        <v>147362</v>
      </c>
      <c r="AZ32" s="256">
        <v>180662</v>
      </c>
      <c r="BA32" s="256">
        <v>347046</v>
      </c>
      <c r="BB32" s="256">
        <v>217802</v>
      </c>
      <c r="BC32" s="256">
        <v>360414</v>
      </c>
      <c r="BD32" s="256">
        <v>140598</v>
      </c>
      <c r="BE32" s="256">
        <v>218435</v>
      </c>
      <c r="BF32" s="256">
        <v>194542</v>
      </c>
    </row>
    <row r="33" spans="1:58" x14ac:dyDescent="0.3">
      <c r="A33" s="255" t="s">
        <v>805</v>
      </c>
      <c r="B33" s="256">
        <v>61991</v>
      </c>
      <c r="C33" s="256">
        <v>90884</v>
      </c>
      <c r="D33" s="256">
        <v>155915</v>
      </c>
      <c r="E33" s="256">
        <v>225543</v>
      </c>
      <c r="F33" s="256">
        <v>249508</v>
      </c>
      <c r="G33" s="256">
        <v>391116</v>
      </c>
      <c r="H33" s="256">
        <v>3399780</v>
      </c>
      <c r="I33" s="256">
        <v>2278421</v>
      </c>
      <c r="J33" s="256">
        <v>2536506</v>
      </c>
      <c r="K33" s="256">
        <v>3778176</v>
      </c>
      <c r="L33" s="256">
        <v>2916894</v>
      </c>
      <c r="M33" s="256">
        <v>3004031</v>
      </c>
      <c r="N33" s="256">
        <v>3273538</v>
      </c>
      <c r="O33" s="256">
        <v>3272708</v>
      </c>
      <c r="P33" s="256">
        <v>3531223</v>
      </c>
      <c r="Q33" s="256">
        <v>2696792</v>
      </c>
      <c r="R33" s="256">
        <v>1132029</v>
      </c>
      <c r="S33" s="256">
        <v>1340864</v>
      </c>
      <c r="T33" s="256">
        <v>1274652</v>
      </c>
      <c r="U33" s="256">
        <v>1286526</v>
      </c>
      <c r="V33" s="256">
        <v>254902</v>
      </c>
      <c r="W33" s="256">
        <v>319953</v>
      </c>
      <c r="X33" s="256">
        <v>294062</v>
      </c>
      <c r="Y33" s="256">
        <v>342658</v>
      </c>
      <c r="Z33" s="256">
        <v>277215</v>
      </c>
      <c r="AA33" s="256">
        <v>276451</v>
      </c>
      <c r="AB33" s="256">
        <v>282336</v>
      </c>
      <c r="AC33" s="256">
        <v>302835</v>
      </c>
      <c r="AD33" s="256">
        <v>300789</v>
      </c>
      <c r="AE33" s="256">
        <v>472764</v>
      </c>
      <c r="AF33" s="256">
        <v>467629</v>
      </c>
      <c r="AG33" s="256">
        <v>455903</v>
      </c>
      <c r="AH33" s="256">
        <v>402109</v>
      </c>
      <c r="AI33" s="256">
        <v>421278</v>
      </c>
      <c r="AJ33" s="256">
        <v>474515</v>
      </c>
      <c r="AK33" s="256">
        <v>485459</v>
      </c>
      <c r="AL33" s="256">
        <v>497501</v>
      </c>
      <c r="AM33" s="256">
        <v>3657302</v>
      </c>
      <c r="AN33" s="256">
        <v>3386223</v>
      </c>
      <c r="AO33" s="256">
        <v>3457010</v>
      </c>
      <c r="AP33" s="256">
        <v>3976661</v>
      </c>
      <c r="AQ33" s="256">
        <v>5252119</v>
      </c>
      <c r="AR33" s="256">
        <v>5260513</v>
      </c>
      <c r="AS33" s="256">
        <v>5404998</v>
      </c>
      <c r="AT33" s="256">
        <v>4951418</v>
      </c>
      <c r="AU33" s="256">
        <v>5244461</v>
      </c>
      <c r="AV33" s="256">
        <v>4987285</v>
      </c>
      <c r="AW33" s="256">
        <v>5981504</v>
      </c>
      <c r="AX33" s="256">
        <v>6115121</v>
      </c>
      <c r="AY33" s="256">
        <v>6057511</v>
      </c>
      <c r="AZ33" s="256">
        <v>8317151</v>
      </c>
      <c r="BA33" s="256">
        <v>8797869</v>
      </c>
      <c r="BB33" s="256">
        <v>9699893</v>
      </c>
      <c r="BC33" s="256">
        <v>21738792</v>
      </c>
      <c r="BD33" s="256">
        <v>22327929</v>
      </c>
      <c r="BE33" s="256">
        <v>23435149</v>
      </c>
      <c r="BF33" s="256">
        <v>23016058</v>
      </c>
    </row>
    <row r="34" spans="1:58" x14ac:dyDescent="0.3">
      <c r="A34" s="257" t="s">
        <v>806</v>
      </c>
      <c r="B34" s="259">
        <v>4556</v>
      </c>
      <c r="C34" s="259">
        <v>27122</v>
      </c>
      <c r="D34" s="259">
        <v>35678</v>
      </c>
      <c r="E34" s="259">
        <v>36574</v>
      </c>
      <c r="F34" s="259">
        <v>37494</v>
      </c>
      <c r="G34" s="259">
        <v>38466</v>
      </c>
      <c r="H34" s="259">
        <v>1328191</v>
      </c>
      <c r="I34" s="259">
        <v>436</v>
      </c>
      <c r="J34" s="259">
        <v>22396</v>
      </c>
      <c r="K34" s="259">
        <v>1115284</v>
      </c>
      <c r="L34" s="259">
        <v>83039</v>
      </c>
      <c r="M34" s="259">
        <v>83314</v>
      </c>
      <c r="N34" s="259">
        <v>156265</v>
      </c>
      <c r="O34" s="259">
        <v>151983</v>
      </c>
      <c r="P34" s="259">
        <v>457803</v>
      </c>
      <c r="Q34" s="259">
        <v>461313</v>
      </c>
      <c r="R34" s="259">
        <v>4590</v>
      </c>
      <c r="S34" s="259">
        <v>4724</v>
      </c>
      <c r="T34" s="259">
        <v>4813</v>
      </c>
      <c r="U34" s="259">
        <v>4978</v>
      </c>
      <c r="V34" s="259">
        <v>5026</v>
      </c>
      <c r="W34" s="259">
        <v>5096</v>
      </c>
      <c r="X34" s="259">
        <v>23430</v>
      </c>
      <c r="Y34" s="259">
        <v>33110</v>
      </c>
      <c r="Z34" s="259">
        <v>45500</v>
      </c>
      <c r="AA34" s="259">
        <v>45828</v>
      </c>
      <c r="AB34" s="259">
        <v>45687</v>
      </c>
      <c r="AC34" s="259">
        <v>54093</v>
      </c>
      <c r="AD34" s="259">
        <v>73972</v>
      </c>
      <c r="AE34" s="259">
        <v>90007</v>
      </c>
      <c r="AF34" s="259">
        <v>99829</v>
      </c>
      <c r="AG34" s="259">
        <v>110492</v>
      </c>
      <c r="AH34" s="259">
        <v>80275</v>
      </c>
      <c r="AI34" s="259">
        <v>101931</v>
      </c>
      <c r="AJ34" s="259">
        <v>104297</v>
      </c>
      <c r="AK34" s="259">
        <v>78617</v>
      </c>
      <c r="AL34" s="259">
        <v>66266</v>
      </c>
      <c r="AM34" s="259">
        <v>71989</v>
      </c>
      <c r="AN34" s="259">
        <v>107425</v>
      </c>
      <c r="AO34" s="259">
        <v>73002</v>
      </c>
      <c r="AP34" s="259">
        <v>232542</v>
      </c>
      <c r="AQ34" s="259">
        <v>236555</v>
      </c>
      <c r="AR34" s="259">
        <v>264472</v>
      </c>
      <c r="AS34" s="259">
        <v>230786</v>
      </c>
      <c r="AT34" s="259">
        <v>265703</v>
      </c>
      <c r="AU34" s="259">
        <v>319040</v>
      </c>
      <c r="AV34" s="259">
        <v>215592</v>
      </c>
      <c r="AW34" s="259">
        <v>238970</v>
      </c>
      <c r="AX34" s="259">
        <v>397883</v>
      </c>
      <c r="AY34" s="259">
        <v>700783</v>
      </c>
      <c r="AZ34" s="259">
        <v>721759</v>
      </c>
      <c r="BA34" s="259">
        <v>521786</v>
      </c>
      <c r="BB34" s="259">
        <v>729759</v>
      </c>
      <c r="BC34" s="259">
        <v>682821</v>
      </c>
      <c r="BD34" s="259">
        <v>891997</v>
      </c>
      <c r="BE34" s="259">
        <v>558122</v>
      </c>
      <c r="BF34" s="259">
        <v>631701</v>
      </c>
    </row>
    <row r="35" spans="1:58" x14ac:dyDescent="0.3">
      <c r="A35" s="260" t="s">
        <v>807</v>
      </c>
      <c r="B35" s="261" t="s">
        <v>784</v>
      </c>
      <c r="C35" s="261" t="s">
        <v>784</v>
      </c>
      <c r="D35" s="261" t="s">
        <v>784</v>
      </c>
      <c r="E35" s="261" t="s">
        <v>784</v>
      </c>
      <c r="F35" s="256">
        <v>0</v>
      </c>
      <c r="G35" s="256">
        <v>0</v>
      </c>
      <c r="H35" s="256">
        <v>0</v>
      </c>
      <c r="I35" s="256">
        <v>0</v>
      </c>
      <c r="J35" s="256">
        <v>0</v>
      </c>
      <c r="K35" s="256">
        <v>0</v>
      </c>
      <c r="L35" s="256">
        <v>0</v>
      </c>
      <c r="M35" s="256">
        <v>0</v>
      </c>
      <c r="N35" s="256">
        <v>0</v>
      </c>
      <c r="O35" s="256">
        <v>141443</v>
      </c>
      <c r="P35" s="256">
        <v>449185</v>
      </c>
      <c r="Q35" s="256">
        <v>450789</v>
      </c>
      <c r="R35" s="256">
        <v>0</v>
      </c>
      <c r="S35" s="256">
        <v>0</v>
      </c>
      <c r="T35" s="256">
        <v>0</v>
      </c>
      <c r="U35" s="256">
        <v>0</v>
      </c>
      <c r="V35" s="256">
        <v>0</v>
      </c>
      <c r="W35" s="256">
        <v>0</v>
      </c>
      <c r="X35" s="256">
        <v>0</v>
      </c>
      <c r="Y35" s="256">
        <v>0</v>
      </c>
      <c r="Z35" s="256">
        <v>0</v>
      </c>
      <c r="AA35" s="256">
        <v>0</v>
      </c>
      <c r="AB35" s="256">
        <v>0</v>
      </c>
      <c r="AC35" s="256">
        <v>0</v>
      </c>
      <c r="AD35" s="256">
        <v>0</v>
      </c>
      <c r="AE35" s="256">
        <v>0</v>
      </c>
      <c r="AF35" s="256">
        <v>0</v>
      </c>
      <c r="AG35" s="256">
        <v>0</v>
      </c>
      <c r="AH35" s="256">
        <v>0</v>
      </c>
      <c r="AI35" s="256">
        <v>0</v>
      </c>
      <c r="AJ35" s="256">
        <v>0</v>
      </c>
      <c r="AK35" s="256">
        <v>0</v>
      </c>
      <c r="AL35" s="256">
        <v>0</v>
      </c>
      <c r="AM35" s="256">
        <v>0</v>
      </c>
      <c r="AN35" s="256">
        <v>0</v>
      </c>
      <c r="AO35" s="256">
        <v>0</v>
      </c>
      <c r="AP35" s="256">
        <v>0</v>
      </c>
      <c r="AQ35" s="256">
        <v>0</v>
      </c>
      <c r="AR35" s="256">
        <v>0</v>
      </c>
      <c r="AS35" s="256">
        <v>0</v>
      </c>
      <c r="AT35" s="256">
        <v>0</v>
      </c>
      <c r="AU35" s="256">
        <v>0</v>
      </c>
      <c r="AV35" s="256">
        <v>0</v>
      </c>
      <c r="AW35" s="256">
        <v>0</v>
      </c>
      <c r="AX35" s="256">
        <v>0</v>
      </c>
      <c r="AY35" s="256">
        <v>0</v>
      </c>
      <c r="AZ35" s="256">
        <v>0</v>
      </c>
      <c r="BA35" s="256">
        <v>0</v>
      </c>
      <c r="BB35" s="256">
        <v>0</v>
      </c>
      <c r="BC35" s="256">
        <v>0</v>
      </c>
      <c r="BD35" s="256">
        <v>0</v>
      </c>
      <c r="BE35" s="256">
        <v>0</v>
      </c>
      <c r="BF35" s="256">
        <v>0</v>
      </c>
    </row>
    <row r="36" spans="1:58" x14ac:dyDescent="0.3">
      <c r="A36" s="262" t="s">
        <v>808</v>
      </c>
      <c r="B36" s="253" t="s">
        <v>784</v>
      </c>
      <c r="C36" s="253" t="s">
        <v>784</v>
      </c>
      <c r="D36" s="253" t="s">
        <v>784</v>
      </c>
      <c r="E36" s="253" t="s">
        <v>784</v>
      </c>
      <c r="F36" s="253" t="s">
        <v>784</v>
      </c>
      <c r="G36" s="253" t="s">
        <v>784</v>
      </c>
      <c r="H36" s="253" t="s">
        <v>784</v>
      </c>
      <c r="I36" s="253" t="s">
        <v>784</v>
      </c>
      <c r="J36" s="253" t="s">
        <v>784</v>
      </c>
      <c r="K36" s="253" t="s">
        <v>784</v>
      </c>
      <c r="L36" s="253" t="s">
        <v>784</v>
      </c>
      <c r="M36" s="253" t="s">
        <v>784</v>
      </c>
      <c r="N36" s="253" t="s">
        <v>784</v>
      </c>
      <c r="O36" s="253" t="s">
        <v>784</v>
      </c>
      <c r="P36" s="253" t="s">
        <v>784</v>
      </c>
      <c r="Q36" s="253" t="s">
        <v>784</v>
      </c>
      <c r="R36" s="253" t="s">
        <v>784</v>
      </c>
      <c r="S36" s="253" t="s">
        <v>784</v>
      </c>
      <c r="T36" s="253" t="s">
        <v>784</v>
      </c>
      <c r="U36" s="253" t="s">
        <v>784</v>
      </c>
      <c r="V36" s="253" t="s">
        <v>784</v>
      </c>
      <c r="W36" s="253" t="s">
        <v>784</v>
      </c>
      <c r="X36" s="253" t="s">
        <v>784</v>
      </c>
      <c r="Y36" s="253" t="s">
        <v>784</v>
      </c>
      <c r="Z36" s="253" t="s">
        <v>784</v>
      </c>
      <c r="AA36" s="253" t="s">
        <v>784</v>
      </c>
      <c r="AB36" s="253" t="s">
        <v>784</v>
      </c>
      <c r="AC36" s="253" t="s">
        <v>784</v>
      </c>
      <c r="AD36" s="253" t="s">
        <v>784</v>
      </c>
      <c r="AE36" s="253" t="s">
        <v>784</v>
      </c>
      <c r="AF36" s="253" t="s">
        <v>784</v>
      </c>
      <c r="AG36" s="253" t="s">
        <v>784</v>
      </c>
      <c r="AH36" s="254">
        <v>0</v>
      </c>
      <c r="AI36" s="253" t="s">
        <v>784</v>
      </c>
      <c r="AJ36" s="254">
        <v>0</v>
      </c>
      <c r="AK36" s="254">
        <v>0</v>
      </c>
      <c r="AL36" s="254">
        <v>0</v>
      </c>
      <c r="AM36" s="254">
        <v>0</v>
      </c>
      <c r="AN36" s="254">
        <v>0</v>
      </c>
      <c r="AO36" s="254">
        <v>0</v>
      </c>
      <c r="AP36" s="254">
        <v>0</v>
      </c>
      <c r="AQ36" s="254">
        <v>0</v>
      </c>
      <c r="AR36" s="254">
        <v>0</v>
      </c>
      <c r="AS36" s="254">
        <v>0</v>
      </c>
      <c r="AT36" s="254">
        <v>0</v>
      </c>
      <c r="AU36" s="254">
        <v>0</v>
      </c>
      <c r="AV36" s="254">
        <v>0</v>
      </c>
      <c r="AW36" s="254">
        <v>0</v>
      </c>
      <c r="AX36" s="254">
        <v>0</v>
      </c>
      <c r="AY36" s="254">
        <v>0</v>
      </c>
      <c r="AZ36" s="254">
        <v>0</v>
      </c>
      <c r="BA36" s="254">
        <v>0</v>
      </c>
      <c r="BB36" s="254">
        <v>0</v>
      </c>
      <c r="BC36" s="254">
        <v>0</v>
      </c>
      <c r="BD36" s="254">
        <v>0</v>
      </c>
      <c r="BE36" s="254">
        <v>0</v>
      </c>
      <c r="BF36" s="254">
        <v>0</v>
      </c>
    </row>
    <row r="37" spans="1:58" x14ac:dyDescent="0.3">
      <c r="A37" s="263" t="s">
        <v>809</v>
      </c>
      <c r="B37" s="261" t="s">
        <v>784</v>
      </c>
      <c r="C37" s="261" t="s">
        <v>784</v>
      </c>
      <c r="D37" s="261" t="s">
        <v>784</v>
      </c>
      <c r="E37" s="261" t="s">
        <v>784</v>
      </c>
      <c r="F37" s="261" t="s">
        <v>784</v>
      </c>
      <c r="G37" s="261" t="s">
        <v>784</v>
      </c>
      <c r="H37" s="261" t="s">
        <v>784</v>
      </c>
      <c r="I37" s="261" t="s">
        <v>784</v>
      </c>
      <c r="J37" s="261" t="s">
        <v>784</v>
      </c>
      <c r="K37" s="261" t="s">
        <v>784</v>
      </c>
      <c r="L37" s="261" t="s">
        <v>784</v>
      </c>
      <c r="M37" s="261" t="s">
        <v>784</v>
      </c>
      <c r="N37" s="261" t="s">
        <v>784</v>
      </c>
      <c r="O37" s="261" t="s">
        <v>784</v>
      </c>
      <c r="P37" s="261" t="s">
        <v>784</v>
      </c>
      <c r="Q37" s="261" t="s">
        <v>784</v>
      </c>
      <c r="R37" s="261" t="s">
        <v>784</v>
      </c>
      <c r="S37" s="261" t="s">
        <v>784</v>
      </c>
      <c r="T37" s="261" t="s">
        <v>784</v>
      </c>
      <c r="U37" s="261" t="s">
        <v>784</v>
      </c>
      <c r="V37" s="261" t="s">
        <v>784</v>
      </c>
      <c r="W37" s="261" t="s">
        <v>784</v>
      </c>
      <c r="X37" s="261" t="s">
        <v>784</v>
      </c>
      <c r="Y37" s="261" t="s">
        <v>784</v>
      </c>
      <c r="Z37" s="261" t="s">
        <v>784</v>
      </c>
      <c r="AA37" s="261" t="s">
        <v>784</v>
      </c>
      <c r="AB37" s="261" t="s">
        <v>784</v>
      </c>
      <c r="AC37" s="261" t="s">
        <v>784</v>
      </c>
      <c r="AD37" s="261" t="s">
        <v>784</v>
      </c>
      <c r="AE37" s="261" t="s">
        <v>784</v>
      </c>
      <c r="AF37" s="261" t="s">
        <v>784</v>
      </c>
      <c r="AG37" s="261" t="s">
        <v>784</v>
      </c>
      <c r="AH37" s="256">
        <v>0</v>
      </c>
      <c r="AI37" s="261" t="s">
        <v>784</v>
      </c>
      <c r="AJ37" s="256">
        <v>0</v>
      </c>
      <c r="AK37" s="256">
        <v>0</v>
      </c>
      <c r="AL37" s="256">
        <v>0</v>
      </c>
      <c r="AM37" s="256">
        <v>0</v>
      </c>
      <c r="AN37" s="256">
        <v>0</v>
      </c>
      <c r="AO37" s="256">
        <v>0</v>
      </c>
      <c r="AP37" s="256">
        <v>0</v>
      </c>
      <c r="AQ37" s="256">
        <v>0</v>
      </c>
      <c r="AR37" s="256">
        <v>0</v>
      </c>
      <c r="AS37" s="256">
        <v>0</v>
      </c>
      <c r="AT37" s="256">
        <v>0</v>
      </c>
      <c r="AU37" s="256">
        <v>0</v>
      </c>
      <c r="AV37" s="256">
        <v>0</v>
      </c>
      <c r="AW37" s="256">
        <v>0</v>
      </c>
      <c r="AX37" s="256">
        <v>0</v>
      </c>
      <c r="AY37" s="256">
        <v>0</v>
      </c>
      <c r="AZ37" s="256">
        <v>0</v>
      </c>
      <c r="BA37" s="256">
        <v>0</v>
      </c>
      <c r="BB37" s="256">
        <v>0</v>
      </c>
      <c r="BC37" s="256">
        <v>0</v>
      </c>
      <c r="BD37" s="256">
        <v>0</v>
      </c>
      <c r="BE37" s="256">
        <v>0</v>
      </c>
      <c r="BF37" s="256">
        <v>0</v>
      </c>
    </row>
    <row r="38" spans="1:58" x14ac:dyDescent="0.3">
      <c r="A38" s="263" t="s">
        <v>790</v>
      </c>
      <c r="B38" s="261" t="s">
        <v>784</v>
      </c>
      <c r="C38" s="261" t="s">
        <v>784</v>
      </c>
      <c r="D38" s="261" t="s">
        <v>784</v>
      </c>
      <c r="E38" s="261" t="s">
        <v>784</v>
      </c>
      <c r="F38" s="261" t="s">
        <v>784</v>
      </c>
      <c r="G38" s="261" t="s">
        <v>784</v>
      </c>
      <c r="H38" s="261" t="s">
        <v>784</v>
      </c>
      <c r="I38" s="261" t="s">
        <v>784</v>
      </c>
      <c r="J38" s="261" t="s">
        <v>784</v>
      </c>
      <c r="K38" s="261" t="s">
        <v>784</v>
      </c>
      <c r="L38" s="261" t="s">
        <v>784</v>
      </c>
      <c r="M38" s="261" t="s">
        <v>784</v>
      </c>
      <c r="N38" s="261" t="s">
        <v>784</v>
      </c>
      <c r="O38" s="261" t="s">
        <v>784</v>
      </c>
      <c r="P38" s="261" t="s">
        <v>784</v>
      </c>
      <c r="Q38" s="261" t="s">
        <v>784</v>
      </c>
      <c r="R38" s="261" t="s">
        <v>784</v>
      </c>
      <c r="S38" s="261" t="s">
        <v>784</v>
      </c>
      <c r="T38" s="261" t="s">
        <v>784</v>
      </c>
      <c r="U38" s="261" t="s">
        <v>784</v>
      </c>
      <c r="V38" s="261" t="s">
        <v>784</v>
      </c>
      <c r="W38" s="261" t="s">
        <v>784</v>
      </c>
      <c r="X38" s="261" t="s">
        <v>784</v>
      </c>
      <c r="Y38" s="261" t="s">
        <v>784</v>
      </c>
      <c r="Z38" s="261" t="s">
        <v>784</v>
      </c>
      <c r="AA38" s="261" t="s">
        <v>784</v>
      </c>
      <c r="AB38" s="261" t="s">
        <v>784</v>
      </c>
      <c r="AC38" s="261" t="s">
        <v>784</v>
      </c>
      <c r="AD38" s="261" t="s">
        <v>784</v>
      </c>
      <c r="AE38" s="261" t="s">
        <v>784</v>
      </c>
      <c r="AF38" s="261" t="s">
        <v>784</v>
      </c>
      <c r="AG38" s="261" t="s">
        <v>784</v>
      </c>
      <c r="AH38" s="256">
        <v>0</v>
      </c>
      <c r="AI38" s="261" t="s">
        <v>784</v>
      </c>
      <c r="AJ38" s="256">
        <v>0</v>
      </c>
      <c r="AK38" s="256">
        <v>0</v>
      </c>
      <c r="AL38" s="256">
        <v>0</v>
      </c>
      <c r="AM38" s="256">
        <v>0</v>
      </c>
      <c r="AN38" s="256">
        <v>0</v>
      </c>
      <c r="AO38" s="256">
        <v>0</v>
      </c>
      <c r="AP38" s="256">
        <v>0</v>
      </c>
      <c r="AQ38" s="256">
        <v>0</v>
      </c>
      <c r="AR38" s="256">
        <v>0</v>
      </c>
      <c r="AS38" s="256">
        <v>0</v>
      </c>
      <c r="AT38" s="256">
        <v>0</v>
      </c>
      <c r="AU38" s="256">
        <v>0</v>
      </c>
      <c r="AV38" s="256">
        <v>0</v>
      </c>
      <c r="AW38" s="256">
        <v>0</v>
      </c>
      <c r="AX38" s="256">
        <v>0</v>
      </c>
      <c r="AY38" s="256">
        <v>0</v>
      </c>
      <c r="AZ38" s="256">
        <v>0</v>
      </c>
      <c r="BA38" s="256">
        <v>0</v>
      </c>
      <c r="BB38" s="256">
        <v>0</v>
      </c>
      <c r="BC38" s="256">
        <v>0</v>
      </c>
      <c r="BD38" s="256">
        <v>0</v>
      </c>
      <c r="BE38" s="256">
        <v>0</v>
      </c>
      <c r="BF38" s="256">
        <v>0</v>
      </c>
    </row>
    <row r="39" spans="1:58" x14ac:dyDescent="0.3">
      <c r="A39" s="262" t="s">
        <v>810</v>
      </c>
      <c r="B39" s="253" t="s">
        <v>784</v>
      </c>
      <c r="C39" s="253" t="s">
        <v>784</v>
      </c>
      <c r="D39" s="253" t="s">
        <v>784</v>
      </c>
      <c r="E39" s="253" t="s">
        <v>784</v>
      </c>
      <c r="F39" s="253" t="s">
        <v>784</v>
      </c>
      <c r="G39" s="253" t="s">
        <v>784</v>
      </c>
      <c r="H39" s="253" t="s">
        <v>784</v>
      </c>
      <c r="I39" s="253" t="s">
        <v>784</v>
      </c>
      <c r="J39" s="253" t="s">
        <v>784</v>
      </c>
      <c r="K39" s="253" t="s">
        <v>784</v>
      </c>
      <c r="L39" s="253" t="s">
        <v>784</v>
      </c>
      <c r="M39" s="253" t="s">
        <v>784</v>
      </c>
      <c r="N39" s="253" t="s">
        <v>784</v>
      </c>
      <c r="O39" s="253" t="s">
        <v>784</v>
      </c>
      <c r="P39" s="253" t="s">
        <v>784</v>
      </c>
      <c r="Q39" s="253" t="s">
        <v>784</v>
      </c>
      <c r="R39" s="253" t="s">
        <v>784</v>
      </c>
      <c r="S39" s="253" t="s">
        <v>784</v>
      </c>
      <c r="T39" s="253" t="s">
        <v>784</v>
      </c>
      <c r="U39" s="253" t="s">
        <v>784</v>
      </c>
      <c r="V39" s="253" t="s">
        <v>784</v>
      </c>
      <c r="W39" s="253" t="s">
        <v>784</v>
      </c>
      <c r="X39" s="253" t="s">
        <v>784</v>
      </c>
      <c r="Y39" s="253" t="s">
        <v>784</v>
      </c>
      <c r="Z39" s="253" t="s">
        <v>784</v>
      </c>
      <c r="AA39" s="253" t="s">
        <v>784</v>
      </c>
      <c r="AB39" s="253" t="s">
        <v>784</v>
      </c>
      <c r="AC39" s="253" t="s">
        <v>784</v>
      </c>
      <c r="AD39" s="253" t="s">
        <v>784</v>
      </c>
      <c r="AE39" s="253" t="s">
        <v>784</v>
      </c>
      <c r="AF39" s="253" t="s">
        <v>784</v>
      </c>
      <c r="AG39" s="253" t="s">
        <v>784</v>
      </c>
      <c r="AH39" s="254">
        <v>0</v>
      </c>
      <c r="AI39" s="253" t="s">
        <v>784</v>
      </c>
      <c r="AJ39" s="254">
        <v>0</v>
      </c>
      <c r="AK39" s="254">
        <v>0</v>
      </c>
      <c r="AL39" s="254">
        <v>0</v>
      </c>
      <c r="AM39" s="254">
        <v>0</v>
      </c>
      <c r="AN39" s="254">
        <v>0</v>
      </c>
      <c r="AO39" s="254">
        <v>0</v>
      </c>
      <c r="AP39" s="254">
        <v>0</v>
      </c>
      <c r="AQ39" s="254">
        <v>0</v>
      </c>
      <c r="AR39" s="254">
        <v>0</v>
      </c>
      <c r="AS39" s="254">
        <v>0</v>
      </c>
      <c r="AT39" s="254">
        <v>0</v>
      </c>
      <c r="AU39" s="254">
        <v>0</v>
      </c>
      <c r="AV39" s="254">
        <v>0</v>
      </c>
      <c r="AW39" s="254">
        <v>0</v>
      </c>
      <c r="AX39" s="254">
        <v>0</v>
      </c>
      <c r="AY39" s="254">
        <v>0</v>
      </c>
      <c r="AZ39" s="254">
        <v>0</v>
      </c>
      <c r="BA39" s="254">
        <v>0</v>
      </c>
      <c r="BB39" s="254">
        <v>0</v>
      </c>
      <c r="BC39" s="254">
        <v>0</v>
      </c>
      <c r="BD39" s="254">
        <v>0</v>
      </c>
      <c r="BE39" s="254">
        <v>0</v>
      </c>
      <c r="BF39" s="254">
        <v>0</v>
      </c>
    </row>
    <row r="40" spans="1:58" x14ac:dyDescent="0.3">
      <c r="A40" s="260" t="s">
        <v>811</v>
      </c>
      <c r="B40" s="261" t="s">
        <v>784</v>
      </c>
      <c r="C40" s="261" t="s">
        <v>784</v>
      </c>
      <c r="D40" s="261" t="s">
        <v>784</v>
      </c>
      <c r="E40" s="261" t="s">
        <v>784</v>
      </c>
      <c r="F40" s="256">
        <v>0</v>
      </c>
      <c r="G40" s="256">
        <v>0</v>
      </c>
      <c r="H40" s="256">
        <v>0</v>
      </c>
      <c r="I40" s="256">
        <v>0</v>
      </c>
      <c r="J40" s="256">
        <v>0</v>
      </c>
      <c r="K40" s="256">
        <v>0</v>
      </c>
      <c r="L40" s="256">
        <v>0</v>
      </c>
      <c r="M40" s="256">
        <v>0</v>
      </c>
      <c r="N40" s="256">
        <v>0</v>
      </c>
      <c r="O40" s="256">
        <v>0</v>
      </c>
      <c r="P40" s="256">
        <v>0</v>
      </c>
      <c r="Q40" s="256">
        <v>0</v>
      </c>
      <c r="R40" s="256">
        <v>0</v>
      </c>
      <c r="S40" s="256">
        <v>0</v>
      </c>
      <c r="T40" s="256">
        <v>0</v>
      </c>
      <c r="U40" s="256">
        <v>0</v>
      </c>
      <c r="V40" s="256">
        <v>0</v>
      </c>
      <c r="W40" s="256">
        <v>0</v>
      </c>
      <c r="X40" s="256">
        <v>0</v>
      </c>
      <c r="Y40" s="256">
        <v>0</v>
      </c>
      <c r="Z40" s="256">
        <v>0</v>
      </c>
      <c r="AA40" s="256">
        <v>0</v>
      </c>
      <c r="AB40" s="256">
        <v>0</v>
      </c>
      <c r="AC40" s="256">
        <v>0</v>
      </c>
      <c r="AD40" s="256">
        <v>0</v>
      </c>
      <c r="AE40" s="256">
        <v>0</v>
      </c>
      <c r="AF40" s="256">
        <v>0</v>
      </c>
      <c r="AG40" s="256">
        <v>0</v>
      </c>
      <c r="AH40" s="256">
        <v>0</v>
      </c>
      <c r="AI40" s="256">
        <v>0</v>
      </c>
      <c r="AJ40" s="256">
        <v>0</v>
      </c>
      <c r="AK40" s="256">
        <v>0</v>
      </c>
      <c r="AL40" s="256">
        <v>0</v>
      </c>
      <c r="AM40" s="256">
        <v>0</v>
      </c>
      <c r="AN40" s="256">
        <v>0</v>
      </c>
      <c r="AO40" s="256">
        <v>0</v>
      </c>
      <c r="AP40" s="256">
        <v>0</v>
      </c>
      <c r="AQ40" s="256">
        <v>0</v>
      </c>
      <c r="AR40" s="256">
        <v>0</v>
      </c>
      <c r="AS40" s="256">
        <v>0</v>
      </c>
      <c r="AT40" s="256">
        <v>0</v>
      </c>
      <c r="AU40" s="256">
        <v>0</v>
      </c>
      <c r="AV40" s="256">
        <v>0</v>
      </c>
      <c r="AW40" s="256">
        <v>0</v>
      </c>
      <c r="AX40" s="256">
        <v>0</v>
      </c>
      <c r="AY40" s="256">
        <v>0</v>
      </c>
      <c r="AZ40" s="256">
        <v>0</v>
      </c>
      <c r="BA40" s="256">
        <v>0</v>
      </c>
      <c r="BB40" s="256">
        <v>0</v>
      </c>
      <c r="BC40" s="256">
        <v>0</v>
      </c>
      <c r="BD40" s="256">
        <v>0</v>
      </c>
      <c r="BE40" s="256">
        <v>0</v>
      </c>
      <c r="BF40" s="256">
        <v>0</v>
      </c>
    </row>
    <row r="41" spans="1:58" x14ac:dyDescent="0.3">
      <c r="A41" s="260" t="s">
        <v>812</v>
      </c>
      <c r="B41" s="261" t="s">
        <v>784</v>
      </c>
      <c r="C41" s="261" t="s">
        <v>784</v>
      </c>
      <c r="D41" s="261" t="s">
        <v>784</v>
      </c>
      <c r="E41" s="261" t="s">
        <v>784</v>
      </c>
      <c r="F41" s="256">
        <v>0</v>
      </c>
      <c r="G41" s="256">
        <v>0</v>
      </c>
      <c r="H41" s="256">
        <v>0</v>
      </c>
      <c r="I41" s="256">
        <v>0</v>
      </c>
      <c r="J41" s="256">
        <v>0</v>
      </c>
      <c r="K41" s="256">
        <v>1092900</v>
      </c>
      <c r="L41" s="256">
        <v>0</v>
      </c>
      <c r="M41" s="256">
        <v>0</v>
      </c>
      <c r="N41" s="256">
        <v>0</v>
      </c>
      <c r="O41" s="256">
        <v>0</v>
      </c>
      <c r="P41" s="256">
        <v>0</v>
      </c>
      <c r="Q41" s="256">
        <v>0</v>
      </c>
      <c r="R41" s="256">
        <v>0</v>
      </c>
      <c r="S41" s="256">
        <v>0</v>
      </c>
      <c r="T41" s="256">
        <v>0</v>
      </c>
      <c r="U41" s="256">
        <v>0</v>
      </c>
      <c r="V41" s="256">
        <v>0</v>
      </c>
      <c r="W41" s="256">
        <v>0</v>
      </c>
      <c r="X41" s="256">
        <v>0</v>
      </c>
      <c r="Y41" s="256">
        <v>0</v>
      </c>
      <c r="Z41" s="256">
        <v>0</v>
      </c>
      <c r="AA41" s="256">
        <v>0</v>
      </c>
      <c r="AB41" s="256">
        <v>0</v>
      </c>
      <c r="AC41" s="256">
        <v>0</v>
      </c>
      <c r="AD41" s="256">
        <v>0</v>
      </c>
      <c r="AE41" s="256">
        <v>0</v>
      </c>
      <c r="AF41" s="256">
        <v>0</v>
      </c>
      <c r="AG41" s="256">
        <v>0</v>
      </c>
      <c r="AH41" s="256">
        <v>0</v>
      </c>
      <c r="AI41" s="256">
        <v>0</v>
      </c>
      <c r="AJ41" s="256">
        <v>0</v>
      </c>
      <c r="AK41" s="256">
        <v>0</v>
      </c>
      <c r="AL41" s="256">
        <v>0</v>
      </c>
      <c r="AM41" s="256">
        <v>0</v>
      </c>
      <c r="AN41" s="256">
        <v>0</v>
      </c>
      <c r="AO41" s="256">
        <v>0</v>
      </c>
      <c r="AP41" s="256">
        <v>0</v>
      </c>
      <c r="AQ41" s="256">
        <v>0</v>
      </c>
      <c r="AR41" s="256">
        <v>0</v>
      </c>
      <c r="AS41" s="256">
        <v>0</v>
      </c>
      <c r="AT41" s="256">
        <v>0</v>
      </c>
      <c r="AU41" s="256">
        <v>0</v>
      </c>
      <c r="AV41" s="256">
        <v>0</v>
      </c>
      <c r="AW41" s="256">
        <v>0</v>
      </c>
      <c r="AX41" s="256">
        <v>0</v>
      </c>
      <c r="AY41" s="256">
        <v>0</v>
      </c>
      <c r="AZ41" s="256">
        <v>0</v>
      </c>
      <c r="BA41" s="256">
        <v>0</v>
      </c>
      <c r="BB41" s="256">
        <v>0</v>
      </c>
      <c r="BC41" s="256">
        <v>0</v>
      </c>
      <c r="BD41" s="256">
        <v>0</v>
      </c>
      <c r="BE41" s="256">
        <v>0</v>
      </c>
      <c r="BF41" s="256">
        <v>0</v>
      </c>
    </row>
    <row r="42" spans="1:58" x14ac:dyDescent="0.3">
      <c r="A42" s="262" t="s">
        <v>813</v>
      </c>
      <c r="B42" s="253" t="s">
        <v>784</v>
      </c>
      <c r="C42" s="253" t="s">
        <v>784</v>
      </c>
      <c r="D42" s="253" t="s">
        <v>784</v>
      </c>
      <c r="E42" s="253" t="s">
        <v>784</v>
      </c>
      <c r="F42" s="254">
        <v>0</v>
      </c>
      <c r="G42" s="254">
        <v>0</v>
      </c>
      <c r="H42" s="254">
        <v>0</v>
      </c>
      <c r="I42" s="254">
        <v>0</v>
      </c>
      <c r="J42" s="254">
        <v>0</v>
      </c>
      <c r="K42" s="253" t="s">
        <v>784</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4">
        <v>0</v>
      </c>
      <c r="BC42" s="254">
        <v>0</v>
      </c>
      <c r="BD42" s="254">
        <v>0</v>
      </c>
      <c r="BE42" s="254">
        <v>0</v>
      </c>
      <c r="BF42" s="254">
        <v>0</v>
      </c>
    </row>
    <row r="43" spans="1:58" x14ac:dyDescent="0.3">
      <c r="A43" s="262" t="s">
        <v>814</v>
      </c>
      <c r="B43" s="253" t="s">
        <v>784</v>
      </c>
      <c r="C43" s="253" t="s">
        <v>784</v>
      </c>
      <c r="D43" s="253" t="s">
        <v>784</v>
      </c>
      <c r="E43" s="253" t="s">
        <v>784</v>
      </c>
      <c r="F43" s="254">
        <v>0</v>
      </c>
      <c r="G43" s="254">
        <v>0</v>
      </c>
      <c r="H43" s="254">
        <v>0</v>
      </c>
      <c r="I43" s="254">
        <v>0</v>
      </c>
      <c r="J43" s="254">
        <v>0</v>
      </c>
      <c r="K43" s="253" t="s">
        <v>784</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4">
        <v>0</v>
      </c>
      <c r="BB43" s="254">
        <v>0</v>
      </c>
      <c r="BC43" s="254">
        <v>0</v>
      </c>
      <c r="BD43" s="254">
        <v>0</v>
      </c>
      <c r="BE43" s="254">
        <v>0</v>
      </c>
      <c r="BF43" s="254">
        <v>0</v>
      </c>
    </row>
    <row r="44" spans="1:58" x14ac:dyDescent="0.3">
      <c r="A44" s="260" t="s">
        <v>815</v>
      </c>
      <c r="B44" s="261" t="s">
        <v>784</v>
      </c>
      <c r="C44" s="261" t="s">
        <v>784</v>
      </c>
      <c r="D44" s="261" t="s">
        <v>784</v>
      </c>
      <c r="E44" s="261" t="s">
        <v>784</v>
      </c>
      <c r="F44" s="256">
        <v>0</v>
      </c>
      <c r="G44" s="256">
        <v>0</v>
      </c>
      <c r="H44" s="256">
        <v>0</v>
      </c>
      <c r="I44" s="256">
        <v>0</v>
      </c>
      <c r="J44" s="256">
        <v>0</v>
      </c>
      <c r="K44" s="256">
        <v>0</v>
      </c>
      <c r="L44" s="256">
        <v>0</v>
      </c>
      <c r="M44" s="256">
        <v>0</v>
      </c>
      <c r="N44" s="256">
        <v>0</v>
      </c>
      <c r="O44" s="256">
        <v>0</v>
      </c>
      <c r="P44" s="256">
        <v>0</v>
      </c>
      <c r="Q44" s="256">
        <v>0</v>
      </c>
      <c r="R44" s="256">
        <v>0</v>
      </c>
      <c r="S44" s="256">
        <v>0</v>
      </c>
      <c r="T44" s="256">
        <v>0</v>
      </c>
      <c r="U44" s="256">
        <v>0</v>
      </c>
      <c r="V44" s="256">
        <v>0</v>
      </c>
      <c r="W44" s="256">
        <v>0</v>
      </c>
      <c r="X44" s="256">
        <v>0</v>
      </c>
      <c r="Y44" s="256">
        <v>0</v>
      </c>
      <c r="Z44" s="256">
        <v>0</v>
      </c>
      <c r="AA44" s="256">
        <v>0</v>
      </c>
      <c r="AB44" s="256">
        <v>0</v>
      </c>
      <c r="AC44" s="256">
        <v>0</v>
      </c>
      <c r="AD44" s="256">
        <v>0</v>
      </c>
      <c r="AE44" s="256">
        <v>0</v>
      </c>
      <c r="AF44" s="256">
        <v>0</v>
      </c>
      <c r="AG44" s="256">
        <v>0</v>
      </c>
      <c r="AH44" s="256">
        <v>0</v>
      </c>
      <c r="AI44" s="256">
        <v>0</v>
      </c>
      <c r="AJ44" s="256">
        <v>0</v>
      </c>
      <c r="AK44" s="256">
        <v>0</v>
      </c>
      <c r="AL44" s="256">
        <v>0</v>
      </c>
      <c r="AM44" s="256">
        <v>0</v>
      </c>
      <c r="AN44" s="256">
        <v>0</v>
      </c>
      <c r="AO44" s="256">
        <v>0</v>
      </c>
      <c r="AP44" s="256">
        <v>0</v>
      </c>
      <c r="AQ44" s="256">
        <v>0</v>
      </c>
      <c r="AR44" s="256">
        <v>0</v>
      </c>
      <c r="AS44" s="256">
        <v>0</v>
      </c>
      <c r="AT44" s="256">
        <v>0</v>
      </c>
      <c r="AU44" s="256">
        <v>0</v>
      </c>
      <c r="AV44" s="256">
        <v>0</v>
      </c>
      <c r="AW44" s="256">
        <v>0</v>
      </c>
      <c r="AX44" s="256">
        <v>0</v>
      </c>
      <c r="AY44" s="256">
        <v>0</v>
      </c>
      <c r="AZ44" s="256">
        <v>0</v>
      </c>
      <c r="BA44" s="256">
        <v>0</v>
      </c>
      <c r="BB44" s="256">
        <v>0</v>
      </c>
      <c r="BC44" s="256">
        <v>0</v>
      </c>
      <c r="BD44" s="256">
        <v>0</v>
      </c>
      <c r="BE44" s="256">
        <v>0</v>
      </c>
      <c r="BF44" s="256">
        <v>0</v>
      </c>
    </row>
    <row r="45" spans="1:58" x14ac:dyDescent="0.3">
      <c r="A45" s="260" t="s">
        <v>816</v>
      </c>
      <c r="B45" s="261" t="s">
        <v>784</v>
      </c>
      <c r="C45" s="261" t="s">
        <v>784</v>
      </c>
      <c r="D45" s="261" t="s">
        <v>784</v>
      </c>
      <c r="E45" s="261" t="s">
        <v>784</v>
      </c>
      <c r="F45" s="256">
        <v>0</v>
      </c>
      <c r="G45" s="256">
        <v>0</v>
      </c>
      <c r="H45" s="256">
        <v>0</v>
      </c>
      <c r="I45" s="256">
        <v>0</v>
      </c>
      <c r="J45" s="256">
        <v>0</v>
      </c>
      <c r="K45" s="256">
        <v>0</v>
      </c>
      <c r="L45" s="256">
        <v>0</v>
      </c>
      <c r="M45" s="256">
        <v>0</v>
      </c>
      <c r="N45" s="256">
        <v>0</v>
      </c>
      <c r="O45" s="256">
        <v>0</v>
      </c>
      <c r="P45" s="256">
        <v>0</v>
      </c>
      <c r="Q45" s="256">
        <v>0</v>
      </c>
      <c r="R45" s="256">
        <v>0</v>
      </c>
      <c r="S45" s="256">
        <v>0</v>
      </c>
      <c r="T45" s="256">
        <v>0</v>
      </c>
      <c r="U45" s="256">
        <v>0</v>
      </c>
      <c r="V45" s="256">
        <v>0</v>
      </c>
      <c r="W45" s="256">
        <v>0</v>
      </c>
      <c r="X45" s="256">
        <v>0</v>
      </c>
      <c r="Y45" s="256">
        <v>0</v>
      </c>
      <c r="Z45" s="256">
        <v>0</v>
      </c>
      <c r="AA45" s="256">
        <v>0</v>
      </c>
      <c r="AB45" s="256">
        <v>0</v>
      </c>
      <c r="AC45" s="256">
        <v>0</v>
      </c>
      <c r="AD45" s="256">
        <v>0</v>
      </c>
      <c r="AE45" s="256">
        <v>0</v>
      </c>
      <c r="AF45" s="256">
        <v>0</v>
      </c>
      <c r="AG45" s="256">
        <v>0</v>
      </c>
      <c r="AH45" s="256">
        <v>0</v>
      </c>
      <c r="AI45" s="256">
        <v>0</v>
      </c>
      <c r="AJ45" s="256">
        <v>0</v>
      </c>
      <c r="AK45" s="256">
        <v>0</v>
      </c>
      <c r="AL45" s="256">
        <v>0</v>
      </c>
      <c r="AM45" s="256">
        <v>0</v>
      </c>
      <c r="AN45" s="256">
        <v>0</v>
      </c>
      <c r="AO45" s="256">
        <v>0</v>
      </c>
      <c r="AP45" s="256">
        <v>0</v>
      </c>
      <c r="AQ45" s="256">
        <v>0</v>
      </c>
      <c r="AR45" s="256">
        <v>0</v>
      </c>
      <c r="AS45" s="256">
        <v>0</v>
      </c>
      <c r="AT45" s="256">
        <v>0</v>
      </c>
      <c r="AU45" s="256">
        <v>0</v>
      </c>
      <c r="AV45" s="256">
        <v>0</v>
      </c>
      <c r="AW45" s="256">
        <v>0</v>
      </c>
      <c r="AX45" s="256">
        <v>0</v>
      </c>
      <c r="AY45" s="256">
        <v>0</v>
      </c>
      <c r="AZ45" s="256">
        <v>0</v>
      </c>
      <c r="BA45" s="256">
        <v>0</v>
      </c>
      <c r="BB45" s="256">
        <v>0</v>
      </c>
      <c r="BC45" s="256">
        <v>0</v>
      </c>
      <c r="BD45" s="256">
        <v>0</v>
      </c>
      <c r="BE45" s="256">
        <v>0</v>
      </c>
      <c r="BF45" s="256">
        <v>0</v>
      </c>
    </row>
    <row r="46" spans="1:58" x14ac:dyDescent="0.3">
      <c r="A46" s="260" t="s">
        <v>817</v>
      </c>
      <c r="B46" s="261" t="s">
        <v>784</v>
      </c>
      <c r="C46" s="261" t="s">
        <v>784</v>
      </c>
      <c r="D46" s="261" t="s">
        <v>784</v>
      </c>
      <c r="E46" s="261" t="s">
        <v>784</v>
      </c>
      <c r="F46" s="256">
        <v>0</v>
      </c>
      <c r="G46" s="256">
        <v>0</v>
      </c>
      <c r="H46" s="256">
        <v>0</v>
      </c>
      <c r="I46" s="256">
        <v>0</v>
      </c>
      <c r="J46" s="256">
        <v>0</v>
      </c>
      <c r="K46" s="256">
        <v>0</v>
      </c>
      <c r="L46" s="256">
        <v>0</v>
      </c>
      <c r="M46" s="256">
        <v>0</v>
      </c>
      <c r="N46" s="256">
        <v>0</v>
      </c>
      <c r="O46" s="256">
        <v>0</v>
      </c>
      <c r="P46" s="256">
        <v>0</v>
      </c>
      <c r="Q46" s="256">
        <v>0</v>
      </c>
      <c r="R46" s="256">
        <v>0</v>
      </c>
      <c r="S46" s="256">
        <v>0</v>
      </c>
      <c r="T46" s="256">
        <v>0</v>
      </c>
      <c r="U46" s="256">
        <v>0</v>
      </c>
      <c r="V46" s="256">
        <v>0</v>
      </c>
      <c r="W46" s="256">
        <v>0</v>
      </c>
      <c r="X46" s="256">
        <v>0</v>
      </c>
      <c r="Y46" s="256">
        <v>1615</v>
      </c>
      <c r="Z46" s="256">
        <v>1226</v>
      </c>
      <c r="AA46" s="256">
        <v>1381</v>
      </c>
      <c r="AB46" s="256">
        <v>1237</v>
      </c>
      <c r="AC46" s="256">
        <v>10844</v>
      </c>
      <c r="AD46" s="256">
        <v>5782</v>
      </c>
      <c r="AE46" s="256">
        <v>21440</v>
      </c>
      <c r="AF46" s="256">
        <v>18905</v>
      </c>
      <c r="AG46" s="256">
        <v>29987</v>
      </c>
      <c r="AH46" s="256">
        <v>0</v>
      </c>
      <c r="AI46" s="256">
        <v>18422</v>
      </c>
      <c r="AJ46" s="256">
        <v>17692</v>
      </c>
      <c r="AK46" s="256">
        <v>12438</v>
      </c>
      <c r="AL46" s="256">
        <v>8338</v>
      </c>
      <c r="AM46" s="256">
        <v>8871</v>
      </c>
      <c r="AN46" s="256">
        <v>12932</v>
      </c>
      <c r="AO46" s="256">
        <v>12787</v>
      </c>
      <c r="AP46" s="256">
        <v>160313</v>
      </c>
      <c r="AQ46" s="256">
        <v>163565</v>
      </c>
      <c r="AR46" s="256">
        <v>189150</v>
      </c>
      <c r="AS46" s="256">
        <v>162468</v>
      </c>
      <c r="AT46" s="256">
        <v>199942</v>
      </c>
      <c r="AU46" s="256">
        <v>258998</v>
      </c>
      <c r="AV46" s="256">
        <v>178023</v>
      </c>
      <c r="AW46" s="256">
        <v>202259</v>
      </c>
      <c r="AX46" s="256">
        <v>378679</v>
      </c>
      <c r="AY46" s="256">
        <v>657698</v>
      </c>
      <c r="AZ46" s="256">
        <v>666660</v>
      </c>
      <c r="BA46" s="256">
        <v>468120</v>
      </c>
      <c r="BB46" s="256">
        <v>692076</v>
      </c>
      <c r="BC46" s="256">
        <v>637312</v>
      </c>
      <c r="BD46" s="256">
        <v>744773</v>
      </c>
      <c r="BE46" s="256">
        <v>425637</v>
      </c>
      <c r="BF46" s="256">
        <v>516582</v>
      </c>
    </row>
    <row r="47" spans="1:58" x14ac:dyDescent="0.3">
      <c r="A47" s="262" t="s">
        <v>818</v>
      </c>
      <c r="B47" s="253" t="s">
        <v>784</v>
      </c>
      <c r="C47" s="253" t="s">
        <v>784</v>
      </c>
      <c r="D47" s="253" t="s">
        <v>784</v>
      </c>
      <c r="E47" s="253" t="s">
        <v>784</v>
      </c>
      <c r="F47" s="254">
        <v>0</v>
      </c>
      <c r="G47" s="254">
        <v>0</v>
      </c>
      <c r="H47" s="254">
        <v>0</v>
      </c>
      <c r="I47" s="254">
        <v>0</v>
      </c>
      <c r="J47" s="254">
        <v>0</v>
      </c>
      <c r="K47" s="254">
        <v>0</v>
      </c>
      <c r="L47" s="254">
        <v>0</v>
      </c>
      <c r="M47" s="254">
        <v>0</v>
      </c>
      <c r="N47" s="254">
        <v>0</v>
      </c>
      <c r="O47" s="254">
        <v>0</v>
      </c>
      <c r="P47" s="254">
        <v>0</v>
      </c>
      <c r="Q47" s="254">
        <v>0</v>
      </c>
      <c r="R47" s="254">
        <v>0</v>
      </c>
      <c r="S47" s="254">
        <v>0</v>
      </c>
      <c r="T47" s="254">
        <v>0</v>
      </c>
      <c r="U47" s="254">
        <v>0</v>
      </c>
      <c r="V47" s="254">
        <v>0</v>
      </c>
      <c r="W47" s="254">
        <v>0</v>
      </c>
      <c r="X47" s="254">
        <v>0</v>
      </c>
      <c r="Y47" s="254">
        <v>1615</v>
      </c>
      <c r="Z47" s="254">
        <v>1226</v>
      </c>
      <c r="AA47" s="254">
        <v>1381</v>
      </c>
      <c r="AB47" s="254">
        <v>1237</v>
      </c>
      <c r="AC47" s="254">
        <v>10844</v>
      </c>
      <c r="AD47" s="254">
        <v>5782</v>
      </c>
      <c r="AE47" s="254">
        <v>21440</v>
      </c>
      <c r="AF47" s="254">
        <v>18905</v>
      </c>
      <c r="AG47" s="254">
        <v>29987</v>
      </c>
      <c r="AH47" s="254">
        <v>0</v>
      </c>
      <c r="AI47" s="254">
        <v>18422</v>
      </c>
      <c r="AJ47" s="254">
        <v>17692</v>
      </c>
      <c r="AK47" s="254">
        <v>12438</v>
      </c>
      <c r="AL47" s="254">
        <v>8338</v>
      </c>
      <c r="AM47" s="254">
        <v>8871</v>
      </c>
      <c r="AN47" s="254">
        <v>12932</v>
      </c>
      <c r="AO47" s="254">
        <v>12787</v>
      </c>
      <c r="AP47" s="254">
        <v>160313</v>
      </c>
      <c r="AQ47" s="254">
        <v>163565</v>
      </c>
      <c r="AR47" s="254">
        <v>189150</v>
      </c>
      <c r="AS47" s="254">
        <v>162468</v>
      </c>
      <c r="AT47" s="254">
        <v>199942</v>
      </c>
      <c r="AU47" s="254">
        <v>258998</v>
      </c>
      <c r="AV47" s="254">
        <v>178023</v>
      </c>
      <c r="AW47" s="254">
        <v>202259</v>
      </c>
      <c r="AX47" s="254">
        <v>378679</v>
      </c>
      <c r="AY47" s="254">
        <v>657698</v>
      </c>
      <c r="AZ47" s="254">
        <v>666660</v>
      </c>
      <c r="BA47" s="254">
        <v>468120</v>
      </c>
      <c r="BB47" s="254">
        <v>692076</v>
      </c>
      <c r="BC47" s="254">
        <v>637312</v>
      </c>
      <c r="BD47" s="254">
        <v>744773</v>
      </c>
      <c r="BE47" s="254">
        <v>425637</v>
      </c>
      <c r="BF47" s="254">
        <v>516582</v>
      </c>
    </row>
    <row r="48" spans="1:58" x14ac:dyDescent="0.3">
      <c r="A48" s="262" t="s">
        <v>790</v>
      </c>
      <c r="B48" s="253" t="s">
        <v>784</v>
      </c>
      <c r="C48" s="253" t="s">
        <v>784</v>
      </c>
      <c r="D48" s="253" t="s">
        <v>784</v>
      </c>
      <c r="E48" s="253" t="s">
        <v>784</v>
      </c>
      <c r="F48" s="254">
        <v>0</v>
      </c>
      <c r="G48" s="254">
        <v>0</v>
      </c>
      <c r="H48" s="254">
        <v>0</v>
      </c>
      <c r="I48" s="254">
        <v>0</v>
      </c>
      <c r="J48" s="254">
        <v>0</v>
      </c>
      <c r="K48" s="254">
        <v>0</v>
      </c>
      <c r="L48" s="254">
        <v>0</v>
      </c>
      <c r="M48" s="254">
        <v>0</v>
      </c>
      <c r="N48" s="254">
        <v>0</v>
      </c>
      <c r="O48" s="254">
        <v>0</v>
      </c>
      <c r="P48" s="254">
        <v>0</v>
      </c>
      <c r="Q48" s="254">
        <v>0</v>
      </c>
      <c r="R48" s="254">
        <v>0</v>
      </c>
      <c r="S48" s="254">
        <v>0</v>
      </c>
      <c r="T48" s="254">
        <v>0</v>
      </c>
      <c r="U48" s="254">
        <v>0</v>
      </c>
      <c r="V48" s="254">
        <v>0</v>
      </c>
      <c r="W48" s="254">
        <v>0</v>
      </c>
      <c r="X48" s="254">
        <v>0</v>
      </c>
      <c r="Y48" s="254">
        <v>0</v>
      </c>
      <c r="Z48" s="254">
        <v>0</v>
      </c>
      <c r="AA48" s="254">
        <v>0</v>
      </c>
      <c r="AB48" s="254">
        <v>0</v>
      </c>
      <c r="AC48" s="254">
        <v>0</v>
      </c>
      <c r="AD48" s="254">
        <v>0</v>
      </c>
      <c r="AE48" s="254">
        <v>0</v>
      </c>
      <c r="AF48" s="254">
        <v>0</v>
      </c>
      <c r="AG48" s="254">
        <v>0</v>
      </c>
      <c r="AH48" s="254">
        <v>0</v>
      </c>
      <c r="AI48" s="254">
        <v>0</v>
      </c>
      <c r="AJ48" s="254">
        <v>0</v>
      </c>
      <c r="AK48" s="254">
        <v>0</v>
      </c>
      <c r="AL48" s="254">
        <v>0</v>
      </c>
      <c r="AM48" s="254">
        <v>0</v>
      </c>
      <c r="AN48" s="254">
        <v>0</v>
      </c>
      <c r="AO48" s="254">
        <v>0</v>
      </c>
      <c r="AP48" s="254">
        <v>0</v>
      </c>
      <c r="AQ48" s="254">
        <v>0</v>
      </c>
      <c r="AR48" s="254">
        <v>0</v>
      </c>
      <c r="AS48" s="254">
        <v>0</v>
      </c>
      <c r="AT48" s="254">
        <v>0</v>
      </c>
      <c r="AU48" s="254">
        <v>0</v>
      </c>
      <c r="AV48" s="254">
        <v>0</v>
      </c>
      <c r="AW48" s="254">
        <v>0</v>
      </c>
      <c r="AX48" s="254">
        <v>0</v>
      </c>
      <c r="AY48" s="254">
        <v>0</v>
      </c>
      <c r="AZ48" s="254">
        <v>0</v>
      </c>
      <c r="BA48" s="254">
        <v>0</v>
      </c>
      <c r="BB48" s="254">
        <v>0</v>
      </c>
      <c r="BC48" s="254">
        <v>0</v>
      </c>
      <c r="BD48" s="254">
        <v>0</v>
      </c>
      <c r="BE48" s="254">
        <v>0</v>
      </c>
      <c r="BF48" s="254">
        <v>0</v>
      </c>
    </row>
    <row r="49" spans="1:58" x14ac:dyDescent="0.3">
      <c r="A49" s="260" t="s">
        <v>819</v>
      </c>
      <c r="B49" s="261" t="s">
        <v>784</v>
      </c>
      <c r="C49" s="261" t="s">
        <v>784</v>
      </c>
      <c r="D49" s="261" t="s">
        <v>784</v>
      </c>
      <c r="E49" s="261" t="s">
        <v>784</v>
      </c>
      <c r="F49" s="256">
        <v>0</v>
      </c>
      <c r="G49" s="256">
        <v>0</v>
      </c>
      <c r="H49" s="256">
        <v>0</v>
      </c>
      <c r="I49" s="256">
        <v>0</v>
      </c>
      <c r="J49" s="256">
        <v>0</v>
      </c>
      <c r="K49" s="256">
        <v>0</v>
      </c>
      <c r="L49" s="256">
        <v>0</v>
      </c>
      <c r="M49" s="256">
        <v>0</v>
      </c>
      <c r="N49" s="256">
        <v>0</v>
      </c>
      <c r="O49" s="256">
        <v>0</v>
      </c>
      <c r="P49" s="256">
        <v>0</v>
      </c>
      <c r="Q49" s="256">
        <v>0</v>
      </c>
      <c r="R49" s="256">
        <v>0</v>
      </c>
      <c r="S49" s="256">
        <v>0</v>
      </c>
      <c r="T49" s="256">
        <v>0</v>
      </c>
      <c r="U49" s="256">
        <v>0</v>
      </c>
      <c r="V49" s="256">
        <v>0</v>
      </c>
      <c r="W49" s="256">
        <v>0</v>
      </c>
      <c r="X49" s="256">
        <v>0</v>
      </c>
      <c r="Y49" s="256">
        <v>0</v>
      </c>
      <c r="Z49" s="256">
        <v>0</v>
      </c>
      <c r="AA49" s="256">
        <v>0</v>
      </c>
      <c r="AB49" s="256">
        <v>0</v>
      </c>
      <c r="AC49" s="256">
        <v>0</v>
      </c>
      <c r="AD49" s="256">
        <v>0</v>
      </c>
      <c r="AE49" s="256">
        <v>0</v>
      </c>
      <c r="AF49" s="256">
        <v>0</v>
      </c>
      <c r="AG49" s="256">
        <v>0</v>
      </c>
      <c r="AH49" s="256">
        <v>0</v>
      </c>
      <c r="AI49" s="256">
        <v>0</v>
      </c>
      <c r="AJ49" s="256">
        <v>0</v>
      </c>
      <c r="AK49" s="256">
        <v>0</v>
      </c>
      <c r="AL49" s="256">
        <v>0</v>
      </c>
      <c r="AM49" s="256">
        <v>0</v>
      </c>
      <c r="AN49" s="256">
        <v>0</v>
      </c>
      <c r="AO49" s="256">
        <v>0</v>
      </c>
      <c r="AP49" s="256">
        <v>0</v>
      </c>
      <c r="AQ49" s="256">
        <v>0</v>
      </c>
      <c r="AR49" s="256">
        <v>0</v>
      </c>
      <c r="AS49" s="256">
        <v>0</v>
      </c>
      <c r="AT49" s="256">
        <v>0</v>
      </c>
      <c r="AU49" s="256">
        <v>0</v>
      </c>
      <c r="AV49" s="256">
        <v>0</v>
      </c>
      <c r="AW49" s="256">
        <v>0</v>
      </c>
      <c r="AX49" s="256">
        <v>0</v>
      </c>
      <c r="AY49" s="256">
        <v>0</v>
      </c>
      <c r="AZ49" s="256">
        <v>0</v>
      </c>
      <c r="BA49" s="256">
        <v>0</v>
      </c>
      <c r="BB49" s="256">
        <v>0</v>
      </c>
      <c r="BC49" s="256">
        <v>0</v>
      </c>
      <c r="BD49" s="256">
        <v>0</v>
      </c>
      <c r="BE49" s="256">
        <v>0</v>
      </c>
      <c r="BF49" s="256">
        <v>0</v>
      </c>
    </row>
    <row r="50" spans="1:58" x14ac:dyDescent="0.3">
      <c r="A50" s="260" t="s">
        <v>820</v>
      </c>
      <c r="B50" s="261" t="s">
        <v>784</v>
      </c>
      <c r="C50" s="261" t="s">
        <v>784</v>
      </c>
      <c r="D50" s="261" t="s">
        <v>784</v>
      </c>
      <c r="E50" s="261" t="s">
        <v>784</v>
      </c>
      <c r="F50" s="256">
        <v>0</v>
      </c>
      <c r="G50" s="256">
        <v>0</v>
      </c>
      <c r="H50" s="256">
        <v>0</v>
      </c>
      <c r="I50" s="256">
        <v>0</v>
      </c>
      <c r="J50" s="256">
        <v>0</v>
      </c>
      <c r="K50" s="256">
        <v>0</v>
      </c>
      <c r="L50" s="256">
        <v>0</v>
      </c>
      <c r="M50" s="256">
        <v>0</v>
      </c>
      <c r="N50" s="256">
        <v>0</v>
      </c>
      <c r="O50" s="256">
        <v>0</v>
      </c>
      <c r="P50" s="256">
        <v>0</v>
      </c>
      <c r="Q50" s="256">
        <v>0</v>
      </c>
      <c r="R50" s="256">
        <v>0</v>
      </c>
      <c r="S50" s="256">
        <v>0</v>
      </c>
      <c r="T50" s="256">
        <v>0</v>
      </c>
      <c r="U50" s="256">
        <v>0</v>
      </c>
      <c r="V50" s="256">
        <v>0</v>
      </c>
      <c r="W50" s="256">
        <v>0</v>
      </c>
      <c r="X50" s="256">
        <v>0</v>
      </c>
      <c r="Y50" s="256">
        <v>0</v>
      </c>
      <c r="Z50" s="256">
        <v>0</v>
      </c>
      <c r="AA50" s="256">
        <v>0</v>
      </c>
      <c r="AB50" s="256">
        <v>0</v>
      </c>
      <c r="AC50" s="256">
        <v>0</v>
      </c>
      <c r="AD50" s="256">
        <v>0</v>
      </c>
      <c r="AE50" s="256">
        <v>0</v>
      </c>
      <c r="AF50" s="256">
        <v>0</v>
      </c>
      <c r="AG50" s="256">
        <v>0</v>
      </c>
      <c r="AH50" s="256">
        <v>80275</v>
      </c>
      <c r="AI50" s="256">
        <v>0</v>
      </c>
      <c r="AJ50" s="256">
        <v>0</v>
      </c>
      <c r="AK50" s="256">
        <v>0</v>
      </c>
      <c r="AL50" s="256">
        <v>0</v>
      </c>
      <c r="AM50" s="256">
        <v>0</v>
      </c>
      <c r="AN50" s="256">
        <v>0</v>
      </c>
      <c r="AO50" s="256">
        <v>0</v>
      </c>
      <c r="AP50" s="256">
        <v>0</v>
      </c>
      <c r="AQ50" s="256">
        <v>0</v>
      </c>
      <c r="AR50" s="256">
        <v>0</v>
      </c>
      <c r="AS50" s="256">
        <v>0</v>
      </c>
      <c r="AT50" s="256">
        <v>0</v>
      </c>
      <c r="AU50" s="256">
        <v>0</v>
      </c>
      <c r="AV50" s="256">
        <v>0</v>
      </c>
      <c r="AW50" s="256">
        <v>0</v>
      </c>
      <c r="AX50" s="256">
        <v>0</v>
      </c>
      <c r="AY50" s="256">
        <v>0</v>
      </c>
      <c r="AZ50" s="256">
        <v>0</v>
      </c>
      <c r="BA50" s="256">
        <v>0</v>
      </c>
      <c r="BB50" s="256">
        <v>0</v>
      </c>
      <c r="BC50" s="256">
        <v>0</v>
      </c>
      <c r="BD50" s="256">
        <v>0</v>
      </c>
      <c r="BE50" s="256">
        <v>0</v>
      </c>
      <c r="BF50" s="256">
        <v>0</v>
      </c>
    </row>
    <row r="51" spans="1:58" x14ac:dyDescent="0.3">
      <c r="A51" s="262" t="s">
        <v>821</v>
      </c>
      <c r="B51" s="253" t="s">
        <v>784</v>
      </c>
      <c r="C51" s="254">
        <v>0</v>
      </c>
      <c r="D51" s="254">
        <v>0</v>
      </c>
      <c r="E51" s="254">
        <v>0</v>
      </c>
      <c r="F51" s="254">
        <v>0</v>
      </c>
      <c r="G51" s="254">
        <v>0</v>
      </c>
      <c r="H51" s="254">
        <v>0</v>
      </c>
      <c r="I51" s="254">
        <v>0</v>
      </c>
      <c r="J51" s="254">
        <v>0</v>
      </c>
      <c r="K51" s="254">
        <v>0</v>
      </c>
      <c r="L51" s="254">
        <v>0</v>
      </c>
      <c r="M51" s="254">
        <v>0</v>
      </c>
      <c r="N51" s="254">
        <v>0</v>
      </c>
      <c r="O51" s="254">
        <v>0</v>
      </c>
      <c r="P51" s="254">
        <v>0</v>
      </c>
      <c r="Q51" s="254">
        <v>0</v>
      </c>
      <c r="R51" s="254">
        <v>0</v>
      </c>
      <c r="S51" s="254">
        <v>0</v>
      </c>
      <c r="T51" s="254">
        <v>0</v>
      </c>
      <c r="U51" s="254">
        <v>0</v>
      </c>
      <c r="V51" s="254">
        <v>0</v>
      </c>
      <c r="W51" s="254">
        <v>0</v>
      </c>
      <c r="X51" s="254">
        <v>0</v>
      </c>
      <c r="Y51" s="254">
        <v>0</v>
      </c>
      <c r="Z51" s="254">
        <v>0</v>
      </c>
      <c r="AA51" s="254">
        <v>0</v>
      </c>
      <c r="AB51" s="254">
        <v>0</v>
      </c>
      <c r="AC51" s="254">
        <v>0</v>
      </c>
      <c r="AD51" s="254">
        <v>0</v>
      </c>
      <c r="AE51" s="254">
        <v>0</v>
      </c>
      <c r="AF51" s="254">
        <v>0</v>
      </c>
      <c r="AG51" s="254">
        <v>0</v>
      </c>
      <c r="AH51" s="254">
        <v>0</v>
      </c>
      <c r="AI51" s="254">
        <v>0</v>
      </c>
      <c r="AJ51" s="254">
        <v>0</v>
      </c>
      <c r="AK51" s="254">
        <v>0</v>
      </c>
      <c r="AL51" s="254">
        <v>0</v>
      </c>
      <c r="AM51" s="254">
        <v>0</v>
      </c>
      <c r="AN51" s="254">
        <v>0</v>
      </c>
      <c r="AO51" s="254">
        <v>0</v>
      </c>
      <c r="AP51" s="254">
        <v>0</v>
      </c>
      <c r="AQ51" s="254">
        <v>0</v>
      </c>
      <c r="AR51" s="254">
        <v>0</v>
      </c>
      <c r="AS51" s="254">
        <v>0</v>
      </c>
      <c r="AT51" s="254">
        <v>0</v>
      </c>
      <c r="AU51" s="254">
        <v>0</v>
      </c>
      <c r="AV51" s="254">
        <v>0</v>
      </c>
      <c r="AW51" s="254">
        <v>0</v>
      </c>
      <c r="AX51" s="254">
        <v>0</v>
      </c>
      <c r="AY51" s="254">
        <v>0</v>
      </c>
      <c r="AZ51" s="254">
        <v>0</v>
      </c>
      <c r="BA51" s="254">
        <v>0</v>
      </c>
      <c r="BB51" s="254">
        <v>0</v>
      </c>
      <c r="BC51" s="254">
        <v>0</v>
      </c>
      <c r="BD51" s="254">
        <v>0</v>
      </c>
      <c r="BE51" s="254">
        <v>0</v>
      </c>
      <c r="BF51" s="254">
        <v>0</v>
      </c>
    </row>
    <row r="52" spans="1:58" x14ac:dyDescent="0.3">
      <c r="A52" s="262" t="s">
        <v>822</v>
      </c>
      <c r="B52" s="253" t="s">
        <v>784</v>
      </c>
      <c r="C52" s="254">
        <v>4556</v>
      </c>
      <c r="D52" s="254">
        <v>0</v>
      </c>
      <c r="E52" s="254">
        <v>0</v>
      </c>
      <c r="F52" s="254">
        <v>0</v>
      </c>
      <c r="G52" s="254">
        <v>0</v>
      </c>
      <c r="H52" s="254">
        <v>0</v>
      </c>
      <c r="I52" s="254">
        <v>0</v>
      </c>
      <c r="J52" s="254">
        <v>0</v>
      </c>
      <c r="K52" s="254">
        <v>0</v>
      </c>
      <c r="L52" s="254">
        <v>0</v>
      </c>
      <c r="M52" s="254">
        <v>0</v>
      </c>
      <c r="N52" s="254">
        <v>0</v>
      </c>
      <c r="O52" s="254">
        <v>0</v>
      </c>
      <c r="P52" s="254">
        <v>0</v>
      </c>
      <c r="Q52" s="254">
        <v>0</v>
      </c>
      <c r="R52" s="254">
        <v>0</v>
      </c>
      <c r="S52" s="254">
        <v>0</v>
      </c>
      <c r="T52" s="254">
        <v>0</v>
      </c>
      <c r="U52" s="254">
        <v>0</v>
      </c>
      <c r="V52" s="254">
        <v>0</v>
      </c>
      <c r="W52" s="254">
        <v>0</v>
      </c>
      <c r="X52" s="254">
        <v>0</v>
      </c>
      <c r="Y52" s="254">
        <v>0</v>
      </c>
      <c r="Z52" s="254">
        <v>0</v>
      </c>
      <c r="AA52" s="254">
        <v>0</v>
      </c>
      <c r="AB52" s="254">
        <v>0</v>
      </c>
      <c r="AC52" s="254">
        <v>0</v>
      </c>
      <c r="AD52" s="254">
        <v>0</v>
      </c>
      <c r="AE52" s="254">
        <v>0</v>
      </c>
      <c r="AF52" s="254">
        <v>0</v>
      </c>
      <c r="AG52" s="254">
        <v>0</v>
      </c>
      <c r="AH52" s="254">
        <v>0</v>
      </c>
      <c r="AI52" s="254">
        <v>0</v>
      </c>
      <c r="AJ52" s="254">
        <v>0</v>
      </c>
      <c r="AK52" s="254">
        <v>0</v>
      </c>
      <c r="AL52" s="254">
        <v>0</v>
      </c>
      <c r="AM52" s="254">
        <v>0</v>
      </c>
      <c r="AN52" s="254">
        <v>0</v>
      </c>
      <c r="AO52" s="254">
        <v>0</v>
      </c>
      <c r="AP52" s="254">
        <v>0</v>
      </c>
      <c r="AQ52" s="254">
        <v>0</v>
      </c>
      <c r="AR52" s="254">
        <v>0</v>
      </c>
      <c r="AS52" s="254">
        <v>0</v>
      </c>
      <c r="AT52" s="254">
        <v>0</v>
      </c>
      <c r="AU52" s="254">
        <v>0</v>
      </c>
      <c r="AV52" s="254">
        <v>0</v>
      </c>
      <c r="AW52" s="254">
        <v>0</v>
      </c>
      <c r="AX52" s="254">
        <v>0</v>
      </c>
      <c r="AY52" s="254">
        <v>0</v>
      </c>
      <c r="AZ52" s="254">
        <v>0</v>
      </c>
      <c r="BA52" s="254">
        <v>0</v>
      </c>
      <c r="BB52" s="254">
        <v>0</v>
      </c>
      <c r="BC52" s="254">
        <v>0</v>
      </c>
      <c r="BD52" s="254">
        <v>0</v>
      </c>
      <c r="BE52" s="254">
        <v>0</v>
      </c>
      <c r="BF52" s="254">
        <v>0</v>
      </c>
    </row>
    <row r="53" spans="1:58" x14ac:dyDescent="0.3">
      <c r="A53" s="262" t="s">
        <v>823</v>
      </c>
      <c r="B53" s="253" t="s">
        <v>784</v>
      </c>
      <c r="C53" s="253" t="s">
        <v>784</v>
      </c>
      <c r="D53" s="253" t="s">
        <v>784</v>
      </c>
      <c r="E53" s="253" t="s">
        <v>784</v>
      </c>
      <c r="F53" s="254">
        <v>0</v>
      </c>
      <c r="G53" s="254">
        <v>0</v>
      </c>
      <c r="H53" s="254">
        <v>0</v>
      </c>
      <c r="I53" s="254">
        <v>0</v>
      </c>
      <c r="J53" s="254">
        <v>0</v>
      </c>
      <c r="K53" s="254">
        <v>0</v>
      </c>
      <c r="L53" s="254">
        <v>0</v>
      </c>
      <c r="M53" s="254">
        <v>0</v>
      </c>
      <c r="N53" s="254">
        <v>0</v>
      </c>
      <c r="O53" s="254">
        <v>0</v>
      </c>
      <c r="P53" s="254">
        <v>0</v>
      </c>
      <c r="Q53" s="254">
        <v>0</v>
      </c>
      <c r="R53" s="254">
        <v>0</v>
      </c>
      <c r="S53" s="254">
        <v>0</v>
      </c>
      <c r="T53" s="254">
        <v>0</v>
      </c>
      <c r="U53" s="254">
        <v>0</v>
      </c>
      <c r="V53" s="254">
        <v>0</v>
      </c>
      <c r="W53" s="254">
        <v>0</v>
      </c>
      <c r="X53" s="254">
        <v>0</v>
      </c>
      <c r="Y53" s="254">
        <v>0</v>
      </c>
      <c r="Z53" s="254">
        <v>0</v>
      </c>
      <c r="AA53" s="254">
        <v>0</v>
      </c>
      <c r="AB53" s="254">
        <v>0</v>
      </c>
      <c r="AC53" s="254">
        <v>0</v>
      </c>
      <c r="AD53" s="254">
        <v>0</v>
      </c>
      <c r="AE53" s="254">
        <v>0</v>
      </c>
      <c r="AF53" s="254">
        <v>0</v>
      </c>
      <c r="AG53" s="254">
        <v>0</v>
      </c>
      <c r="AH53" s="254">
        <v>0</v>
      </c>
      <c r="AI53" s="254">
        <v>0</v>
      </c>
      <c r="AJ53" s="254">
        <v>0</v>
      </c>
      <c r="AK53" s="254">
        <v>0</v>
      </c>
      <c r="AL53" s="254">
        <v>0</v>
      </c>
      <c r="AM53" s="254">
        <v>0</v>
      </c>
      <c r="AN53" s="254">
        <v>0</v>
      </c>
      <c r="AO53" s="254">
        <v>0</v>
      </c>
      <c r="AP53" s="254">
        <v>0</v>
      </c>
      <c r="AQ53" s="254">
        <v>0</v>
      </c>
      <c r="AR53" s="254">
        <v>0</v>
      </c>
      <c r="AS53" s="254">
        <v>0</v>
      </c>
      <c r="AT53" s="254">
        <v>0</v>
      </c>
      <c r="AU53" s="254">
        <v>0</v>
      </c>
      <c r="AV53" s="254">
        <v>0</v>
      </c>
      <c r="AW53" s="254">
        <v>0</v>
      </c>
      <c r="AX53" s="254">
        <v>0</v>
      </c>
      <c r="AY53" s="254">
        <v>0</v>
      </c>
      <c r="AZ53" s="254">
        <v>0</v>
      </c>
      <c r="BA53" s="254">
        <v>0</v>
      </c>
      <c r="BB53" s="254">
        <v>0</v>
      </c>
      <c r="BC53" s="254">
        <v>0</v>
      </c>
      <c r="BD53" s="254">
        <v>0</v>
      </c>
      <c r="BE53" s="254">
        <v>0</v>
      </c>
      <c r="BF53" s="254">
        <v>0</v>
      </c>
    </row>
    <row r="54" spans="1:58" x14ac:dyDescent="0.3">
      <c r="A54" s="262" t="s">
        <v>824</v>
      </c>
      <c r="B54" s="253" t="s">
        <v>784</v>
      </c>
      <c r="C54" s="253" t="s">
        <v>784</v>
      </c>
      <c r="D54" s="253" t="s">
        <v>784</v>
      </c>
      <c r="E54" s="253" t="s">
        <v>784</v>
      </c>
      <c r="F54" s="254">
        <v>0</v>
      </c>
      <c r="G54" s="254">
        <v>0</v>
      </c>
      <c r="H54" s="254">
        <v>0</v>
      </c>
      <c r="I54" s="254">
        <v>0</v>
      </c>
      <c r="J54" s="254">
        <v>0</v>
      </c>
      <c r="K54" s="254">
        <v>0</v>
      </c>
      <c r="L54" s="254">
        <v>0</v>
      </c>
      <c r="M54" s="254">
        <v>0</v>
      </c>
      <c r="N54" s="254">
        <v>0</v>
      </c>
      <c r="O54" s="254">
        <v>0</v>
      </c>
      <c r="P54" s="254">
        <v>0</v>
      </c>
      <c r="Q54" s="254">
        <v>0</v>
      </c>
      <c r="R54" s="254">
        <v>0</v>
      </c>
      <c r="S54" s="254">
        <v>0</v>
      </c>
      <c r="T54" s="254">
        <v>0</v>
      </c>
      <c r="U54" s="254">
        <v>0</v>
      </c>
      <c r="V54" s="254">
        <v>0</v>
      </c>
      <c r="W54" s="254">
        <v>0</v>
      </c>
      <c r="X54" s="254">
        <v>0</v>
      </c>
      <c r="Y54" s="254">
        <v>0</v>
      </c>
      <c r="Z54" s="254">
        <v>0</v>
      </c>
      <c r="AA54" s="254">
        <v>0</v>
      </c>
      <c r="AB54" s="254">
        <v>0</v>
      </c>
      <c r="AC54" s="254">
        <v>0</v>
      </c>
      <c r="AD54" s="254">
        <v>0</v>
      </c>
      <c r="AE54" s="254">
        <v>0</v>
      </c>
      <c r="AF54" s="254">
        <v>0</v>
      </c>
      <c r="AG54" s="254">
        <v>0</v>
      </c>
      <c r="AH54" s="254">
        <v>80275</v>
      </c>
      <c r="AI54" s="254">
        <v>0</v>
      </c>
      <c r="AJ54" s="254">
        <v>0</v>
      </c>
      <c r="AK54" s="254">
        <v>0</v>
      </c>
      <c r="AL54" s="254">
        <v>0</v>
      </c>
      <c r="AM54" s="254">
        <v>0</v>
      </c>
      <c r="AN54" s="254">
        <v>0</v>
      </c>
      <c r="AO54" s="254">
        <v>0</v>
      </c>
      <c r="AP54" s="254">
        <v>0</v>
      </c>
      <c r="AQ54" s="254">
        <v>0</v>
      </c>
      <c r="AR54" s="254">
        <v>0</v>
      </c>
      <c r="AS54" s="254">
        <v>0</v>
      </c>
      <c r="AT54" s="254">
        <v>0</v>
      </c>
      <c r="AU54" s="254">
        <v>0</v>
      </c>
      <c r="AV54" s="254">
        <v>0</v>
      </c>
      <c r="AW54" s="254">
        <v>0</v>
      </c>
      <c r="AX54" s="254">
        <v>0</v>
      </c>
      <c r="AY54" s="254">
        <v>0</v>
      </c>
      <c r="AZ54" s="254">
        <v>0</v>
      </c>
      <c r="BA54" s="254">
        <v>0</v>
      </c>
      <c r="BB54" s="254">
        <v>0</v>
      </c>
      <c r="BC54" s="254">
        <v>0</v>
      </c>
      <c r="BD54" s="254">
        <v>0</v>
      </c>
      <c r="BE54" s="254">
        <v>0</v>
      </c>
      <c r="BF54" s="254">
        <v>0</v>
      </c>
    </row>
    <row r="55" spans="1:58" x14ac:dyDescent="0.3">
      <c r="A55" s="260" t="s">
        <v>825</v>
      </c>
      <c r="B55" s="261" t="s">
        <v>784</v>
      </c>
      <c r="C55" s="261" t="s">
        <v>784</v>
      </c>
      <c r="D55" s="261" t="s">
        <v>784</v>
      </c>
      <c r="E55" s="261" t="s">
        <v>784</v>
      </c>
      <c r="F55" s="256">
        <v>37494</v>
      </c>
      <c r="G55" s="256">
        <v>38466</v>
      </c>
      <c r="H55" s="256">
        <v>1328191</v>
      </c>
      <c r="I55" s="256">
        <v>436</v>
      </c>
      <c r="J55" s="256">
        <v>22396</v>
      </c>
      <c r="K55" s="256">
        <v>22384</v>
      </c>
      <c r="L55" s="256">
        <v>83039</v>
      </c>
      <c r="M55" s="256">
        <v>83314</v>
      </c>
      <c r="N55" s="256">
        <v>156265</v>
      </c>
      <c r="O55" s="256">
        <v>10540</v>
      </c>
      <c r="P55" s="256">
        <v>8618</v>
      </c>
      <c r="Q55" s="256">
        <v>10524</v>
      </c>
      <c r="R55" s="256">
        <v>4590</v>
      </c>
      <c r="S55" s="256">
        <v>4724</v>
      </c>
      <c r="T55" s="256">
        <v>4813</v>
      </c>
      <c r="U55" s="256">
        <v>4978</v>
      </c>
      <c r="V55" s="256">
        <v>5026</v>
      </c>
      <c r="W55" s="256">
        <v>5096</v>
      </c>
      <c r="X55" s="256">
        <v>23430</v>
      </c>
      <c r="Y55" s="256">
        <v>31495</v>
      </c>
      <c r="Z55" s="256">
        <v>44274</v>
      </c>
      <c r="AA55" s="256">
        <v>44447</v>
      </c>
      <c r="AB55" s="256">
        <v>44450</v>
      </c>
      <c r="AC55" s="256">
        <v>43249</v>
      </c>
      <c r="AD55" s="256">
        <v>68190</v>
      </c>
      <c r="AE55" s="256">
        <v>68567</v>
      </c>
      <c r="AF55" s="256">
        <v>80924</v>
      </c>
      <c r="AG55" s="256">
        <v>80505</v>
      </c>
      <c r="AH55" s="256">
        <v>0</v>
      </c>
      <c r="AI55" s="256">
        <v>83509</v>
      </c>
      <c r="AJ55" s="256">
        <v>86605</v>
      </c>
      <c r="AK55" s="256">
        <v>66179</v>
      </c>
      <c r="AL55" s="256">
        <v>57928</v>
      </c>
      <c r="AM55" s="256">
        <v>63118</v>
      </c>
      <c r="AN55" s="256">
        <v>94493</v>
      </c>
      <c r="AO55" s="256">
        <v>60215</v>
      </c>
      <c r="AP55" s="256">
        <v>72229</v>
      </c>
      <c r="AQ55" s="256">
        <v>72990</v>
      </c>
      <c r="AR55" s="256">
        <v>75322</v>
      </c>
      <c r="AS55" s="256">
        <v>68318</v>
      </c>
      <c r="AT55" s="256">
        <v>65761</v>
      </c>
      <c r="AU55" s="256">
        <v>60042</v>
      </c>
      <c r="AV55" s="256">
        <v>37569</v>
      </c>
      <c r="AW55" s="256">
        <v>36711</v>
      </c>
      <c r="AX55" s="256">
        <v>19204</v>
      </c>
      <c r="AY55" s="256">
        <v>43085</v>
      </c>
      <c r="AZ55" s="256">
        <v>55099</v>
      </c>
      <c r="BA55" s="256">
        <v>53666</v>
      </c>
      <c r="BB55" s="256">
        <v>37683</v>
      </c>
      <c r="BC55" s="256">
        <v>45509</v>
      </c>
      <c r="BD55" s="256">
        <v>147224</v>
      </c>
      <c r="BE55" s="256">
        <v>132485</v>
      </c>
      <c r="BF55" s="256">
        <v>115119</v>
      </c>
    </row>
    <row r="56" spans="1:58" x14ac:dyDescent="0.3">
      <c r="A56" s="262" t="s">
        <v>826</v>
      </c>
      <c r="B56" s="253" t="s">
        <v>784</v>
      </c>
      <c r="C56" s="253" t="s">
        <v>784</v>
      </c>
      <c r="D56" s="253" t="s">
        <v>784</v>
      </c>
      <c r="E56" s="253" t="s">
        <v>784</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26289</v>
      </c>
      <c r="AO56" s="254">
        <v>0</v>
      </c>
      <c r="AP56" s="254">
        <v>0</v>
      </c>
      <c r="AQ56" s="254">
        <v>0</v>
      </c>
      <c r="AR56" s="254">
        <v>0</v>
      </c>
      <c r="AS56" s="254">
        <v>0</v>
      </c>
      <c r="AT56" s="254">
        <v>0</v>
      </c>
      <c r="AU56" s="254">
        <v>0</v>
      </c>
      <c r="AV56" s="254">
        <v>0</v>
      </c>
      <c r="AW56" s="254">
        <v>0</v>
      </c>
      <c r="AX56" s="254">
        <v>0</v>
      </c>
      <c r="AY56" s="254">
        <v>0</v>
      </c>
      <c r="AZ56" s="254">
        <v>0</v>
      </c>
      <c r="BA56" s="254">
        <v>0</v>
      </c>
      <c r="BB56" s="254">
        <v>0</v>
      </c>
      <c r="BC56" s="254">
        <v>0</v>
      </c>
      <c r="BD56" s="254">
        <v>0</v>
      </c>
      <c r="BE56" s="254">
        <v>0</v>
      </c>
      <c r="BF56" s="254">
        <v>0</v>
      </c>
    </row>
    <row r="57" spans="1:58" x14ac:dyDescent="0.3">
      <c r="A57" s="262" t="s">
        <v>827</v>
      </c>
      <c r="B57" s="253" t="s">
        <v>784</v>
      </c>
      <c r="C57" s="253" t="s">
        <v>784</v>
      </c>
      <c r="D57" s="253" t="s">
        <v>784</v>
      </c>
      <c r="E57" s="253" t="s">
        <v>784</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4">
        <v>0</v>
      </c>
      <c r="BC57" s="254">
        <v>0</v>
      </c>
      <c r="BD57" s="254">
        <v>0</v>
      </c>
      <c r="BE57" s="254">
        <v>0</v>
      </c>
      <c r="BF57" s="254">
        <v>0</v>
      </c>
    </row>
    <row r="58" spans="1:58" x14ac:dyDescent="0.3">
      <c r="A58" s="262" t="s">
        <v>790</v>
      </c>
      <c r="B58" s="253" t="s">
        <v>784</v>
      </c>
      <c r="C58" s="253" t="s">
        <v>784</v>
      </c>
      <c r="D58" s="253" t="s">
        <v>784</v>
      </c>
      <c r="E58" s="253" t="s">
        <v>784</v>
      </c>
      <c r="F58" s="254">
        <v>37494</v>
      </c>
      <c r="G58" s="254">
        <v>38466</v>
      </c>
      <c r="H58" s="254">
        <v>1328191</v>
      </c>
      <c r="I58" s="254">
        <v>436</v>
      </c>
      <c r="J58" s="254">
        <v>22396</v>
      </c>
      <c r="K58" s="254">
        <v>22384</v>
      </c>
      <c r="L58" s="254">
        <v>83039</v>
      </c>
      <c r="M58" s="254">
        <v>83314</v>
      </c>
      <c r="N58" s="254">
        <v>156265</v>
      </c>
      <c r="O58" s="254">
        <v>10540</v>
      </c>
      <c r="P58" s="254">
        <v>8618</v>
      </c>
      <c r="Q58" s="254">
        <v>10524</v>
      </c>
      <c r="R58" s="254">
        <v>4590</v>
      </c>
      <c r="S58" s="254">
        <v>4724</v>
      </c>
      <c r="T58" s="254">
        <v>4813</v>
      </c>
      <c r="U58" s="254">
        <v>4978</v>
      </c>
      <c r="V58" s="254">
        <v>5026</v>
      </c>
      <c r="W58" s="254">
        <v>5096</v>
      </c>
      <c r="X58" s="254">
        <v>23430</v>
      </c>
      <c r="Y58" s="254">
        <v>31495</v>
      </c>
      <c r="Z58" s="254">
        <v>44274</v>
      </c>
      <c r="AA58" s="254">
        <v>44447</v>
      </c>
      <c r="AB58" s="254">
        <v>44450</v>
      </c>
      <c r="AC58" s="254">
        <v>43249</v>
      </c>
      <c r="AD58" s="254">
        <v>68190</v>
      </c>
      <c r="AE58" s="254">
        <v>68567</v>
      </c>
      <c r="AF58" s="254">
        <v>80924</v>
      </c>
      <c r="AG58" s="254">
        <v>80505</v>
      </c>
      <c r="AH58" s="254">
        <v>0</v>
      </c>
      <c r="AI58" s="254">
        <v>83509</v>
      </c>
      <c r="AJ58" s="254">
        <v>86605</v>
      </c>
      <c r="AK58" s="254">
        <v>66179</v>
      </c>
      <c r="AL58" s="254">
        <v>57928</v>
      </c>
      <c r="AM58" s="254">
        <v>63118</v>
      </c>
      <c r="AN58" s="254">
        <v>68204</v>
      </c>
      <c r="AO58" s="254">
        <v>60215</v>
      </c>
      <c r="AP58" s="254">
        <v>72229</v>
      </c>
      <c r="AQ58" s="254">
        <v>72990</v>
      </c>
      <c r="AR58" s="254">
        <v>75322</v>
      </c>
      <c r="AS58" s="254">
        <v>68318</v>
      </c>
      <c r="AT58" s="254">
        <v>65761</v>
      </c>
      <c r="AU58" s="254">
        <v>60042</v>
      </c>
      <c r="AV58" s="254">
        <v>37569</v>
      </c>
      <c r="AW58" s="254">
        <v>36711</v>
      </c>
      <c r="AX58" s="254">
        <v>19204</v>
      </c>
      <c r="AY58" s="254">
        <v>43085</v>
      </c>
      <c r="AZ58" s="254">
        <v>55099</v>
      </c>
      <c r="BA58" s="254">
        <v>53666</v>
      </c>
      <c r="BB58" s="254">
        <v>37683</v>
      </c>
      <c r="BC58" s="254">
        <v>45509</v>
      </c>
      <c r="BD58" s="254">
        <v>147224</v>
      </c>
      <c r="BE58" s="254">
        <v>132485</v>
      </c>
      <c r="BF58" s="254">
        <v>115119</v>
      </c>
    </row>
    <row r="59" spans="1:58" x14ac:dyDescent="0.3">
      <c r="A59" s="257" t="s">
        <v>828</v>
      </c>
      <c r="B59" s="258" t="s">
        <v>784</v>
      </c>
      <c r="C59" s="258" t="s">
        <v>784</v>
      </c>
      <c r="D59" s="258" t="s">
        <v>784</v>
      </c>
      <c r="E59" s="258" t="s">
        <v>784</v>
      </c>
      <c r="F59" s="259">
        <v>0</v>
      </c>
      <c r="G59" s="259">
        <v>0</v>
      </c>
      <c r="H59" s="259">
        <v>0</v>
      </c>
      <c r="I59" s="259">
        <v>0</v>
      </c>
      <c r="J59" s="259">
        <v>0</v>
      </c>
      <c r="K59" s="259">
        <v>0</v>
      </c>
      <c r="L59" s="259">
        <v>0</v>
      </c>
      <c r="M59" s="259">
        <v>0</v>
      </c>
      <c r="N59" s="259">
        <v>0</v>
      </c>
      <c r="O59" s="259">
        <v>0</v>
      </c>
      <c r="P59" s="259">
        <v>0</v>
      </c>
      <c r="Q59" s="259">
        <v>0</v>
      </c>
      <c r="R59" s="259">
        <v>0</v>
      </c>
      <c r="S59" s="259">
        <v>0</v>
      </c>
      <c r="T59" s="259">
        <v>0</v>
      </c>
      <c r="U59" s="259">
        <v>0</v>
      </c>
      <c r="V59" s="259">
        <v>0</v>
      </c>
      <c r="W59" s="259">
        <v>0</v>
      </c>
      <c r="X59" s="259">
        <v>0</v>
      </c>
      <c r="Y59" s="259">
        <v>0</v>
      </c>
      <c r="Z59" s="259">
        <v>0</v>
      </c>
      <c r="AA59" s="259">
        <v>0</v>
      </c>
      <c r="AB59" s="259">
        <v>0</v>
      </c>
      <c r="AC59" s="259">
        <v>0</v>
      </c>
      <c r="AD59" s="259">
        <v>0</v>
      </c>
      <c r="AE59" s="259">
        <v>0</v>
      </c>
      <c r="AF59" s="259">
        <v>0</v>
      </c>
      <c r="AG59" s="259">
        <v>0</v>
      </c>
      <c r="AH59" s="259">
        <v>0</v>
      </c>
      <c r="AI59" s="259">
        <v>0</v>
      </c>
      <c r="AJ59" s="259">
        <v>0</v>
      </c>
      <c r="AK59" s="259">
        <v>0</v>
      </c>
      <c r="AL59" s="259">
        <v>0</v>
      </c>
      <c r="AM59" s="259">
        <v>0</v>
      </c>
      <c r="AN59" s="259">
        <v>0</v>
      </c>
      <c r="AO59" s="259">
        <v>0</v>
      </c>
      <c r="AP59" s="259">
        <v>0</v>
      </c>
      <c r="AQ59" s="259">
        <v>0</v>
      </c>
      <c r="AR59" s="259">
        <v>0</v>
      </c>
      <c r="AS59" s="259">
        <v>0</v>
      </c>
      <c r="AT59" s="259">
        <v>0</v>
      </c>
      <c r="AU59" s="259">
        <v>0</v>
      </c>
      <c r="AV59" s="259">
        <v>0</v>
      </c>
      <c r="AW59" s="259">
        <v>0</v>
      </c>
      <c r="AX59" s="259">
        <v>0</v>
      </c>
      <c r="AY59" s="259">
        <v>0</v>
      </c>
      <c r="AZ59" s="259">
        <v>0</v>
      </c>
      <c r="BA59" s="259">
        <v>0</v>
      </c>
      <c r="BB59" s="259">
        <v>0</v>
      </c>
      <c r="BC59" s="259">
        <v>0</v>
      </c>
      <c r="BD59" s="259">
        <v>0</v>
      </c>
      <c r="BE59" s="259">
        <v>0</v>
      </c>
      <c r="BF59" s="259">
        <v>0</v>
      </c>
    </row>
    <row r="60" spans="1:58" x14ac:dyDescent="0.3">
      <c r="A60" s="260" t="s">
        <v>829</v>
      </c>
      <c r="B60" s="256">
        <v>0</v>
      </c>
      <c r="C60" s="256">
        <v>0</v>
      </c>
      <c r="D60" s="256">
        <v>0</v>
      </c>
      <c r="E60" s="256">
        <v>0</v>
      </c>
      <c r="F60" s="256">
        <v>0</v>
      </c>
      <c r="G60" s="256">
        <v>0</v>
      </c>
      <c r="H60" s="256">
        <v>0</v>
      </c>
      <c r="I60" s="256">
        <v>0</v>
      </c>
      <c r="J60" s="256">
        <v>0</v>
      </c>
      <c r="K60" s="256">
        <v>0</v>
      </c>
      <c r="L60" s="256">
        <v>0</v>
      </c>
      <c r="M60" s="256">
        <v>0</v>
      </c>
      <c r="N60" s="256">
        <v>0</v>
      </c>
      <c r="O60" s="256">
        <v>0</v>
      </c>
      <c r="P60" s="256">
        <v>0</v>
      </c>
      <c r="Q60" s="256">
        <v>0</v>
      </c>
      <c r="R60" s="256">
        <v>0</v>
      </c>
      <c r="S60" s="256">
        <v>0</v>
      </c>
      <c r="T60" s="256">
        <v>0</v>
      </c>
      <c r="U60" s="256">
        <v>0</v>
      </c>
      <c r="V60" s="256">
        <v>0</v>
      </c>
      <c r="W60" s="256">
        <v>0</v>
      </c>
      <c r="X60" s="256">
        <v>0</v>
      </c>
      <c r="Y60" s="256">
        <v>0</v>
      </c>
      <c r="Z60" s="256">
        <v>0</v>
      </c>
      <c r="AA60" s="256">
        <v>0</v>
      </c>
      <c r="AB60" s="256">
        <v>0</v>
      </c>
      <c r="AC60" s="256">
        <v>0</v>
      </c>
      <c r="AD60" s="256">
        <v>0</v>
      </c>
      <c r="AE60" s="256">
        <v>0</v>
      </c>
      <c r="AF60" s="256">
        <v>0</v>
      </c>
      <c r="AG60" s="256">
        <v>0</v>
      </c>
      <c r="AH60" s="256">
        <v>0</v>
      </c>
      <c r="AI60" s="256">
        <v>0</v>
      </c>
      <c r="AJ60" s="256">
        <v>0</v>
      </c>
      <c r="AK60" s="256">
        <v>0</v>
      </c>
      <c r="AL60" s="256">
        <v>0</v>
      </c>
      <c r="AM60" s="256">
        <v>0</v>
      </c>
      <c r="AN60" s="256">
        <v>0</v>
      </c>
      <c r="AO60" s="256">
        <v>0</v>
      </c>
      <c r="AP60" s="256">
        <v>0</v>
      </c>
      <c r="AQ60" s="256">
        <v>0</v>
      </c>
      <c r="AR60" s="256">
        <v>0</v>
      </c>
      <c r="AS60" s="256">
        <v>0</v>
      </c>
      <c r="AT60" s="256">
        <v>0</v>
      </c>
      <c r="AU60" s="256">
        <v>0</v>
      </c>
      <c r="AV60" s="256">
        <v>0</v>
      </c>
      <c r="AW60" s="256">
        <v>0</v>
      </c>
      <c r="AX60" s="256">
        <v>0</v>
      </c>
      <c r="AY60" s="256">
        <v>0</v>
      </c>
      <c r="AZ60" s="256">
        <v>0</v>
      </c>
      <c r="BA60" s="256">
        <v>0</v>
      </c>
      <c r="BB60" s="256">
        <v>0</v>
      </c>
      <c r="BC60" s="256">
        <v>0</v>
      </c>
      <c r="BD60" s="256">
        <v>0</v>
      </c>
      <c r="BE60" s="256">
        <v>0</v>
      </c>
      <c r="BF60" s="256">
        <v>0</v>
      </c>
    </row>
    <row r="61" spans="1:58" x14ac:dyDescent="0.3">
      <c r="A61" s="262" t="s">
        <v>830</v>
      </c>
      <c r="B61" s="253" t="s">
        <v>784</v>
      </c>
      <c r="C61" s="254">
        <v>0</v>
      </c>
      <c r="D61" s="254">
        <v>0</v>
      </c>
      <c r="E61" s="254">
        <v>0</v>
      </c>
      <c r="F61" s="254">
        <v>0</v>
      </c>
      <c r="G61" s="254">
        <v>0</v>
      </c>
      <c r="H61" s="254">
        <v>0</v>
      </c>
      <c r="I61" s="254">
        <v>0</v>
      </c>
      <c r="J61" s="254">
        <v>0</v>
      </c>
      <c r="K61" s="254">
        <v>0</v>
      </c>
      <c r="L61" s="254">
        <v>0</v>
      </c>
      <c r="M61" s="254">
        <v>0</v>
      </c>
      <c r="N61" s="254">
        <v>0</v>
      </c>
      <c r="O61" s="254">
        <v>0</v>
      </c>
      <c r="P61" s="254">
        <v>0</v>
      </c>
      <c r="Q61" s="254">
        <v>0</v>
      </c>
      <c r="R61" s="254">
        <v>0</v>
      </c>
      <c r="S61" s="254">
        <v>0</v>
      </c>
      <c r="T61" s="254">
        <v>0</v>
      </c>
      <c r="U61" s="254">
        <v>0</v>
      </c>
      <c r="V61" s="254">
        <v>0</v>
      </c>
      <c r="W61" s="254">
        <v>0</v>
      </c>
      <c r="X61" s="254">
        <v>0</v>
      </c>
      <c r="Y61" s="254">
        <v>0</v>
      </c>
      <c r="Z61" s="254">
        <v>0</v>
      </c>
      <c r="AA61" s="254">
        <v>0</v>
      </c>
      <c r="AB61" s="254">
        <v>0</v>
      </c>
      <c r="AC61" s="254">
        <v>0</v>
      </c>
      <c r="AD61" s="254">
        <v>0</v>
      </c>
      <c r="AE61" s="254">
        <v>0</v>
      </c>
      <c r="AF61" s="254">
        <v>0</v>
      </c>
      <c r="AG61" s="254">
        <v>0</v>
      </c>
      <c r="AH61" s="254">
        <v>0</v>
      </c>
      <c r="AI61" s="254">
        <v>0</v>
      </c>
      <c r="AJ61" s="254">
        <v>0</v>
      </c>
      <c r="AK61" s="254">
        <v>0</v>
      </c>
      <c r="AL61" s="254">
        <v>0</v>
      </c>
      <c r="AM61" s="254">
        <v>0</v>
      </c>
      <c r="AN61" s="254">
        <v>0</v>
      </c>
      <c r="AO61" s="254">
        <v>0</v>
      </c>
      <c r="AP61" s="254">
        <v>0</v>
      </c>
      <c r="AQ61" s="254">
        <v>0</v>
      </c>
      <c r="AR61" s="254">
        <v>0</v>
      </c>
      <c r="AS61" s="254">
        <v>0</v>
      </c>
      <c r="AT61" s="254">
        <v>0</v>
      </c>
      <c r="AU61" s="254">
        <v>0</v>
      </c>
      <c r="AV61" s="254">
        <v>0</v>
      </c>
      <c r="AW61" s="254">
        <v>0</v>
      </c>
      <c r="AX61" s="254">
        <v>0</v>
      </c>
      <c r="AY61" s="254">
        <v>0</v>
      </c>
      <c r="AZ61" s="254">
        <v>0</v>
      </c>
      <c r="BA61" s="254">
        <v>0</v>
      </c>
      <c r="BB61" s="254">
        <v>0</v>
      </c>
      <c r="BC61" s="254">
        <v>0</v>
      </c>
      <c r="BD61" s="254">
        <v>0</v>
      </c>
      <c r="BE61" s="254">
        <v>0</v>
      </c>
      <c r="BF61" s="254">
        <v>0</v>
      </c>
    </row>
    <row r="62" spans="1:58" x14ac:dyDescent="0.3">
      <c r="A62" s="262" t="s">
        <v>831</v>
      </c>
      <c r="B62" s="253" t="s">
        <v>784</v>
      </c>
      <c r="C62" s="254">
        <v>0</v>
      </c>
      <c r="D62" s="254">
        <v>0</v>
      </c>
      <c r="E62" s="254">
        <v>0</v>
      </c>
      <c r="F62" s="254">
        <v>0</v>
      </c>
      <c r="G62" s="254">
        <v>0</v>
      </c>
      <c r="H62" s="254">
        <v>0</v>
      </c>
      <c r="I62" s="254">
        <v>0</v>
      </c>
      <c r="J62" s="254">
        <v>0</v>
      </c>
      <c r="K62" s="254">
        <v>0</v>
      </c>
      <c r="L62" s="254">
        <v>0</v>
      </c>
      <c r="M62" s="254">
        <v>0</v>
      </c>
      <c r="N62" s="254">
        <v>0</v>
      </c>
      <c r="O62" s="254">
        <v>0</v>
      </c>
      <c r="P62" s="254">
        <v>0</v>
      </c>
      <c r="Q62" s="254">
        <v>0</v>
      </c>
      <c r="R62" s="254">
        <v>0</v>
      </c>
      <c r="S62" s="254">
        <v>0</v>
      </c>
      <c r="T62" s="254">
        <v>0</v>
      </c>
      <c r="U62" s="254">
        <v>0</v>
      </c>
      <c r="V62" s="254">
        <v>0</v>
      </c>
      <c r="W62" s="254">
        <v>0</v>
      </c>
      <c r="X62" s="254">
        <v>0</v>
      </c>
      <c r="Y62" s="254">
        <v>0</v>
      </c>
      <c r="Z62" s="254">
        <v>0</v>
      </c>
      <c r="AA62" s="254">
        <v>0</v>
      </c>
      <c r="AB62" s="254">
        <v>0</v>
      </c>
      <c r="AC62" s="254">
        <v>0</v>
      </c>
      <c r="AD62" s="254">
        <v>0</v>
      </c>
      <c r="AE62" s="254">
        <v>0</v>
      </c>
      <c r="AF62" s="254">
        <v>0</v>
      </c>
      <c r="AG62" s="254">
        <v>0</v>
      </c>
      <c r="AH62" s="254">
        <v>0</v>
      </c>
      <c r="AI62" s="254">
        <v>0</v>
      </c>
      <c r="AJ62" s="254">
        <v>0</v>
      </c>
      <c r="AK62" s="254">
        <v>0</v>
      </c>
      <c r="AL62" s="254">
        <v>0</v>
      </c>
      <c r="AM62" s="254">
        <v>0</v>
      </c>
      <c r="AN62" s="254">
        <v>0</v>
      </c>
      <c r="AO62" s="254">
        <v>0</v>
      </c>
      <c r="AP62" s="254">
        <v>0</v>
      </c>
      <c r="AQ62" s="254">
        <v>0</v>
      </c>
      <c r="AR62" s="254">
        <v>0</v>
      </c>
      <c r="AS62" s="254">
        <v>0</v>
      </c>
      <c r="AT62" s="254">
        <v>0</v>
      </c>
      <c r="AU62" s="254">
        <v>0</v>
      </c>
      <c r="AV62" s="254">
        <v>0</v>
      </c>
      <c r="AW62" s="254">
        <v>0</v>
      </c>
      <c r="AX62" s="254">
        <v>0</v>
      </c>
      <c r="AY62" s="254">
        <v>0</v>
      </c>
      <c r="AZ62" s="254">
        <v>0</v>
      </c>
      <c r="BA62" s="254">
        <v>0</v>
      </c>
      <c r="BB62" s="254">
        <v>0</v>
      </c>
      <c r="BC62" s="254">
        <v>0</v>
      </c>
      <c r="BD62" s="254">
        <v>0</v>
      </c>
      <c r="BE62" s="254">
        <v>0</v>
      </c>
      <c r="BF62" s="254">
        <v>0</v>
      </c>
    </row>
    <row r="63" spans="1:58" x14ac:dyDescent="0.3">
      <c r="A63" s="262" t="s">
        <v>832</v>
      </c>
      <c r="B63" s="253" t="s">
        <v>784</v>
      </c>
      <c r="C63" s="254">
        <v>0</v>
      </c>
      <c r="D63" s="254">
        <v>0</v>
      </c>
      <c r="E63" s="254">
        <v>0</v>
      </c>
      <c r="F63" s="254">
        <v>0</v>
      </c>
      <c r="G63" s="254">
        <v>0</v>
      </c>
      <c r="H63" s="254">
        <v>0</v>
      </c>
      <c r="I63" s="254">
        <v>0</v>
      </c>
      <c r="J63" s="254">
        <v>0</v>
      </c>
      <c r="K63" s="254">
        <v>0</v>
      </c>
      <c r="L63" s="254">
        <v>0</v>
      </c>
      <c r="M63" s="254">
        <v>0</v>
      </c>
      <c r="N63" s="254">
        <v>0</v>
      </c>
      <c r="O63" s="254">
        <v>0</v>
      </c>
      <c r="P63" s="254">
        <v>0</v>
      </c>
      <c r="Q63" s="254">
        <v>0</v>
      </c>
      <c r="R63" s="254">
        <v>0</v>
      </c>
      <c r="S63" s="254">
        <v>0</v>
      </c>
      <c r="T63" s="254">
        <v>0</v>
      </c>
      <c r="U63" s="254">
        <v>0</v>
      </c>
      <c r="V63" s="254">
        <v>0</v>
      </c>
      <c r="W63" s="254">
        <v>0</v>
      </c>
      <c r="X63" s="254">
        <v>0</v>
      </c>
      <c r="Y63" s="254">
        <v>0</v>
      </c>
      <c r="Z63" s="254">
        <v>0</v>
      </c>
      <c r="AA63" s="254">
        <v>0</v>
      </c>
      <c r="AB63" s="254">
        <v>0</v>
      </c>
      <c r="AC63" s="254">
        <v>0</v>
      </c>
      <c r="AD63" s="254">
        <v>0</v>
      </c>
      <c r="AE63" s="254">
        <v>0</v>
      </c>
      <c r="AF63" s="254">
        <v>0</v>
      </c>
      <c r="AG63" s="254">
        <v>0</v>
      </c>
      <c r="AH63" s="254">
        <v>0</v>
      </c>
      <c r="AI63" s="254">
        <v>0</v>
      </c>
      <c r="AJ63" s="254">
        <v>0</v>
      </c>
      <c r="AK63" s="254">
        <v>0</v>
      </c>
      <c r="AL63" s="254">
        <v>0</v>
      </c>
      <c r="AM63" s="254">
        <v>0</v>
      </c>
      <c r="AN63" s="254">
        <v>0</v>
      </c>
      <c r="AO63" s="254">
        <v>0</v>
      </c>
      <c r="AP63" s="254">
        <v>0</v>
      </c>
      <c r="AQ63" s="254">
        <v>0</v>
      </c>
      <c r="AR63" s="254">
        <v>0</v>
      </c>
      <c r="AS63" s="254">
        <v>0</v>
      </c>
      <c r="AT63" s="254">
        <v>0</v>
      </c>
      <c r="AU63" s="254">
        <v>0</v>
      </c>
      <c r="AV63" s="254">
        <v>0</v>
      </c>
      <c r="AW63" s="254">
        <v>0</v>
      </c>
      <c r="AX63" s="254">
        <v>0</v>
      </c>
      <c r="AY63" s="254">
        <v>0</v>
      </c>
      <c r="AZ63" s="254">
        <v>0</v>
      </c>
      <c r="BA63" s="254">
        <v>0</v>
      </c>
      <c r="BB63" s="254">
        <v>0</v>
      </c>
      <c r="BC63" s="254">
        <v>0</v>
      </c>
      <c r="BD63" s="254">
        <v>0</v>
      </c>
      <c r="BE63" s="254">
        <v>0</v>
      </c>
      <c r="BF63" s="254">
        <v>0</v>
      </c>
    </row>
    <row r="64" spans="1:58" x14ac:dyDescent="0.3">
      <c r="A64" s="262" t="s">
        <v>833</v>
      </c>
      <c r="B64" s="253" t="s">
        <v>784</v>
      </c>
      <c r="C64" s="254">
        <v>0</v>
      </c>
      <c r="D64" s="254">
        <v>0</v>
      </c>
      <c r="E64" s="254">
        <v>0</v>
      </c>
      <c r="F64" s="254">
        <v>0</v>
      </c>
      <c r="G64" s="254">
        <v>0</v>
      </c>
      <c r="H64" s="254">
        <v>0</v>
      </c>
      <c r="I64" s="254">
        <v>0</v>
      </c>
      <c r="J64" s="254">
        <v>0</v>
      </c>
      <c r="K64" s="254">
        <v>0</v>
      </c>
      <c r="L64" s="254">
        <v>0</v>
      </c>
      <c r="M64" s="254">
        <v>0</v>
      </c>
      <c r="N64" s="254">
        <v>0</v>
      </c>
      <c r="O64" s="254">
        <v>0</v>
      </c>
      <c r="P64" s="254">
        <v>0</v>
      </c>
      <c r="Q64" s="254">
        <v>0</v>
      </c>
      <c r="R64" s="254">
        <v>0</v>
      </c>
      <c r="S64" s="254">
        <v>0</v>
      </c>
      <c r="T64" s="254">
        <v>0</v>
      </c>
      <c r="U64" s="254">
        <v>0</v>
      </c>
      <c r="V64" s="254">
        <v>0</v>
      </c>
      <c r="W64" s="254">
        <v>0</v>
      </c>
      <c r="X64" s="254">
        <v>0</v>
      </c>
      <c r="Y64" s="254">
        <v>0</v>
      </c>
      <c r="Z64" s="254">
        <v>0</v>
      </c>
      <c r="AA64" s="254">
        <v>0</v>
      </c>
      <c r="AB64" s="254">
        <v>0</v>
      </c>
      <c r="AC64" s="254">
        <v>0</v>
      </c>
      <c r="AD64" s="254">
        <v>0</v>
      </c>
      <c r="AE64" s="254">
        <v>0</v>
      </c>
      <c r="AF64" s="254">
        <v>0</v>
      </c>
      <c r="AG64" s="254">
        <v>0</v>
      </c>
      <c r="AH64" s="254">
        <v>0</v>
      </c>
      <c r="AI64" s="254">
        <v>0</v>
      </c>
      <c r="AJ64" s="254">
        <v>0</v>
      </c>
      <c r="AK64" s="254">
        <v>0</v>
      </c>
      <c r="AL64" s="254">
        <v>0</v>
      </c>
      <c r="AM64" s="254">
        <v>0</v>
      </c>
      <c r="AN64" s="254">
        <v>0</v>
      </c>
      <c r="AO64" s="254">
        <v>0</v>
      </c>
      <c r="AP64" s="254">
        <v>0</v>
      </c>
      <c r="AQ64" s="254">
        <v>0</v>
      </c>
      <c r="AR64" s="254">
        <v>0</v>
      </c>
      <c r="AS64" s="254">
        <v>0</v>
      </c>
      <c r="AT64" s="254">
        <v>0</v>
      </c>
      <c r="AU64" s="254">
        <v>0</v>
      </c>
      <c r="AV64" s="254">
        <v>0</v>
      </c>
      <c r="AW64" s="254">
        <v>0</v>
      </c>
      <c r="AX64" s="254">
        <v>0</v>
      </c>
      <c r="AY64" s="254">
        <v>0</v>
      </c>
      <c r="AZ64" s="254">
        <v>0</v>
      </c>
      <c r="BA64" s="254">
        <v>0</v>
      </c>
      <c r="BB64" s="254">
        <v>0</v>
      </c>
      <c r="BC64" s="254">
        <v>0</v>
      </c>
      <c r="BD64" s="254">
        <v>0</v>
      </c>
      <c r="BE64" s="254">
        <v>0</v>
      </c>
      <c r="BF64" s="254">
        <v>0</v>
      </c>
    </row>
    <row r="65" spans="1:58" x14ac:dyDescent="0.3">
      <c r="A65" s="260" t="s">
        <v>834</v>
      </c>
      <c r="B65" s="261" t="s">
        <v>784</v>
      </c>
      <c r="C65" s="261" t="s">
        <v>784</v>
      </c>
      <c r="D65" s="261" t="s">
        <v>784</v>
      </c>
      <c r="E65" s="261" t="s">
        <v>784</v>
      </c>
      <c r="F65" s="256">
        <v>0</v>
      </c>
      <c r="G65" s="256">
        <v>0</v>
      </c>
      <c r="H65" s="256">
        <v>0</v>
      </c>
      <c r="I65" s="256">
        <v>0</v>
      </c>
      <c r="J65" s="256">
        <v>0</v>
      </c>
      <c r="K65" s="256">
        <v>0</v>
      </c>
      <c r="L65" s="256">
        <v>0</v>
      </c>
      <c r="M65" s="256">
        <v>0</v>
      </c>
      <c r="N65" s="256">
        <v>0</v>
      </c>
      <c r="O65" s="256">
        <v>0</v>
      </c>
      <c r="P65" s="256">
        <v>0</v>
      </c>
      <c r="Q65" s="256">
        <v>0</v>
      </c>
      <c r="R65" s="256">
        <v>0</v>
      </c>
      <c r="S65" s="256">
        <v>0</v>
      </c>
      <c r="T65" s="256">
        <v>0</v>
      </c>
      <c r="U65" s="256">
        <v>0</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256">
        <v>0</v>
      </c>
      <c r="BB65" s="256">
        <v>0</v>
      </c>
      <c r="BC65" s="256">
        <v>0</v>
      </c>
      <c r="BD65" s="256">
        <v>0</v>
      </c>
      <c r="BE65" s="256">
        <v>0</v>
      </c>
      <c r="BF65" s="256">
        <v>0</v>
      </c>
    </row>
    <row r="66" spans="1:58" x14ac:dyDescent="0.3">
      <c r="A66" s="257" t="s">
        <v>835</v>
      </c>
      <c r="B66" s="259">
        <v>4485</v>
      </c>
      <c r="C66" s="259">
        <v>6451</v>
      </c>
      <c r="D66" s="259">
        <v>7530</v>
      </c>
      <c r="E66" s="259">
        <v>16413</v>
      </c>
      <c r="F66" s="259">
        <v>38413</v>
      </c>
      <c r="G66" s="259">
        <v>100963</v>
      </c>
      <c r="H66" s="259">
        <v>160599</v>
      </c>
      <c r="I66" s="259">
        <v>189024</v>
      </c>
      <c r="J66" s="259">
        <v>323268</v>
      </c>
      <c r="K66" s="259">
        <v>339759</v>
      </c>
      <c r="L66" s="259">
        <v>385398</v>
      </c>
      <c r="M66" s="259">
        <v>386158</v>
      </c>
      <c r="N66" s="259">
        <v>393862</v>
      </c>
      <c r="O66" s="259">
        <v>283513</v>
      </c>
      <c r="P66" s="259">
        <v>280288</v>
      </c>
      <c r="Q66" s="259">
        <v>139949</v>
      </c>
      <c r="R66" s="259">
        <v>139124</v>
      </c>
      <c r="S66" s="259">
        <v>135211</v>
      </c>
      <c r="T66" s="259">
        <v>143714</v>
      </c>
      <c r="U66" s="259">
        <v>138041</v>
      </c>
      <c r="V66" s="259">
        <v>72925</v>
      </c>
      <c r="W66" s="259">
        <v>75155</v>
      </c>
      <c r="X66" s="259">
        <v>57364</v>
      </c>
      <c r="Y66" s="259">
        <v>60659</v>
      </c>
      <c r="Z66" s="259">
        <v>69949</v>
      </c>
      <c r="AA66" s="259">
        <v>58834</v>
      </c>
      <c r="AB66" s="259">
        <v>48051</v>
      </c>
      <c r="AC66" s="259">
        <v>48938</v>
      </c>
      <c r="AD66" s="259">
        <v>44234</v>
      </c>
      <c r="AE66" s="259">
        <v>78903</v>
      </c>
      <c r="AF66" s="259">
        <v>75661</v>
      </c>
      <c r="AG66" s="259">
        <v>68863</v>
      </c>
      <c r="AH66" s="259">
        <v>61286</v>
      </c>
      <c r="AI66" s="259">
        <v>58108</v>
      </c>
      <c r="AJ66" s="259">
        <v>60786</v>
      </c>
      <c r="AK66" s="259">
        <v>60338</v>
      </c>
      <c r="AL66" s="259">
        <v>45292</v>
      </c>
      <c r="AM66" s="259">
        <v>2581943</v>
      </c>
      <c r="AN66" s="259">
        <v>2522010</v>
      </c>
      <c r="AO66" s="259">
        <v>2775232</v>
      </c>
      <c r="AP66" s="259">
        <v>3054590</v>
      </c>
      <c r="AQ66" s="259">
        <v>4205678</v>
      </c>
      <c r="AR66" s="259">
        <v>4184993</v>
      </c>
      <c r="AS66" s="259">
        <v>4083757</v>
      </c>
      <c r="AT66" s="259">
        <v>3728849</v>
      </c>
      <c r="AU66" s="259">
        <v>3797797</v>
      </c>
      <c r="AV66" s="259">
        <v>3755678</v>
      </c>
      <c r="AW66" s="259">
        <v>3954371</v>
      </c>
      <c r="AX66" s="259">
        <v>3974912</v>
      </c>
      <c r="AY66" s="259">
        <v>3885005</v>
      </c>
      <c r="AZ66" s="259">
        <v>4503345</v>
      </c>
      <c r="BA66" s="259">
        <v>5142861</v>
      </c>
      <c r="BB66" s="259">
        <v>6136179</v>
      </c>
      <c r="BC66" s="259">
        <v>8618891</v>
      </c>
      <c r="BD66" s="259">
        <v>9348608</v>
      </c>
      <c r="BE66" s="259">
        <v>10653010</v>
      </c>
      <c r="BF66" s="259">
        <v>11469479</v>
      </c>
    </row>
    <row r="67" spans="1:58" x14ac:dyDescent="0.3">
      <c r="A67" s="260" t="s">
        <v>836</v>
      </c>
      <c r="B67" s="261" t="s">
        <v>784</v>
      </c>
      <c r="C67" s="261" t="s">
        <v>784</v>
      </c>
      <c r="D67" s="261" t="s">
        <v>784</v>
      </c>
      <c r="E67" s="261" t="s">
        <v>784</v>
      </c>
      <c r="F67" s="261" t="s">
        <v>784</v>
      </c>
      <c r="G67" s="261" t="s">
        <v>784</v>
      </c>
      <c r="H67" s="261" t="s">
        <v>784</v>
      </c>
      <c r="I67" s="261" t="s">
        <v>784</v>
      </c>
      <c r="J67" s="261" t="s">
        <v>784</v>
      </c>
      <c r="K67" s="261" t="s">
        <v>784</v>
      </c>
      <c r="L67" s="261" t="s">
        <v>784</v>
      </c>
      <c r="M67" s="261" t="s">
        <v>784</v>
      </c>
      <c r="N67" s="261" t="s">
        <v>784</v>
      </c>
      <c r="O67" s="261" t="s">
        <v>784</v>
      </c>
      <c r="P67" s="261" t="s">
        <v>784</v>
      </c>
      <c r="Q67" s="261" t="s">
        <v>784</v>
      </c>
      <c r="R67" s="256">
        <v>139124</v>
      </c>
      <c r="S67" s="256">
        <v>135211</v>
      </c>
      <c r="T67" s="256">
        <v>143714</v>
      </c>
      <c r="U67" s="256">
        <v>138041</v>
      </c>
      <c r="V67" s="256">
        <v>72925</v>
      </c>
      <c r="W67" s="256">
        <v>75155</v>
      </c>
      <c r="X67" s="256">
        <v>57364</v>
      </c>
      <c r="Y67" s="256">
        <v>60659</v>
      </c>
      <c r="Z67" s="256">
        <v>69949</v>
      </c>
      <c r="AA67" s="256">
        <v>58834</v>
      </c>
      <c r="AB67" s="256">
        <v>48051</v>
      </c>
      <c r="AC67" s="256">
        <v>48938</v>
      </c>
      <c r="AD67" s="256">
        <v>44234</v>
      </c>
      <c r="AE67" s="256">
        <v>78903</v>
      </c>
      <c r="AF67" s="256">
        <v>75661</v>
      </c>
      <c r="AG67" s="256">
        <v>68863</v>
      </c>
      <c r="AH67" s="256">
        <v>61286</v>
      </c>
      <c r="AI67" s="256">
        <v>58108</v>
      </c>
      <c r="AJ67" s="256">
        <v>57103</v>
      </c>
      <c r="AK67" s="256">
        <v>60338</v>
      </c>
      <c r="AL67" s="256">
        <v>45292</v>
      </c>
      <c r="AM67" s="256">
        <v>1443920</v>
      </c>
      <c r="AN67" s="256">
        <v>1602344</v>
      </c>
      <c r="AO67" s="256">
        <v>1634971</v>
      </c>
      <c r="AP67" s="256">
        <v>2241136</v>
      </c>
      <c r="AQ67" s="256">
        <v>2623152</v>
      </c>
      <c r="AR67" s="256">
        <v>3419216</v>
      </c>
      <c r="AS67" s="256">
        <v>3363841</v>
      </c>
      <c r="AT67" s="256">
        <v>2974633</v>
      </c>
      <c r="AU67" s="256">
        <v>2948713</v>
      </c>
      <c r="AV67" s="256">
        <v>2821995</v>
      </c>
      <c r="AW67" s="256">
        <v>3076789</v>
      </c>
      <c r="AX67" s="256">
        <v>3047800</v>
      </c>
      <c r="AY67" s="256">
        <v>2620382</v>
      </c>
      <c r="AZ67" s="256">
        <v>3575116</v>
      </c>
      <c r="BA67" s="256">
        <v>2648120</v>
      </c>
      <c r="BB67" s="256">
        <v>3328488</v>
      </c>
      <c r="BC67" s="256">
        <v>7089189</v>
      </c>
      <c r="BD67" s="256">
        <v>4731917</v>
      </c>
      <c r="BE67" s="256">
        <v>5112637</v>
      </c>
      <c r="BF67" s="256">
        <v>5635846</v>
      </c>
    </row>
    <row r="68" spans="1:58" x14ac:dyDescent="0.3">
      <c r="A68" s="260" t="s">
        <v>837</v>
      </c>
      <c r="B68" s="261" t="s">
        <v>784</v>
      </c>
      <c r="C68" s="261" t="s">
        <v>784</v>
      </c>
      <c r="D68" s="261" t="s">
        <v>784</v>
      </c>
      <c r="E68" s="261" t="s">
        <v>784</v>
      </c>
      <c r="F68" s="261" t="s">
        <v>784</v>
      </c>
      <c r="G68" s="261" t="s">
        <v>784</v>
      </c>
      <c r="H68" s="261" t="s">
        <v>784</v>
      </c>
      <c r="I68" s="261" t="s">
        <v>784</v>
      </c>
      <c r="J68" s="261" t="s">
        <v>784</v>
      </c>
      <c r="K68" s="261" t="s">
        <v>784</v>
      </c>
      <c r="L68" s="261" t="s">
        <v>784</v>
      </c>
      <c r="M68" s="261" t="s">
        <v>784</v>
      </c>
      <c r="N68" s="261" t="s">
        <v>784</v>
      </c>
      <c r="O68" s="261" t="s">
        <v>784</v>
      </c>
      <c r="P68" s="261" t="s">
        <v>784</v>
      </c>
      <c r="Q68" s="261" t="s">
        <v>784</v>
      </c>
      <c r="R68" s="256">
        <v>0</v>
      </c>
      <c r="S68" s="256">
        <v>0</v>
      </c>
      <c r="T68" s="256">
        <v>0</v>
      </c>
      <c r="U68" s="256">
        <v>0</v>
      </c>
      <c r="V68" s="256">
        <v>0</v>
      </c>
      <c r="W68" s="256">
        <v>0</v>
      </c>
      <c r="X68" s="256">
        <v>0</v>
      </c>
      <c r="Y68" s="256">
        <v>0</v>
      </c>
      <c r="Z68" s="256">
        <v>0</v>
      </c>
      <c r="AA68" s="256">
        <v>0</v>
      </c>
      <c r="AB68" s="256">
        <v>0</v>
      </c>
      <c r="AC68" s="256">
        <v>0</v>
      </c>
      <c r="AD68" s="256">
        <v>0</v>
      </c>
      <c r="AE68" s="256">
        <v>0</v>
      </c>
      <c r="AF68" s="256">
        <v>0</v>
      </c>
      <c r="AG68" s="256">
        <v>0</v>
      </c>
      <c r="AH68" s="256">
        <v>0</v>
      </c>
      <c r="AI68" s="256">
        <v>0</v>
      </c>
      <c r="AJ68" s="256">
        <v>0</v>
      </c>
      <c r="AK68" s="256">
        <v>0</v>
      </c>
      <c r="AL68" s="256">
        <v>0</v>
      </c>
      <c r="AM68" s="256">
        <v>1138023</v>
      </c>
      <c r="AN68" s="256">
        <v>919666</v>
      </c>
      <c r="AO68" s="256">
        <v>890901</v>
      </c>
      <c r="AP68" s="256">
        <v>452067</v>
      </c>
      <c r="AQ68" s="256">
        <v>476732</v>
      </c>
      <c r="AR68" s="256">
        <v>438896</v>
      </c>
      <c r="AS68" s="256">
        <v>399885</v>
      </c>
      <c r="AT68" s="256">
        <v>369836</v>
      </c>
      <c r="AU68" s="256">
        <v>413532</v>
      </c>
      <c r="AV68" s="256">
        <v>311153</v>
      </c>
      <c r="AW68" s="256">
        <v>439419</v>
      </c>
      <c r="AX68" s="256">
        <v>425867</v>
      </c>
      <c r="AY68" s="256">
        <v>862424</v>
      </c>
      <c r="AZ68" s="256">
        <v>928229</v>
      </c>
      <c r="BA68" s="256">
        <v>1079063</v>
      </c>
      <c r="BB68" s="256">
        <v>1470973</v>
      </c>
      <c r="BC68" s="256">
        <v>1529702</v>
      </c>
      <c r="BD68" s="256">
        <v>1714785</v>
      </c>
      <c r="BE68" s="256">
        <v>2013218</v>
      </c>
      <c r="BF68" s="256">
        <v>2044361</v>
      </c>
    </row>
    <row r="69" spans="1:58" x14ac:dyDescent="0.3">
      <c r="A69" s="260" t="s">
        <v>838</v>
      </c>
      <c r="B69" s="261" t="s">
        <v>784</v>
      </c>
      <c r="C69" s="261" t="s">
        <v>784</v>
      </c>
      <c r="D69" s="261" t="s">
        <v>784</v>
      </c>
      <c r="E69" s="261" t="s">
        <v>784</v>
      </c>
      <c r="F69" s="261" t="s">
        <v>784</v>
      </c>
      <c r="G69" s="261" t="s">
        <v>784</v>
      </c>
      <c r="H69" s="261" t="s">
        <v>784</v>
      </c>
      <c r="I69" s="261" t="s">
        <v>784</v>
      </c>
      <c r="J69" s="261" t="s">
        <v>784</v>
      </c>
      <c r="K69" s="261" t="s">
        <v>784</v>
      </c>
      <c r="L69" s="261" t="s">
        <v>784</v>
      </c>
      <c r="M69" s="261" t="s">
        <v>784</v>
      </c>
      <c r="N69" s="261" t="s">
        <v>784</v>
      </c>
      <c r="O69" s="261" t="s">
        <v>784</v>
      </c>
      <c r="P69" s="261" t="s">
        <v>784</v>
      </c>
      <c r="Q69" s="261" t="s">
        <v>784</v>
      </c>
      <c r="R69" s="256">
        <v>0</v>
      </c>
      <c r="S69" s="256">
        <v>0</v>
      </c>
      <c r="T69" s="256">
        <v>0</v>
      </c>
      <c r="U69" s="256">
        <v>0</v>
      </c>
      <c r="V69" s="256">
        <v>0</v>
      </c>
      <c r="W69" s="256">
        <v>0</v>
      </c>
      <c r="X69" s="256">
        <v>0</v>
      </c>
      <c r="Y69" s="256">
        <v>0</v>
      </c>
      <c r="Z69" s="256">
        <v>0</v>
      </c>
      <c r="AA69" s="256">
        <v>0</v>
      </c>
      <c r="AB69" s="256">
        <v>0</v>
      </c>
      <c r="AC69" s="256">
        <v>0</v>
      </c>
      <c r="AD69" s="256">
        <v>0</v>
      </c>
      <c r="AE69" s="256">
        <v>0</v>
      </c>
      <c r="AF69" s="256">
        <v>0</v>
      </c>
      <c r="AG69" s="256">
        <v>0</v>
      </c>
      <c r="AH69" s="256">
        <v>0</v>
      </c>
      <c r="AI69" s="256">
        <v>0</v>
      </c>
      <c r="AJ69" s="256">
        <v>3683</v>
      </c>
      <c r="AK69" s="256">
        <v>0</v>
      </c>
      <c r="AL69" s="256">
        <v>0</v>
      </c>
      <c r="AM69" s="256">
        <v>0</v>
      </c>
      <c r="AN69" s="256">
        <v>0</v>
      </c>
      <c r="AO69" s="256">
        <v>249360</v>
      </c>
      <c r="AP69" s="256">
        <v>361387</v>
      </c>
      <c r="AQ69" s="256">
        <v>1105794</v>
      </c>
      <c r="AR69" s="256">
        <v>326881</v>
      </c>
      <c r="AS69" s="256">
        <v>320031</v>
      </c>
      <c r="AT69" s="256">
        <v>384380</v>
      </c>
      <c r="AU69" s="256">
        <v>435552</v>
      </c>
      <c r="AV69" s="256">
        <v>622530</v>
      </c>
      <c r="AW69" s="256">
        <v>438163</v>
      </c>
      <c r="AX69" s="256">
        <v>501245</v>
      </c>
      <c r="AY69" s="256">
        <v>402199</v>
      </c>
      <c r="AZ69" s="256">
        <v>0</v>
      </c>
      <c r="BA69" s="256">
        <v>1415678</v>
      </c>
      <c r="BB69" s="256">
        <v>1336718</v>
      </c>
      <c r="BC69" s="256">
        <v>0</v>
      </c>
      <c r="BD69" s="256">
        <v>2901906</v>
      </c>
      <c r="BE69" s="256">
        <v>3527155</v>
      </c>
      <c r="BF69" s="256">
        <v>3789272</v>
      </c>
    </row>
    <row r="70" spans="1:58" x14ac:dyDescent="0.3">
      <c r="A70" s="257" t="s">
        <v>839</v>
      </c>
      <c r="B70" s="258" t="s">
        <v>784</v>
      </c>
      <c r="C70" s="258" t="s">
        <v>784</v>
      </c>
      <c r="D70" s="258" t="s">
        <v>784</v>
      </c>
      <c r="E70" s="258" t="s">
        <v>784</v>
      </c>
      <c r="F70" s="259">
        <v>173601</v>
      </c>
      <c r="G70" s="259">
        <v>251687</v>
      </c>
      <c r="H70" s="259">
        <v>1910990</v>
      </c>
      <c r="I70" s="259">
        <v>2088961</v>
      </c>
      <c r="J70" s="259">
        <v>2190842</v>
      </c>
      <c r="K70" s="259">
        <v>2323133</v>
      </c>
      <c r="L70" s="259">
        <v>2448457</v>
      </c>
      <c r="M70" s="259">
        <v>2534559</v>
      </c>
      <c r="N70" s="259">
        <v>2723411</v>
      </c>
      <c r="O70" s="259">
        <v>2837212</v>
      </c>
      <c r="P70" s="259">
        <v>2793132</v>
      </c>
      <c r="Q70" s="259">
        <v>2095530</v>
      </c>
      <c r="R70" s="259">
        <v>988315</v>
      </c>
      <c r="S70" s="259">
        <v>1200929</v>
      </c>
      <c r="T70" s="259">
        <v>1126125</v>
      </c>
      <c r="U70" s="259">
        <v>1143507</v>
      </c>
      <c r="V70" s="259">
        <v>176951</v>
      </c>
      <c r="W70" s="259">
        <v>239702</v>
      </c>
      <c r="X70" s="259">
        <v>213268</v>
      </c>
      <c r="Y70" s="259">
        <v>248889</v>
      </c>
      <c r="Z70" s="259">
        <v>161766</v>
      </c>
      <c r="AA70" s="259">
        <v>171789</v>
      </c>
      <c r="AB70" s="259">
        <v>188598</v>
      </c>
      <c r="AC70" s="259">
        <v>199804</v>
      </c>
      <c r="AD70" s="259">
        <v>182583</v>
      </c>
      <c r="AE70" s="259">
        <v>303854</v>
      </c>
      <c r="AF70" s="259">
        <v>292139</v>
      </c>
      <c r="AG70" s="259">
        <v>276548</v>
      </c>
      <c r="AH70" s="259">
        <v>260548</v>
      </c>
      <c r="AI70" s="259">
        <v>261239</v>
      </c>
      <c r="AJ70" s="259">
        <v>309432</v>
      </c>
      <c r="AK70" s="259">
        <v>346504</v>
      </c>
      <c r="AL70" s="259">
        <v>385943</v>
      </c>
      <c r="AM70" s="259">
        <v>1003370</v>
      </c>
      <c r="AN70" s="259">
        <v>756788</v>
      </c>
      <c r="AO70" s="259">
        <v>608776</v>
      </c>
      <c r="AP70" s="259">
        <v>689529</v>
      </c>
      <c r="AQ70" s="259">
        <v>809886</v>
      </c>
      <c r="AR70" s="259">
        <v>811048</v>
      </c>
      <c r="AS70" s="259">
        <v>1090455</v>
      </c>
      <c r="AT70" s="259">
        <v>956866</v>
      </c>
      <c r="AU70" s="259">
        <v>1127624</v>
      </c>
      <c r="AV70" s="259">
        <v>1016015</v>
      </c>
      <c r="AW70" s="259">
        <v>1788163</v>
      </c>
      <c r="AX70" s="259">
        <v>1742326</v>
      </c>
      <c r="AY70" s="259">
        <v>1471723</v>
      </c>
      <c r="AZ70" s="259">
        <v>3092047</v>
      </c>
      <c r="BA70" s="259">
        <v>3133222</v>
      </c>
      <c r="BB70" s="259">
        <v>2833955</v>
      </c>
      <c r="BC70" s="259">
        <v>12437080</v>
      </c>
      <c r="BD70" s="259">
        <v>12087324</v>
      </c>
      <c r="BE70" s="259">
        <v>12224017</v>
      </c>
      <c r="BF70" s="259">
        <v>10914878</v>
      </c>
    </row>
    <row r="71" spans="1:58" x14ac:dyDescent="0.3">
      <c r="A71" s="260" t="s">
        <v>840</v>
      </c>
      <c r="B71" s="261" t="s">
        <v>784</v>
      </c>
      <c r="C71" s="261" t="s">
        <v>784</v>
      </c>
      <c r="D71" s="261" t="s">
        <v>784</v>
      </c>
      <c r="E71" s="261" t="s">
        <v>784</v>
      </c>
      <c r="F71" s="256">
        <v>173601</v>
      </c>
      <c r="G71" s="261" t="s">
        <v>784</v>
      </c>
      <c r="H71" s="261" t="s">
        <v>784</v>
      </c>
      <c r="I71" s="261" t="s">
        <v>784</v>
      </c>
      <c r="J71" s="261" t="s">
        <v>784</v>
      </c>
      <c r="K71" s="261" t="s">
        <v>784</v>
      </c>
      <c r="L71" s="261" t="s">
        <v>784</v>
      </c>
      <c r="M71" s="261" t="s">
        <v>784</v>
      </c>
      <c r="N71" s="261" t="s">
        <v>784</v>
      </c>
      <c r="O71" s="261" t="s">
        <v>784</v>
      </c>
      <c r="P71" s="261" t="s">
        <v>784</v>
      </c>
      <c r="Q71" s="261" t="s">
        <v>784</v>
      </c>
      <c r="R71" s="256">
        <v>988315</v>
      </c>
      <c r="S71" s="256">
        <v>1200929</v>
      </c>
      <c r="T71" s="256">
        <v>1126125</v>
      </c>
      <c r="U71" s="256">
        <v>1143507</v>
      </c>
      <c r="V71" s="256">
        <v>176951</v>
      </c>
      <c r="W71" s="256">
        <v>239702</v>
      </c>
      <c r="X71" s="256">
        <v>213268</v>
      </c>
      <c r="Y71" s="256">
        <v>248889</v>
      </c>
      <c r="Z71" s="256">
        <v>161766</v>
      </c>
      <c r="AA71" s="256">
        <v>171789</v>
      </c>
      <c r="AB71" s="256">
        <v>188598</v>
      </c>
      <c r="AC71" s="256">
        <v>199804</v>
      </c>
      <c r="AD71" s="256">
        <v>182583</v>
      </c>
      <c r="AE71" s="256">
        <v>303854</v>
      </c>
      <c r="AF71" s="256">
        <v>292139</v>
      </c>
      <c r="AG71" s="256">
        <v>276548</v>
      </c>
      <c r="AH71" s="256">
        <v>260548</v>
      </c>
      <c r="AI71" s="256">
        <v>261239</v>
      </c>
      <c r="AJ71" s="256">
        <v>289655</v>
      </c>
      <c r="AK71" s="256">
        <v>326727</v>
      </c>
      <c r="AL71" s="256">
        <v>385943</v>
      </c>
      <c r="AM71" s="256">
        <v>1003370</v>
      </c>
      <c r="AN71" s="256">
        <v>756788</v>
      </c>
      <c r="AO71" s="256">
        <v>608776</v>
      </c>
      <c r="AP71" s="256">
        <v>689529</v>
      </c>
      <c r="AQ71" s="256">
        <v>809886</v>
      </c>
      <c r="AR71" s="256">
        <v>811048</v>
      </c>
      <c r="AS71" s="256">
        <v>1090455</v>
      </c>
      <c r="AT71" s="256">
        <v>956866</v>
      </c>
      <c r="AU71" s="256">
        <v>1127624</v>
      </c>
      <c r="AV71" s="256">
        <v>1016015</v>
      </c>
      <c r="AW71" s="256">
        <v>1788163</v>
      </c>
      <c r="AX71" s="256">
        <v>1742326</v>
      </c>
      <c r="AY71" s="256">
        <v>1471723</v>
      </c>
      <c r="AZ71" s="256">
        <v>3092047</v>
      </c>
      <c r="BA71" s="256">
        <v>3133222</v>
      </c>
      <c r="BB71" s="256">
        <v>2833955</v>
      </c>
      <c r="BC71" s="256">
        <v>12437080</v>
      </c>
      <c r="BD71" s="256">
        <v>12087324</v>
      </c>
      <c r="BE71" s="256">
        <v>12224017</v>
      </c>
      <c r="BF71" s="256">
        <v>10914878</v>
      </c>
    </row>
    <row r="72" spans="1:58" x14ac:dyDescent="0.3">
      <c r="A72" s="262" t="s">
        <v>841</v>
      </c>
      <c r="B72" s="253" t="s">
        <v>784</v>
      </c>
      <c r="C72" s="253" t="s">
        <v>784</v>
      </c>
      <c r="D72" s="253" t="s">
        <v>784</v>
      </c>
      <c r="E72" s="253" t="s">
        <v>784</v>
      </c>
      <c r="F72" s="253" t="s">
        <v>784</v>
      </c>
      <c r="G72" s="253" t="s">
        <v>784</v>
      </c>
      <c r="H72" s="253" t="s">
        <v>784</v>
      </c>
      <c r="I72" s="253" t="s">
        <v>784</v>
      </c>
      <c r="J72" s="253" t="s">
        <v>784</v>
      </c>
      <c r="K72" s="253" t="s">
        <v>784</v>
      </c>
      <c r="L72" s="253" t="s">
        <v>784</v>
      </c>
      <c r="M72" s="253" t="s">
        <v>784</v>
      </c>
      <c r="N72" s="253" t="s">
        <v>784</v>
      </c>
      <c r="O72" s="253" t="s">
        <v>784</v>
      </c>
      <c r="P72" s="253" t="s">
        <v>784</v>
      </c>
      <c r="Q72" s="253" t="s">
        <v>784</v>
      </c>
      <c r="R72" s="254">
        <v>988315</v>
      </c>
      <c r="S72" s="254">
        <v>1200929</v>
      </c>
      <c r="T72" s="254">
        <v>1126125</v>
      </c>
      <c r="U72" s="254">
        <v>1143507</v>
      </c>
      <c r="V72" s="254">
        <v>176951</v>
      </c>
      <c r="W72" s="254">
        <v>151803</v>
      </c>
      <c r="X72" s="254">
        <v>127054</v>
      </c>
      <c r="Y72" s="254">
        <v>109837</v>
      </c>
      <c r="Z72" s="254">
        <v>161766</v>
      </c>
      <c r="AA72" s="254">
        <v>171789</v>
      </c>
      <c r="AB72" s="254">
        <v>188598</v>
      </c>
      <c r="AC72" s="254">
        <v>199804</v>
      </c>
      <c r="AD72" s="254">
        <v>182583</v>
      </c>
      <c r="AE72" s="254">
        <v>303854</v>
      </c>
      <c r="AF72" s="254">
        <v>292139</v>
      </c>
      <c r="AG72" s="254">
        <v>276548</v>
      </c>
      <c r="AH72" s="254">
        <v>260548</v>
      </c>
      <c r="AI72" s="254">
        <v>261239</v>
      </c>
      <c r="AJ72" s="254">
        <v>289655</v>
      </c>
      <c r="AK72" s="254">
        <v>326727</v>
      </c>
      <c r="AL72" s="254">
        <v>385943</v>
      </c>
      <c r="AM72" s="254">
        <v>1003370</v>
      </c>
      <c r="AN72" s="254">
        <v>756788</v>
      </c>
      <c r="AO72" s="254">
        <v>608776</v>
      </c>
      <c r="AP72" s="254">
        <v>689529</v>
      </c>
      <c r="AQ72" s="254">
        <v>809612</v>
      </c>
      <c r="AR72" s="254">
        <v>811048</v>
      </c>
      <c r="AS72" s="254">
        <v>1067834</v>
      </c>
      <c r="AT72" s="254">
        <v>956866</v>
      </c>
      <c r="AU72" s="254">
        <v>1127624</v>
      </c>
      <c r="AV72" s="254">
        <v>1016015</v>
      </c>
      <c r="AW72" s="254">
        <v>1779130</v>
      </c>
      <c r="AX72" s="254">
        <v>1742326</v>
      </c>
      <c r="AY72" s="254">
        <v>1471723</v>
      </c>
      <c r="AZ72" s="254">
        <v>3092047</v>
      </c>
      <c r="BA72" s="254">
        <v>3133222</v>
      </c>
      <c r="BB72" s="254">
        <v>2833955</v>
      </c>
      <c r="BC72" s="254">
        <v>12437080</v>
      </c>
      <c r="BD72" s="254">
        <v>12087324</v>
      </c>
      <c r="BE72" s="254">
        <v>12224017</v>
      </c>
      <c r="BF72" s="254">
        <v>10914878</v>
      </c>
    </row>
    <row r="73" spans="1:58" x14ac:dyDescent="0.3">
      <c r="A73" s="262" t="s">
        <v>790</v>
      </c>
      <c r="B73" s="253" t="s">
        <v>784</v>
      </c>
      <c r="C73" s="253" t="s">
        <v>784</v>
      </c>
      <c r="D73" s="253" t="s">
        <v>784</v>
      </c>
      <c r="E73" s="253" t="s">
        <v>784</v>
      </c>
      <c r="F73" s="253" t="s">
        <v>784</v>
      </c>
      <c r="G73" s="253" t="s">
        <v>784</v>
      </c>
      <c r="H73" s="253" t="s">
        <v>784</v>
      </c>
      <c r="I73" s="253" t="s">
        <v>784</v>
      </c>
      <c r="J73" s="253" t="s">
        <v>784</v>
      </c>
      <c r="K73" s="253" t="s">
        <v>784</v>
      </c>
      <c r="L73" s="253" t="s">
        <v>784</v>
      </c>
      <c r="M73" s="253" t="s">
        <v>784</v>
      </c>
      <c r="N73" s="253" t="s">
        <v>784</v>
      </c>
      <c r="O73" s="253" t="s">
        <v>784</v>
      </c>
      <c r="P73" s="253" t="s">
        <v>784</v>
      </c>
      <c r="Q73" s="253" t="s">
        <v>784</v>
      </c>
      <c r="R73" s="254">
        <v>0</v>
      </c>
      <c r="S73" s="254">
        <v>0</v>
      </c>
      <c r="T73" s="254">
        <v>0</v>
      </c>
      <c r="U73" s="254">
        <v>0</v>
      </c>
      <c r="V73" s="254">
        <v>0</v>
      </c>
      <c r="W73" s="254">
        <v>87899</v>
      </c>
      <c r="X73" s="254">
        <v>86214</v>
      </c>
      <c r="Y73" s="254">
        <v>139052</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274</v>
      </c>
      <c r="AR73" s="254">
        <v>0</v>
      </c>
      <c r="AS73" s="254">
        <v>22621</v>
      </c>
      <c r="AT73" s="254">
        <v>0</v>
      </c>
      <c r="AU73" s="254">
        <v>0</v>
      </c>
      <c r="AV73" s="254">
        <v>0</v>
      </c>
      <c r="AW73" s="254">
        <v>9033</v>
      </c>
      <c r="AX73" s="254">
        <v>0</v>
      </c>
      <c r="AY73" s="254">
        <v>0</v>
      </c>
      <c r="AZ73" s="254">
        <v>0</v>
      </c>
      <c r="BA73" s="254">
        <v>0</v>
      </c>
      <c r="BB73" s="254">
        <v>0</v>
      </c>
      <c r="BC73" s="254">
        <v>0</v>
      </c>
      <c r="BD73" s="254">
        <v>0</v>
      </c>
      <c r="BE73" s="254">
        <v>0</v>
      </c>
      <c r="BF73" s="254">
        <v>0</v>
      </c>
    </row>
    <row r="74" spans="1:58" x14ac:dyDescent="0.3">
      <c r="A74" s="260" t="s">
        <v>842</v>
      </c>
      <c r="B74" s="261" t="s">
        <v>784</v>
      </c>
      <c r="C74" s="261" t="s">
        <v>784</v>
      </c>
      <c r="D74" s="261" t="s">
        <v>784</v>
      </c>
      <c r="E74" s="261" t="s">
        <v>784</v>
      </c>
      <c r="F74" s="256">
        <v>0</v>
      </c>
      <c r="G74" s="261" t="s">
        <v>784</v>
      </c>
      <c r="H74" s="261" t="s">
        <v>784</v>
      </c>
      <c r="I74" s="261" t="s">
        <v>784</v>
      </c>
      <c r="J74" s="261" t="s">
        <v>784</v>
      </c>
      <c r="K74" s="261" t="s">
        <v>784</v>
      </c>
      <c r="L74" s="261" t="s">
        <v>784</v>
      </c>
      <c r="M74" s="261" t="s">
        <v>784</v>
      </c>
      <c r="N74" s="261" t="s">
        <v>784</v>
      </c>
      <c r="O74" s="261" t="s">
        <v>784</v>
      </c>
      <c r="P74" s="261" t="s">
        <v>784</v>
      </c>
      <c r="Q74" s="261" t="s">
        <v>784</v>
      </c>
      <c r="R74" s="256">
        <v>0</v>
      </c>
      <c r="S74" s="256">
        <v>0</v>
      </c>
      <c r="T74" s="256">
        <v>0</v>
      </c>
      <c r="U74" s="256">
        <v>0</v>
      </c>
      <c r="V74" s="256">
        <v>0</v>
      </c>
      <c r="W74" s="256">
        <v>0</v>
      </c>
      <c r="X74" s="256">
        <v>0</v>
      </c>
      <c r="Y74" s="256">
        <v>0</v>
      </c>
      <c r="Z74" s="256">
        <v>0</v>
      </c>
      <c r="AA74" s="256">
        <v>0</v>
      </c>
      <c r="AB74" s="256">
        <v>0</v>
      </c>
      <c r="AC74" s="256">
        <v>0</v>
      </c>
      <c r="AD74" s="256">
        <v>0</v>
      </c>
      <c r="AE74" s="256">
        <v>0</v>
      </c>
      <c r="AF74" s="256">
        <v>0</v>
      </c>
      <c r="AG74" s="256">
        <v>0</v>
      </c>
      <c r="AH74" s="256">
        <v>0</v>
      </c>
      <c r="AI74" s="256">
        <v>0</v>
      </c>
      <c r="AJ74" s="256">
        <v>19777</v>
      </c>
      <c r="AK74" s="256">
        <v>19777</v>
      </c>
      <c r="AL74" s="256">
        <v>0</v>
      </c>
      <c r="AM74" s="256">
        <v>0</v>
      </c>
      <c r="AN74" s="256">
        <v>0</v>
      </c>
      <c r="AO74" s="256">
        <v>0</v>
      </c>
      <c r="AP74" s="256">
        <v>0</v>
      </c>
      <c r="AQ74" s="256">
        <v>0</v>
      </c>
      <c r="AR74" s="256">
        <v>0</v>
      </c>
      <c r="AS74" s="256">
        <v>0</v>
      </c>
      <c r="AT74" s="256">
        <v>0</v>
      </c>
      <c r="AU74" s="256">
        <v>0</v>
      </c>
      <c r="AV74" s="256">
        <v>0</v>
      </c>
      <c r="AW74" s="256">
        <v>0</v>
      </c>
      <c r="AX74" s="256">
        <v>0</v>
      </c>
      <c r="AY74" s="256">
        <v>0</v>
      </c>
      <c r="AZ74" s="256">
        <v>0</v>
      </c>
      <c r="BA74" s="256">
        <v>0</v>
      </c>
      <c r="BB74" s="256">
        <v>0</v>
      </c>
      <c r="BC74" s="256">
        <v>0</v>
      </c>
      <c r="BD74" s="256">
        <v>0</v>
      </c>
      <c r="BE74" s="256">
        <v>0</v>
      </c>
      <c r="BF74" s="256">
        <v>0</v>
      </c>
    </row>
    <row r="75" spans="1:58" x14ac:dyDescent="0.3">
      <c r="A75" s="252"/>
      <c r="B75" s="253"/>
      <c r="C75" s="253"/>
      <c r="D75" s="253"/>
      <c r="E75" s="253"/>
      <c r="F75" s="253"/>
      <c r="G75" s="253"/>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row>
    <row r="76" spans="1:58" x14ac:dyDescent="0.3">
      <c r="A76" s="252" t="s">
        <v>843</v>
      </c>
      <c r="B76" s="253" t="s">
        <v>5</v>
      </c>
      <c r="C76" s="253" t="s">
        <v>5</v>
      </c>
      <c r="D76" s="253" t="s">
        <v>5</v>
      </c>
      <c r="E76" s="253" t="s">
        <v>5</v>
      </c>
      <c r="F76" s="253" t="s">
        <v>5</v>
      </c>
      <c r="G76" s="253" t="s">
        <v>5</v>
      </c>
      <c r="H76" s="253" t="s">
        <v>5</v>
      </c>
      <c r="I76" s="253" t="s">
        <v>5</v>
      </c>
      <c r="J76" s="253" t="s">
        <v>5</v>
      </c>
      <c r="K76" s="253" t="s">
        <v>5</v>
      </c>
      <c r="L76" s="253" t="s">
        <v>5</v>
      </c>
      <c r="M76" s="253" t="s">
        <v>5</v>
      </c>
      <c r="N76" s="253" t="s">
        <v>5</v>
      </c>
      <c r="O76" s="253" t="s">
        <v>5</v>
      </c>
      <c r="P76" s="253" t="s">
        <v>5</v>
      </c>
      <c r="Q76" s="253" t="s">
        <v>5</v>
      </c>
      <c r="R76" s="253" t="s">
        <v>5</v>
      </c>
      <c r="S76" s="253" t="s">
        <v>5</v>
      </c>
      <c r="T76" s="253" t="s">
        <v>5</v>
      </c>
      <c r="U76" s="253" t="s">
        <v>5</v>
      </c>
      <c r="V76" s="253" t="s">
        <v>5</v>
      </c>
      <c r="W76" s="253" t="s">
        <v>5</v>
      </c>
      <c r="X76" s="253" t="s">
        <v>5</v>
      </c>
      <c r="Y76" s="253" t="s">
        <v>5</v>
      </c>
      <c r="Z76" s="253" t="s">
        <v>5</v>
      </c>
      <c r="AA76" s="253" t="s">
        <v>5</v>
      </c>
      <c r="AB76" s="253" t="s">
        <v>5</v>
      </c>
      <c r="AC76" s="253" t="s">
        <v>5</v>
      </c>
      <c r="AD76" s="253" t="s">
        <v>5</v>
      </c>
      <c r="AE76" s="253" t="s">
        <v>5</v>
      </c>
      <c r="AF76" s="253" t="s">
        <v>5</v>
      </c>
      <c r="AG76" s="253" t="s">
        <v>5</v>
      </c>
      <c r="AH76" s="253" t="s">
        <v>5</v>
      </c>
      <c r="AI76" s="253" t="s">
        <v>5</v>
      </c>
      <c r="AJ76" s="253" t="s">
        <v>5</v>
      </c>
      <c r="AK76" s="253" t="s">
        <v>5</v>
      </c>
      <c r="AL76" s="253" t="s">
        <v>5</v>
      </c>
      <c r="AM76" s="253" t="s">
        <v>5</v>
      </c>
      <c r="AN76" s="253" t="s">
        <v>5</v>
      </c>
      <c r="AO76" s="253" t="s">
        <v>5</v>
      </c>
      <c r="AP76" s="253" t="s">
        <v>5</v>
      </c>
      <c r="AQ76" s="253" t="s">
        <v>5</v>
      </c>
      <c r="AR76" s="253" t="s">
        <v>5</v>
      </c>
      <c r="AS76" s="253" t="s">
        <v>5</v>
      </c>
      <c r="AT76" s="253" t="s">
        <v>5</v>
      </c>
      <c r="AU76" s="253" t="s">
        <v>5</v>
      </c>
      <c r="AV76" s="253" t="s">
        <v>5</v>
      </c>
      <c r="AW76" s="253" t="s">
        <v>5</v>
      </c>
      <c r="AX76" s="253" t="s">
        <v>5</v>
      </c>
      <c r="AY76" s="253" t="s">
        <v>5</v>
      </c>
      <c r="AZ76" s="253" t="s">
        <v>5</v>
      </c>
      <c r="BA76" s="253" t="s">
        <v>5</v>
      </c>
      <c r="BB76" s="253" t="s">
        <v>5</v>
      </c>
      <c r="BC76" s="253" t="s">
        <v>5</v>
      </c>
      <c r="BD76" s="253" t="s">
        <v>5</v>
      </c>
      <c r="BE76" s="253" t="s">
        <v>5</v>
      </c>
      <c r="BF76" s="253" t="s">
        <v>5</v>
      </c>
    </row>
    <row r="77" spans="1:58" x14ac:dyDescent="0.3">
      <c r="A77" s="252" t="s">
        <v>844</v>
      </c>
      <c r="B77" s="254">
        <v>417861</v>
      </c>
      <c r="C77" s="254">
        <v>402826</v>
      </c>
      <c r="D77" s="254">
        <v>422430</v>
      </c>
      <c r="E77" s="254">
        <v>396183</v>
      </c>
      <c r="F77" s="254">
        <v>2695652</v>
      </c>
      <c r="G77" s="254">
        <v>2708775</v>
      </c>
      <c r="H77" s="254">
        <v>4379278</v>
      </c>
      <c r="I77" s="254">
        <v>4422095</v>
      </c>
      <c r="J77" s="254">
        <v>5390091</v>
      </c>
      <c r="K77" s="254">
        <v>5823076</v>
      </c>
      <c r="L77" s="254">
        <v>4366107</v>
      </c>
      <c r="M77" s="254">
        <v>4246531</v>
      </c>
      <c r="N77" s="254">
        <v>4256468</v>
      </c>
      <c r="O77" s="254">
        <v>4217434</v>
      </c>
      <c r="P77" s="254">
        <v>4179763</v>
      </c>
      <c r="Q77" s="254">
        <v>3171132</v>
      </c>
      <c r="R77" s="254">
        <v>1805279</v>
      </c>
      <c r="S77" s="254">
        <v>1942225</v>
      </c>
      <c r="T77" s="254">
        <v>1931284</v>
      </c>
      <c r="U77" s="254">
        <v>1981903</v>
      </c>
      <c r="V77" s="254">
        <v>1061138</v>
      </c>
      <c r="W77" s="254">
        <v>1133728</v>
      </c>
      <c r="X77" s="254">
        <v>1043268</v>
      </c>
      <c r="Y77" s="254">
        <v>1233805</v>
      </c>
      <c r="Z77" s="254">
        <v>1177037</v>
      </c>
      <c r="AA77" s="254">
        <v>1098993</v>
      </c>
      <c r="AB77" s="254">
        <v>998456</v>
      </c>
      <c r="AC77" s="254">
        <v>1087135</v>
      </c>
      <c r="AD77" s="254">
        <v>1082369</v>
      </c>
      <c r="AE77" s="254">
        <v>1400312</v>
      </c>
      <c r="AF77" s="254">
        <v>1379460</v>
      </c>
      <c r="AG77" s="254">
        <v>1377661</v>
      </c>
      <c r="AH77" s="254">
        <v>1251764</v>
      </c>
      <c r="AI77" s="254">
        <v>1228426</v>
      </c>
      <c r="AJ77" s="254">
        <v>1459604</v>
      </c>
      <c r="AK77" s="254">
        <v>1279999</v>
      </c>
      <c r="AL77" s="254">
        <v>1537063</v>
      </c>
      <c r="AM77" s="254">
        <v>4332603</v>
      </c>
      <c r="AN77" s="254">
        <v>4387144</v>
      </c>
      <c r="AO77" s="254">
        <v>4596221</v>
      </c>
      <c r="AP77" s="254">
        <v>5489751</v>
      </c>
      <c r="AQ77" s="254">
        <v>6984388</v>
      </c>
      <c r="AR77" s="254">
        <v>6660586</v>
      </c>
      <c r="AS77" s="254">
        <v>7055431</v>
      </c>
      <c r="AT77" s="254">
        <v>6792833</v>
      </c>
      <c r="AU77" s="254">
        <v>9341748</v>
      </c>
      <c r="AV77" s="254">
        <v>10504500</v>
      </c>
      <c r="AW77" s="254">
        <v>11445166</v>
      </c>
      <c r="AX77" s="254">
        <v>12221416</v>
      </c>
      <c r="AY77" s="254">
        <v>12862921</v>
      </c>
      <c r="AZ77" s="254">
        <v>16292271</v>
      </c>
      <c r="BA77" s="254">
        <v>19920152</v>
      </c>
      <c r="BB77" s="254">
        <v>20302520</v>
      </c>
      <c r="BC77" s="254">
        <v>25623115</v>
      </c>
      <c r="BD77" s="254">
        <v>25991952</v>
      </c>
      <c r="BE77" s="254">
        <v>28521683</v>
      </c>
      <c r="BF77" s="254">
        <v>28310932</v>
      </c>
    </row>
    <row r="78" spans="1:58" x14ac:dyDescent="0.3">
      <c r="A78" s="255" t="s">
        <v>845</v>
      </c>
      <c r="B78" s="256">
        <v>10995</v>
      </c>
      <c r="C78" s="256">
        <v>7262</v>
      </c>
      <c r="D78" s="256">
        <v>20110</v>
      </c>
      <c r="E78" s="256">
        <v>11689</v>
      </c>
      <c r="F78" s="256">
        <v>35195</v>
      </c>
      <c r="G78" s="256">
        <v>55725</v>
      </c>
      <c r="H78" s="256">
        <v>43197</v>
      </c>
      <c r="I78" s="256">
        <v>66323</v>
      </c>
      <c r="J78" s="256">
        <v>595510</v>
      </c>
      <c r="K78" s="256">
        <v>851816</v>
      </c>
      <c r="L78" s="256">
        <v>56635</v>
      </c>
      <c r="M78" s="256">
        <v>113571</v>
      </c>
      <c r="N78" s="256">
        <v>164006</v>
      </c>
      <c r="O78" s="256">
        <v>215770</v>
      </c>
      <c r="P78" s="256">
        <v>355847</v>
      </c>
      <c r="Q78" s="256">
        <v>379543</v>
      </c>
      <c r="R78" s="256">
        <v>223804</v>
      </c>
      <c r="S78" s="256">
        <v>224016</v>
      </c>
      <c r="T78" s="256">
        <v>248513</v>
      </c>
      <c r="U78" s="256">
        <v>231711</v>
      </c>
      <c r="V78" s="256">
        <v>168321</v>
      </c>
      <c r="W78" s="256">
        <v>200933</v>
      </c>
      <c r="X78" s="256">
        <v>124702</v>
      </c>
      <c r="Y78" s="256">
        <v>185703</v>
      </c>
      <c r="Z78" s="256">
        <v>85423</v>
      </c>
      <c r="AA78" s="256">
        <v>106178</v>
      </c>
      <c r="AB78" s="256">
        <v>74749</v>
      </c>
      <c r="AC78" s="256">
        <v>58346</v>
      </c>
      <c r="AD78" s="256">
        <v>79620</v>
      </c>
      <c r="AE78" s="256">
        <v>252578</v>
      </c>
      <c r="AF78" s="256">
        <v>261714</v>
      </c>
      <c r="AG78" s="256">
        <v>197824</v>
      </c>
      <c r="AH78" s="256">
        <v>216852</v>
      </c>
      <c r="AI78" s="256">
        <v>187516</v>
      </c>
      <c r="AJ78" s="256">
        <v>348923</v>
      </c>
      <c r="AK78" s="256">
        <v>167482</v>
      </c>
      <c r="AL78" s="256">
        <v>370986</v>
      </c>
      <c r="AM78" s="256">
        <v>922201</v>
      </c>
      <c r="AN78" s="256">
        <v>879977</v>
      </c>
      <c r="AO78" s="256">
        <v>1137572</v>
      </c>
      <c r="AP78" s="256">
        <v>1669783</v>
      </c>
      <c r="AQ78" s="256">
        <v>2322377</v>
      </c>
      <c r="AR78" s="256">
        <v>1907633</v>
      </c>
      <c r="AS78" s="256">
        <v>2050218</v>
      </c>
      <c r="AT78" s="256">
        <v>2149449</v>
      </c>
      <c r="AU78" s="256">
        <v>2354059</v>
      </c>
      <c r="AV78" s="256">
        <v>905094</v>
      </c>
      <c r="AW78" s="256">
        <v>1225154</v>
      </c>
      <c r="AX78" s="256">
        <v>1085997</v>
      </c>
      <c r="AY78" s="256">
        <v>904949</v>
      </c>
      <c r="AZ78" s="256">
        <v>972762</v>
      </c>
      <c r="BA78" s="256">
        <v>1422362</v>
      </c>
      <c r="BB78" s="256">
        <v>1387739</v>
      </c>
      <c r="BC78" s="256">
        <v>3177777</v>
      </c>
      <c r="BD78" s="256">
        <v>4067412</v>
      </c>
      <c r="BE78" s="256">
        <v>3857691</v>
      </c>
      <c r="BF78" s="256">
        <v>3463811</v>
      </c>
    </row>
    <row r="79" spans="1:58" x14ac:dyDescent="0.3">
      <c r="A79" s="257" t="s">
        <v>846</v>
      </c>
      <c r="B79" s="258" t="s">
        <v>784</v>
      </c>
      <c r="C79" s="258" t="s">
        <v>784</v>
      </c>
      <c r="D79" s="258" t="s">
        <v>784</v>
      </c>
      <c r="E79" s="258" t="s">
        <v>784</v>
      </c>
      <c r="F79" s="259">
        <v>3202</v>
      </c>
      <c r="G79" s="259">
        <v>5184</v>
      </c>
      <c r="H79" s="259">
        <v>7250</v>
      </c>
      <c r="I79" s="259">
        <v>10423</v>
      </c>
      <c r="J79" s="259">
        <v>9740</v>
      </c>
      <c r="K79" s="259">
        <v>5481</v>
      </c>
      <c r="L79" s="259">
        <v>10646</v>
      </c>
      <c r="M79" s="259">
        <v>11324</v>
      </c>
      <c r="N79" s="259">
        <v>20801</v>
      </c>
      <c r="O79" s="259">
        <v>14256</v>
      </c>
      <c r="P79" s="259">
        <v>22531</v>
      </c>
      <c r="Q79" s="259">
        <v>21591</v>
      </c>
      <c r="R79" s="259">
        <v>17669</v>
      </c>
      <c r="S79" s="259">
        <v>12451</v>
      </c>
      <c r="T79" s="259">
        <v>12539</v>
      </c>
      <c r="U79" s="259">
        <v>8909</v>
      </c>
      <c r="V79" s="259">
        <v>7439</v>
      </c>
      <c r="W79" s="259">
        <v>7231</v>
      </c>
      <c r="X79" s="259">
        <v>5918</v>
      </c>
      <c r="Y79" s="259">
        <v>5501</v>
      </c>
      <c r="Z79" s="259">
        <v>7373</v>
      </c>
      <c r="AA79" s="259">
        <v>7547</v>
      </c>
      <c r="AB79" s="259">
        <v>6239</v>
      </c>
      <c r="AC79" s="259">
        <v>5167</v>
      </c>
      <c r="AD79" s="259">
        <v>10151</v>
      </c>
      <c r="AE79" s="259">
        <v>6454</v>
      </c>
      <c r="AF79" s="259">
        <v>6429</v>
      </c>
      <c r="AG79" s="259">
        <v>3132</v>
      </c>
      <c r="AH79" s="259">
        <v>9979</v>
      </c>
      <c r="AI79" s="259">
        <v>7074</v>
      </c>
      <c r="AJ79" s="259">
        <v>7996</v>
      </c>
      <c r="AK79" s="259">
        <v>5192</v>
      </c>
      <c r="AL79" s="259">
        <v>14923</v>
      </c>
      <c r="AM79" s="259">
        <v>21691</v>
      </c>
      <c r="AN79" s="259">
        <v>32618</v>
      </c>
      <c r="AO79" s="259">
        <v>36108</v>
      </c>
      <c r="AP79" s="259">
        <v>39359</v>
      </c>
      <c r="AQ79" s="259">
        <v>40457</v>
      </c>
      <c r="AR79" s="259">
        <v>50663</v>
      </c>
      <c r="AS79" s="259">
        <v>58054</v>
      </c>
      <c r="AT79" s="259">
        <v>54857</v>
      </c>
      <c r="AU79" s="259">
        <v>41101</v>
      </c>
      <c r="AV79" s="259">
        <v>74923</v>
      </c>
      <c r="AW79" s="259">
        <v>105896</v>
      </c>
      <c r="AX79" s="259">
        <v>131475</v>
      </c>
      <c r="AY79" s="259">
        <v>111779</v>
      </c>
      <c r="AZ79" s="259">
        <v>127701</v>
      </c>
      <c r="BA79" s="259">
        <v>128626</v>
      </c>
      <c r="BB79" s="259">
        <v>138003</v>
      </c>
      <c r="BC79" s="259">
        <v>163959</v>
      </c>
      <c r="BD79" s="259">
        <v>180905</v>
      </c>
      <c r="BE79" s="259">
        <v>198965</v>
      </c>
      <c r="BF79" s="259">
        <v>266893</v>
      </c>
    </row>
    <row r="80" spans="1:58" x14ac:dyDescent="0.3">
      <c r="A80" s="260" t="s">
        <v>847</v>
      </c>
      <c r="B80" s="261" t="s">
        <v>784</v>
      </c>
      <c r="C80" s="261" t="s">
        <v>784</v>
      </c>
      <c r="D80" s="261" t="s">
        <v>784</v>
      </c>
      <c r="E80" s="261" t="s">
        <v>784</v>
      </c>
      <c r="F80" s="256">
        <v>0</v>
      </c>
      <c r="G80" s="261" t="s">
        <v>784</v>
      </c>
      <c r="H80" s="256">
        <v>0</v>
      </c>
      <c r="I80" s="261" t="s">
        <v>784</v>
      </c>
      <c r="J80" s="256">
        <v>0</v>
      </c>
      <c r="K80" s="256">
        <v>0</v>
      </c>
      <c r="L80" s="256">
        <v>0</v>
      </c>
      <c r="M80" s="256">
        <v>0</v>
      </c>
      <c r="N80" s="256">
        <v>0</v>
      </c>
      <c r="O80" s="261" t="s">
        <v>784</v>
      </c>
      <c r="P80" s="261" t="s">
        <v>784</v>
      </c>
      <c r="Q80" s="261" t="s">
        <v>784</v>
      </c>
      <c r="R80" s="256">
        <v>0</v>
      </c>
      <c r="S80" s="256">
        <v>0</v>
      </c>
      <c r="T80" s="256">
        <v>0</v>
      </c>
      <c r="U80" s="256">
        <v>0</v>
      </c>
      <c r="V80" s="256">
        <v>0</v>
      </c>
      <c r="W80" s="256">
        <v>0</v>
      </c>
      <c r="X80" s="256">
        <v>0</v>
      </c>
      <c r="Y80" s="256">
        <v>0</v>
      </c>
      <c r="Z80" s="256">
        <v>0</v>
      </c>
      <c r="AA80" s="256">
        <v>0</v>
      </c>
      <c r="AB80" s="256">
        <v>0</v>
      </c>
      <c r="AC80" s="256">
        <v>0</v>
      </c>
      <c r="AD80" s="256">
        <v>0</v>
      </c>
      <c r="AE80" s="256">
        <v>0</v>
      </c>
      <c r="AF80" s="256">
        <v>0</v>
      </c>
      <c r="AG80" s="256">
        <v>0</v>
      </c>
      <c r="AH80" s="256">
        <v>0</v>
      </c>
      <c r="AI80" s="256">
        <v>0</v>
      </c>
      <c r="AJ80" s="256">
        <v>0</v>
      </c>
      <c r="AK80" s="256">
        <v>0</v>
      </c>
      <c r="AL80" s="256">
        <v>0</v>
      </c>
      <c r="AM80" s="256">
        <v>0</v>
      </c>
      <c r="AN80" s="256">
        <v>0</v>
      </c>
      <c r="AO80" s="256">
        <v>0</v>
      </c>
      <c r="AP80" s="256">
        <v>0</v>
      </c>
      <c r="AQ80" s="256">
        <v>0</v>
      </c>
      <c r="AR80" s="256">
        <v>0</v>
      </c>
      <c r="AS80" s="256">
        <v>0</v>
      </c>
      <c r="AT80" s="256">
        <v>0</v>
      </c>
      <c r="AU80" s="256">
        <v>0</v>
      </c>
      <c r="AV80" s="256">
        <v>0</v>
      </c>
      <c r="AW80" s="256">
        <v>0</v>
      </c>
      <c r="AX80" s="256">
        <v>0</v>
      </c>
      <c r="AY80" s="256">
        <v>0</v>
      </c>
      <c r="AZ80" s="256">
        <v>0</v>
      </c>
      <c r="BA80" s="256">
        <v>0</v>
      </c>
      <c r="BB80" s="256">
        <v>0</v>
      </c>
      <c r="BC80" s="256">
        <v>0</v>
      </c>
      <c r="BD80" s="256">
        <v>0</v>
      </c>
      <c r="BE80" s="256">
        <v>0</v>
      </c>
      <c r="BF80" s="256">
        <v>0</v>
      </c>
    </row>
    <row r="81" spans="1:58" x14ac:dyDescent="0.3">
      <c r="A81" s="260" t="s">
        <v>848</v>
      </c>
      <c r="B81" s="261" t="s">
        <v>784</v>
      </c>
      <c r="C81" s="261" t="s">
        <v>784</v>
      </c>
      <c r="D81" s="261" t="s">
        <v>784</v>
      </c>
      <c r="E81" s="261" t="s">
        <v>784</v>
      </c>
      <c r="F81" s="256">
        <v>3202</v>
      </c>
      <c r="G81" s="261" t="s">
        <v>784</v>
      </c>
      <c r="H81" s="256">
        <v>7250</v>
      </c>
      <c r="I81" s="261" t="s">
        <v>784</v>
      </c>
      <c r="J81" s="256">
        <v>9740</v>
      </c>
      <c r="K81" s="256">
        <v>5481</v>
      </c>
      <c r="L81" s="256">
        <v>10646</v>
      </c>
      <c r="M81" s="256">
        <v>11324</v>
      </c>
      <c r="N81" s="256">
        <v>20801</v>
      </c>
      <c r="O81" s="261" t="s">
        <v>784</v>
      </c>
      <c r="P81" s="261" t="s">
        <v>784</v>
      </c>
      <c r="Q81" s="261" t="s">
        <v>784</v>
      </c>
      <c r="R81" s="256">
        <v>17669</v>
      </c>
      <c r="S81" s="256">
        <v>12451</v>
      </c>
      <c r="T81" s="256">
        <v>12539</v>
      </c>
      <c r="U81" s="256">
        <v>8909</v>
      </c>
      <c r="V81" s="256">
        <v>7439</v>
      </c>
      <c r="W81" s="256">
        <v>7231</v>
      </c>
      <c r="X81" s="256">
        <v>5918</v>
      </c>
      <c r="Y81" s="256">
        <v>5501</v>
      </c>
      <c r="Z81" s="256">
        <v>7373</v>
      </c>
      <c r="AA81" s="256">
        <v>7547</v>
      </c>
      <c r="AB81" s="256">
        <v>6239</v>
      </c>
      <c r="AC81" s="256">
        <v>5167</v>
      </c>
      <c r="AD81" s="256">
        <v>10151</v>
      </c>
      <c r="AE81" s="256">
        <v>6454</v>
      </c>
      <c r="AF81" s="256">
        <v>6429</v>
      </c>
      <c r="AG81" s="256">
        <v>3132</v>
      </c>
      <c r="AH81" s="256">
        <v>9979</v>
      </c>
      <c r="AI81" s="256">
        <v>7074</v>
      </c>
      <c r="AJ81" s="256">
        <v>7996</v>
      </c>
      <c r="AK81" s="256">
        <v>5192</v>
      </c>
      <c r="AL81" s="256">
        <v>14923</v>
      </c>
      <c r="AM81" s="256">
        <v>21691</v>
      </c>
      <c r="AN81" s="256">
        <v>32618</v>
      </c>
      <c r="AO81" s="256">
        <v>36108</v>
      </c>
      <c r="AP81" s="256">
        <v>39359</v>
      </c>
      <c r="AQ81" s="256">
        <v>40457</v>
      </c>
      <c r="AR81" s="256">
        <v>50663</v>
      </c>
      <c r="AS81" s="256">
        <v>58054</v>
      </c>
      <c r="AT81" s="256">
        <v>54857</v>
      </c>
      <c r="AU81" s="256">
        <v>41101</v>
      </c>
      <c r="AV81" s="256">
        <v>74923</v>
      </c>
      <c r="AW81" s="256">
        <v>105896</v>
      </c>
      <c r="AX81" s="256">
        <v>131475</v>
      </c>
      <c r="AY81" s="256">
        <v>111779</v>
      </c>
      <c r="AZ81" s="256">
        <v>127701</v>
      </c>
      <c r="BA81" s="256">
        <v>128626</v>
      </c>
      <c r="BB81" s="256">
        <v>138003</v>
      </c>
      <c r="BC81" s="256">
        <v>163959</v>
      </c>
      <c r="BD81" s="256">
        <v>180905</v>
      </c>
      <c r="BE81" s="256">
        <v>198965</v>
      </c>
      <c r="BF81" s="256">
        <v>266893</v>
      </c>
    </row>
    <row r="82" spans="1:58" x14ac:dyDescent="0.3">
      <c r="A82" s="257" t="s">
        <v>849</v>
      </c>
      <c r="B82" s="259">
        <v>156</v>
      </c>
      <c r="C82" s="259">
        <v>1159</v>
      </c>
      <c r="D82" s="259">
        <v>11285</v>
      </c>
      <c r="E82" s="259">
        <v>2593</v>
      </c>
      <c r="F82" s="259">
        <v>7876</v>
      </c>
      <c r="G82" s="259">
        <v>22303</v>
      </c>
      <c r="H82" s="259">
        <v>11477</v>
      </c>
      <c r="I82" s="259">
        <v>46206</v>
      </c>
      <c r="J82" s="259">
        <v>54342</v>
      </c>
      <c r="K82" s="259">
        <v>75447</v>
      </c>
      <c r="L82" s="259">
        <v>30285</v>
      </c>
      <c r="M82" s="259">
        <v>69906</v>
      </c>
      <c r="N82" s="259">
        <v>101487</v>
      </c>
      <c r="O82" s="259">
        <v>120715</v>
      </c>
      <c r="P82" s="259">
        <v>193143</v>
      </c>
      <c r="Q82" s="259">
        <v>196047</v>
      </c>
      <c r="R82" s="259">
        <v>63362</v>
      </c>
      <c r="S82" s="259">
        <v>175686</v>
      </c>
      <c r="T82" s="259">
        <v>105180</v>
      </c>
      <c r="U82" s="259">
        <v>109628</v>
      </c>
      <c r="V82" s="259">
        <v>63217</v>
      </c>
      <c r="W82" s="259">
        <v>68683</v>
      </c>
      <c r="X82" s="259">
        <v>40210</v>
      </c>
      <c r="Y82" s="259">
        <v>63789</v>
      </c>
      <c r="Z82" s="259">
        <v>52469</v>
      </c>
      <c r="AA82" s="259">
        <v>72292</v>
      </c>
      <c r="AB82" s="259">
        <v>49348</v>
      </c>
      <c r="AC82" s="259">
        <v>32836</v>
      </c>
      <c r="AD82" s="259">
        <v>50176</v>
      </c>
      <c r="AE82" s="259">
        <v>51068</v>
      </c>
      <c r="AF82" s="259">
        <v>53993</v>
      </c>
      <c r="AG82" s="259">
        <v>64368</v>
      </c>
      <c r="AH82" s="259">
        <v>70536</v>
      </c>
      <c r="AI82" s="259">
        <v>72888</v>
      </c>
      <c r="AJ82" s="259">
        <v>91620</v>
      </c>
      <c r="AK82" s="259">
        <v>92833</v>
      </c>
      <c r="AL82" s="259">
        <v>73258</v>
      </c>
      <c r="AM82" s="259">
        <v>127426</v>
      </c>
      <c r="AN82" s="259">
        <v>126570</v>
      </c>
      <c r="AO82" s="259">
        <v>129731</v>
      </c>
      <c r="AP82" s="259">
        <v>87232</v>
      </c>
      <c r="AQ82" s="259">
        <v>110976</v>
      </c>
      <c r="AR82" s="259">
        <v>139859</v>
      </c>
      <c r="AS82" s="259">
        <v>281408</v>
      </c>
      <c r="AT82" s="259">
        <v>236889</v>
      </c>
      <c r="AU82" s="259">
        <v>119524</v>
      </c>
      <c r="AV82" s="259">
        <v>152400</v>
      </c>
      <c r="AW82" s="259">
        <v>204816</v>
      </c>
      <c r="AX82" s="259">
        <v>292204</v>
      </c>
      <c r="AY82" s="259">
        <v>262789</v>
      </c>
      <c r="AZ82" s="259">
        <v>316734</v>
      </c>
      <c r="BA82" s="259">
        <v>334084</v>
      </c>
      <c r="BB82" s="259">
        <v>565926</v>
      </c>
      <c r="BC82" s="259">
        <v>605633</v>
      </c>
      <c r="BD82" s="259">
        <v>757359</v>
      </c>
      <c r="BE82" s="259">
        <v>638038</v>
      </c>
      <c r="BF82" s="259">
        <v>834778</v>
      </c>
    </row>
    <row r="83" spans="1:58" x14ac:dyDescent="0.3">
      <c r="A83" s="260" t="s">
        <v>850</v>
      </c>
      <c r="B83" s="261" t="s">
        <v>784</v>
      </c>
      <c r="C83" s="261" t="s">
        <v>784</v>
      </c>
      <c r="D83" s="261" t="s">
        <v>784</v>
      </c>
      <c r="E83" s="261" t="s">
        <v>784</v>
      </c>
      <c r="F83" s="256">
        <v>7876</v>
      </c>
      <c r="G83" s="261" t="s">
        <v>784</v>
      </c>
      <c r="H83" s="261" t="s">
        <v>784</v>
      </c>
      <c r="I83" s="261" t="s">
        <v>784</v>
      </c>
      <c r="J83" s="261" t="s">
        <v>784</v>
      </c>
      <c r="K83" s="261" t="s">
        <v>784</v>
      </c>
      <c r="L83" s="261" t="s">
        <v>784</v>
      </c>
      <c r="M83" s="261" t="s">
        <v>784</v>
      </c>
      <c r="N83" s="261" t="s">
        <v>784</v>
      </c>
      <c r="O83" s="261" t="s">
        <v>784</v>
      </c>
      <c r="P83" s="261" t="s">
        <v>784</v>
      </c>
      <c r="Q83" s="261" t="s">
        <v>784</v>
      </c>
      <c r="R83" s="256">
        <v>60287</v>
      </c>
      <c r="S83" s="256">
        <v>118767</v>
      </c>
      <c r="T83" s="256">
        <v>83082</v>
      </c>
      <c r="U83" s="256">
        <v>90626</v>
      </c>
      <c r="V83" s="256">
        <v>45221</v>
      </c>
      <c r="W83" s="256">
        <v>44387</v>
      </c>
      <c r="X83" s="256">
        <v>26098</v>
      </c>
      <c r="Y83" s="256">
        <v>37693</v>
      </c>
      <c r="Z83" s="256">
        <v>28846</v>
      </c>
      <c r="AA83" s="256">
        <v>37695</v>
      </c>
      <c r="AB83" s="256">
        <v>29731</v>
      </c>
      <c r="AC83" s="256">
        <v>20377</v>
      </c>
      <c r="AD83" s="256">
        <v>23269</v>
      </c>
      <c r="AE83" s="256">
        <v>24138</v>
      </c>
      <c r="AF83" s="256">
        <v>26919</v>
      </c>
      <c r="AG83" s="256">
        <v>31760</v>
      </c>
      <c r="AH83" s="256">
        <v>37306</v>
      </c>
      <c r="AI83" s="256">
        <v>29372</v>
      </c>
      <c r="AJ83" s="256">
        <v>50175</v>
      </c>
      <c r="AK83" s="256">
        <v>45566</v>
      </c>
      <c r="AL83" s="256">
        <v>42221</v>
      </c>
      <c r="AM83" s="256">
        <v>69299</v>
      </c>
      <c r="AN83" s="256">
        <v>72489</v>
      </c>
      <c r="AO83" s="256">
        <v>79056</v>
      </c>
      <c r="AP83" s="256">
        <v>66732</v>
      </c>
      <c r="AQ83" s="256">
        <v>75045</v>
      </c>
      <c r="AR83" s="256">
        <v>116242</v>
      </c>
      <c r="AS83" s="256">
        <v>160981</v>
      </c>
      <c r="AT83" s="256">
        <v>170285</v>
      </c>
      <c r="AU83" s="256">
        <v>77212</v>
      </c>
      <c r="AV83" s="256">
        <v>128704</v>
      </c>
      <c r="AW83" s="256">
        <v>70261</v>
      </c>
      <c r="AX83" s="256">
        <v>30012</v>
      </c>
      <c r="AY83" s="256">
        <v>81700</v>
      </c>
      <c r="AZ83" s="256">
        <v>141066</v>
      </c>
      <c r="BA83" s="256">
        <v>131800</v>
      </c>
      <c r="BB83" s="256">
        <v>266902</v>
      </c>
      <c r="BC83" s="256">
        <v>290999</v>
      </c>
      <c r="BD83" s="256">
        <v>561330</v>
      </c>
      <c r="BE83" s="256">
        <v>445553</v>
      </c>
      <c r="BF83" s="256">
        <v>678426</v>
      </c>
    </row>
    <row r="84" spans="1:58" x14ac:dyDescent="0.3">
      <c r="A84" s="260" t="s">
        <v>851</v>
      </c>
      <c r="B84" s="261" t="s">
        <v>784</v>
      </c>
      <c r="C84" s="261" t="s">
        <v>784</v>
      </c>
      <c r="D84" s="261" t="s">
        <v>784</v>
      </c>
      <c r="E84" s="261" t="s">
        <v>784</v>
      </c>
      <c r="F84" s="256">
        <v>0</v>
      </c>
      <c r="G84" s="261" t="s">
        <v>784</v>
      </c>
      <c r="H84" s="261" t="s">
        <v>784</v>
      </c>
      <c r="I84" s="261" t="s">
        <v>784</v>
      </c>
      <c r="J84" s="261" t="s">
        <v>784</v>
      </c>
      <c r="K84" s="261" t="s">
        <v>784</v>
      </c>
      <c r="L84" s="261" t="s">
        <v>784</v>
      </c>
      <c r="M84" s="261" t="s">
        <v>784</v>
      </c>
      <c r="N84" s="261" t="s">
        <v>784</v>
      </c>
      <c r="O84" s="261" t="s">
        <v>784</v>
      </c>
      <c r="P84" s="261" t="s">
        <v>784</v>
      </c>
      <c r="Q84" s="261" t="s">
        <v>784</v>
      </c>
      <c r="R84" s="256">
        <v>3075</v>
      </c>
      <c r="S84" s="256">
        <v>56919</v>
      </c>
      <c r="T84" s="256">
        <v>22098</v>
      </c>
      <c r="U84" s="256">
        <v>19002</v>
      </c>
      <c r="V84" s="256">
        <v>17996</v>
      </c>
      <c r="W84" s="256">
        <v>24296</v>
      </c>
      <c r="X84" s="256">
        <v>14112</v>
      </c>
      <c r="Y84" s="256">
        <v>26096</v>
      </c>
      <c r="Z84" s="256">
        <v>23623</v>
      </c>
      <c r="AA84" s="256">
        <v>34597</v>
      </c>
      <c r="AB84" s="256">
        <v>19617</v>
      </c>
      <c r="AC84" s="256">
        <v>12459</v>
      </c>
      <c r="AD84" s="256">
        <v>26907</v>
      </c>
      <c r="AE84" s="256">
        <v>26930</v>
      </c>
      <c r="AF84" s="256">
        <v>27074</v>
      </c>
      <c r="AG84" s="256">
        <v>32608</v>
      </c>
      <c r="AH84" s="256">
        <v>33230</v>
      </c>
      <c r="AI84" s="256">
        <v>43516</v>
      </c>
      <c r="AJ84" s="256">
        <v>41445</v>
      </c>
      <c r="AK84" s="256">
        <v>47267</v>
      </c>
      <c r="AL84" s="256">
        <v>31037</v>
      </c>
      <c r="AM84" s="256">
        <v>58127</v>
      </c>
      <c r="AN84" s="256">
        <v>54081</v>
      </c>
      <c r="AO84" s="256">
        <v>50675</v>
      </c>
      <c r="AP84" s="256">
        <v>20500</v>
      </c>
      <c r="AQ84" s="256">
        <v>35931</v>
      </c>
      <c r="AR84" s="256">
        <v>23617</v>
      </c>
      <c r="AS84" s="256">
        <v>120427</v>
      </c>
      <c r="AT84" s="256">
        <v>66604</v>
      </c>
      <c r="AU84" s="256">
        <v>42312</v>
      </c>
      <c r="AV84" s="256">
        <v>23696</v>
      </c>
      <c r="AW84" s="256">
        <v>134555</v>
      </c>
      <c r="AX84" s="256">
        <v>262192</v>
      </c>
      <c r="AY84" s="256">
        <v>181089</v>
      </c>
      <c r="AZ84" s="256">
        <v>175668</v>
      </c>
      <c r="BA84" s="256">
        <v>202284</v>
      </c>
      <c r="BB84" s="256">
        <v>299024</v>
      </c>
      <c r="BC84" s="256">
        <v>314634</v>
      </c>
      <c r="BD84" s="256">
        <v>196029</v>
      </c>
      <c r="BE84" s="256">
        <v>192485</v>
      </c>
      <c r="BF84" s="256">
        <v>156352</v>
      </c>
    </row>
    <row r="85" spans="1:58" x14ac:dyDescent="0.3">
      <c r="A85" s="257" t="s">
        <v>852</v>
      </c>
      <c r="B85" s="258" t="s">
        <v>784</v>
      </c>
      <c r="C85" s="258" t="s">
        <v>784</v>
      </c>
      <c r="D85" s="258" t="s">
        <v>784</v>
      </c>
      <c r="E85" s="258" t="s">
        <v>784</v>
      </c>
      <c r="F85" s="259">
        <v>3698</v>
      </c>
      <c r="G85" s="259">
        <v>6579</v>
      </c>
      <c r="H85" s="259">
        <v>9785</v>
      </c>
      <c r="I85" s="259">
        <v>9236</v>
      </c>
      <c r="J85" s="259">
        <v>14223</v>
      </c>
      <c r="K85" s="259">
        <v>56734</v>
      </c>
      <c r="L85" s="259">
        <v>14198</v>
      </c>
      <c r="M85" s="259">
        <v>31707</v>
      </c>
      <c r="N85" s="259">
        <v>35559</v>
      </c>
      <c r="O85" s="259">
        <v>20734</v>
      </c>
      <c r="P85" s="259">
        <v>27988</v>
      </c>
      <c r="Q85" s="259">
        <v>21056</v>
      </c>
      <c r="R85" s="259">
        <v>26366</v>
      </c>
      <c r="S85" s="259">
        <v>32238</v>
      </c>
      <c r="T85" s="259">
        <v>29258</v>
      </c>
      <c r="U85" s="259">
        <v>30688</v>
      </c>
      <c r="V85" s="259">
        <v>17016</v>
      </c>
      <c r="W85" s="259">
        <v>20417</v>
      </c>
      <c r="X85" s="259">
        <v>8623</v>
      </c>
      <c r="Y85" s="259">
        <v>14774</v>
      </c>
      <c r="Z85" s="259">
        <v>13082</v>
      </c>
      <c r="AA85" s="259">
        <v>13690</v>
      </c>
      <c r="AB85" s="259">
        <v>10995</v>
      </c>
      <c r="AC85" s="259">
        <v>10041</v>
      </c>
      <c r="AD85" s="259">
        <v>13494</v>
      </c>
      <c r="AE85" s="259">
        <v>21559</v>
      </c>
      <c r="AF85" s="259">
        <v>24683</v>
      </c>
      <c r="AG85" s="259">
        <v>17124</v>
      </c>
      <c r="AH85" s="259">
        <v>20076</v>
      </c>
      <c r="AI85" s="259">
        <v>24418</v>
      </c>
      <c r="AJ85" s="259">
        <v>32505</v>
      </c>
      <c r="AK85" s="259">
        <v>50460</v>
      </c>
      <c r="AL85" s="259">
        <v>37010</v>
      </c>
      <c r="AM85" s="259">
        <v>43161</v>
      </c>
      <c r="AN85" s="259">
        <v>85097</v>
      </c>
      <c r="AO85" s="259">
        <v>56861</v>
      </c>
      <c r="AP85" s="259">
        <v>83441</v>
      </c>
      <c r="AQ85" s="259">
        <v>56691</v>
      </c>
      <c r="AR85" s="259">
        <v>48114</v>
      </c>
      <c r="AS85" s="259">
        <v>73112</v>
      </c>
      <c r="AT85" s="259">
        <v>87741</v>
      </c>
      <c r="AU85" s="259">
        <v>120602</v>
      </c>
      <c r="AV85" s="259">
        <v>96411</v>
      </c>
      <c r="AW85" s="259">
        <v>126361</v>
      </c>
      <c r="AX85" s="259">
        <v>183678</v>
      </c>
      <c r="AY85" s="259">
        <v>182392</v>
      </c>
      <c r="AZ85" s="259">
        <v>298646</v>
      </c>
      <c r="BA85" s="259">
        <v>337433</v>
      </c>
      <c r="BB85" s="259">
        <v>158712</v>
      </c>
      <c r="BC85" s="259">
        <v>320602</v>
      </c>
      <c r="BD85" s="259">
        <v>433332</v>
      </c>
      <c r="BE85" s="259">
        <v>504261</v>
      </c>
      <c r="BF85" s="259">
        <v>593007</v>
      </c>
    </row>
    <row r="86" spans="1:58" x14ac:dyDescent="0.3">
      <c r="A86" s="260" t="s">
        <v>853</v>
      </c>
      <c r="B86" s="261" t="s">
        <v>784</v>
      </c>
      <c r="C86" s="261" t="s">
        <v>784</v>
      </c>
      <c r="D86" s="261" t="s">
        <v>784</v>
      </c>
      <c r="E86" s="261" t="s">
        <v>784</v>
      </c>
      <c r="F86" s="256">
        <v>3534</v>
      </c>
      <c r="G86" s="256">
        <v>6341</v>
      </c>
      <c r="H86" s="256">
        <v>8678</v>
      </c>
      <c r="I86" s="256">
        <v>8067</v>
      </c>
      <c r="J86" s="256">
        <v>13673</v>
      </c>
      <c r="K86" s="256">
        <v>55464</v>
      </c>
      <c r="L86" s="256">
        <v>13366</v>
      </c>
      <c r="M86" s="261" t="s">
        <v>784</v>
      </c>
      <c r="N86" s="256">
        <v>35559</v>
      </c>
      <c r="O86" s="261" t="s">
        <v>784</v>
      </c>
      <c r="P86" s="261" t="s">
        <v>784</v>
      </c>
      <c r="Q86" s="261" t="s">
        <v>784</v>
      </c>
      <c r="R86" s="256">
        <v>26366</v>
      </c>
      <c r="S86" s="256">
        <v>32238</v>
      </c>
      <c r="T86" s="256">
        <v>29258</v>
      </c>
      <c r="U86" s="256">
        <v>30688</v>
      </c>
      <c r="V86" s="256">
        <v>17016</v>
      </c>
      <c r="W86" s="256">
        <v>20417</v>
      </c>
      <c r="X86" s="256">
        <v>8623</v>
      </c>
      <c r="Y86" s="256">
        <v>14774</v>
      </c>
      <c r="Z86" s="256">
        <v>13082</v>
      </c>
      <c r="AA86" s="256">
        <v>13690</v>
      </c>
      <c r="AB86" s="256">
        <v>10995</v>
      </c>
      <c r="AC86" s="256">
        <v>10041</v>
      </c>
      <c r="AD86" s="256">
        <v>13494</v>
      </c>
      <c r="AE86" s="256">
        <v>21559</v>
      </c>
      <c r="AF86" s="256">
        <v>24683</v>
      </c>
      <c r="AG86" s="256">
        <v>17124</v>
      </c>
      <c r="AH86" s="256">
        <v>20076</v>
      </c>
      <c r="AI86" s="256">
        <v>24418</v>
      </c>
      <c r="AJ86" s="256">
        <v>31203</v>
      </c>
      <c r="AK86" s="256">
        <v>44811</v>
      </c>
      <c r="AL86" s="256">
        <v>37010</v>
      </c>
      <c r="AM86" s="256">
        <v>43161</v>
      </c>
      <c r="AN86" s="256">
        <v>85097</v>
      </c>
      <c r="AO86" s="256">
        <v>56861</v>
      </c>
      <c r="AP86" s="256">
        <v>83441</v>
      </c>
      <c r="AQ86" s="256">
        <v>56691</v>
      </c>
      <c r="AR86" s="256">
        <v>48114</v>
      </c>
      <c r="AS86" s="256">
        <v>73112</v>
      </c>
      <c r="AT86" s="256">
        <v>87741</v>
      </c>
      <c r="AU86" s="256">
        <v>120602</v>
      </c>
      <c r="AV86" s="256">
        <v>95314</v>
      </c>
      <c r="AW86" s="256">
        <v>125073</v>
      </c>
      <c r="AX86" s="256">
        <v>183678</v>
      </c>
      <c r="AY86" s="256">
        <v>182392</v>
      </c>
      <c r="AZ86" s="256">
        <v>298646</v>
      </c>
      <c r="BA86" s="256">
        <v>337433</v>
      </c>
      <c r="BB86" s="256">
        <v>158712</v>
      </c>
      <c r="BC86" s="256">
        <v>320602</v>
      </c>
      <c r="BD86" s="256">
        <v>433332</v>
      </c>
      <c r="BE86" s="256">
        <v>504261</v>
      </c>
      <c r="BF86" s="256">
        <v>593007</v>
      </c>
    </row>
    <row r="87" spans="1:58" x14ac:dyDescent="0.3">
      <c r="A87" s="262" t="s">
        <v>854</v>
      </c>
      <c r="B87" s="253" t="s">
        <v>784</v>
      </c>
      <c r="C87" s="253" t="s">
        <v>784</v>
      </c>
      <c r="D87" s="253" t="s">
        <v>784</v>
      </c>
      <c r="E87" s="253" t="s">
        <v>784</v>
      </c>
      <c r="F87" s="254">
        <v>1093</v>
      </c>
      <c r="G87" s="254">
        <v>1919</v>
      </c>
      <c r="H87" s="254">
        <v>2743</v>
      </c>
      <c r="I87" s="254">
        <v>1229</v>
      </c>
      <c r="J87" s="254">
        <v>555</v>
      </c>
      <c r="K87" s="254">
        <v>26430</v>
      </c>
      <c r="L87" s="254">
        <v>0</v>
      </c>
      <c r="M87" s="253" t="s">
        <v>784</v>
      </c>
      <c r="N87" s="254">
        <v>311</v>
      </c>
      <c r="O87" s="253" t="s">
        <v>784</v>
      </c>
      <c r="P87" s="253" t="s">
        <v>784</v>
      </c>
      <c r="Q87" s="253" t="s">
        <v>784</v>
      </c>
      <c r="R87" s="254">
        <v>65</v>
      </c>
      <c r="S87" s="254">
        <v>1602</v>
      </c>
      <c r="T87" s="254">
        <v>0</v>
      </c>
      <c r="U87" s="254">
        <v>3672</v>
      </c>
      <c r="V87" s="254">
        <v>8498</v>
      </c>
      <c r="W87" s="254">
        <v>9422</v>
      </c>
      <c r="X87" s="254">
        <v>0</v>
      </c>
      <c r="Y87" s="254">
        <v>0</v>
      </c>
      <c r="Z87" s="254">
        <v>0</v>
      </c>
      <c r="AA87" s="254">
        <v>0</v>
      </c>
      <c r="AB87" s="254">
        <v>0</v>
      </c>
      <c r="AC87" s="254">
        <v>0</v>
      </c>
      <c r="AD87" s="254">
        <v>0</v>
      </c>
      <c r="AE87" s="254">
        <v>21559</v>
      </c>
      <c r="AF87" s="254">
        <v>24683</v>
      </c>
      <c r="AG87" s="254">
        <v>17124</v>
      </c>
      <c r="AH87" s="254">
        <v>0</v>
      </c>
      <c r="AI87" s="254">
        <v>0</v>
      </c>
      <c r="AJ87" s="254">
        <v>14645</v>
      </c>
      <c r="AK87" s="254">
        <v>29784</v>
      </c>
      <c r="AL87" s="254">
        <v>18307</v>
      </c>
      <c r="AM87" s="254">
        <v>23874</v>
      </c>
      <c r="AN87" s="254">
        <v>56849</v>
      </c>
      <c r="AO87" s="254">
        <v>28728</v>
      </c>
      <c r="AP87" s="254">
        <v>52232</v>
      </c>
      <c r="AQ87" s="254">
        <v>19234</v>
      </c>
      <c r="AR87" s="254">
        <v>22044</v>
      </c>
      <c r="AS87" s="254">
        <v>31890</v>
      </c>
      <c r="AT87" s="254">
        <v>52729</v>
      </c>
      <c r="AU87" s="254">
        <v>85407</v>
      </c>
      <c r="AV87" s="254">
        <v>58718</v>
      </c>
      <c r="AW87" s="254">
        <v>88349</v>
      </c>
      <c r="AX87" s="254">
        <v>126322</v>
      </c>
      <c r="AY87" s="254">
        <v>123114</v>
      </c>
      <c r="AZ87" s="254">
        <v>198719</v>
      </c>
      <c r="BA87" s="254">
        <v>257714</v>
      </c>
      <c r="BB87" s="254">
        <v>86979</v>
      </c>
      <c r="BC87" s="254">
        <v>117092</v>
      </c>
      <c r="BD87" s="254">
        <v>107654</v>
      </c>
      <c r="BE87" s="254">
        <v>193027</v>
      </c>
      <c r="BF87" s="254">
        <v>335726</v>
      </c>
    </row>
    <row r="88" spans="1:58" x14ac:dyDescent="0.3">
      <c r="A88" s="262" t="s">
        <v>790</v>
      </c>
      <c r="B88" s="253" t="s">
        <v>784</v>
      </c>
      <c r="C88" s="253" t="s">
        <v>784</v>
      </c>
      <c r="D88" s="253" t="s">
        <v>784</v>
      </c>
      <c r="E88" s="253" t="s">
        <v>784</v>
      </c>
      <c r="F88" s="254">
        <v>2441</v>
      </c>
      <c r="G88" s="254">
        <v>4422</v>
      </c>
      <c r="H88" s="254">
        <v>5935</v>
      </c>
      <c r="I88" s="254">
        <v>6838</v>
      </c>
      <c r="J88" s="254">
        <v>13118</v>
      </c>
      <c r="K88" s="254">
        <v>29034</v>
      </c>
      <c r="L88" s="254">
        <v>13366</v>
      </c>
      <c r="M88" s="253" t="s">
        <v>784</v>
      </c>
      <c r="N88" s="254">
        <v>35248</v>
      </c>
      <c r="O88" s="253" t="s">
        <v>784</v>
      </c>
      <c r="P88" s="253" t="s">
        <v>784</v>
      </c>
      <c r="Q88" s="253" t="s">
        <v>784</v>
      </c>
      <c r="R88" s="254">
        <v>26301</v>
      </c>
      <c r="S88" s="254">
        <v>30636</v>
      </c>
      <c r="T88" s="254">
        <v>29258</v>
      </c>
      <c r="U88" s="254">
        <v>27016</v>
      </c>
      <c r="V88" s="254">
        <v>8518</v>
      </c>
      <c r="W88" s="254">
        <v>10995</v>
      </c>
      <c r="X88" s="254">
        <v>8623</v>
      </c>
      <c r="Y88" s="254">
        <v>14774</v>
      </c>
      <c r="Z88" s="254">
        <v>13082</v>
      </c>
      <c r="AA88" s="254">
        <v>13690</v>
      </c>
      <c r="AB88" s="254">
        <v>10995</v>
      </c>
      <c r="AC88" s="254">
        <v>10041</v>
      </c>
      <c r="AD88" s="254">
        <v>13494</v>
      </c>
      <c r="AE88" s="254">
        <v>0</v>
      </c>
      <c r="AF88" s="254">
        <v>0</v>
      </c>
      <c r="AG88" s="254">
        <v>0</v>
      </c>
      <c r="AH88" s="254">
        <v>20076</v>
      </c>
      <c r="AI88" s="254">
        <v>24418</v>
      </c>
      <c r="AJ88" s="254">
        <v>16558</v>
      </c>
      <c r="AK88" s="254">
        <v>15027</v>
      </c>
      <c r="AL88" s="254">
        <v>18703</v>
      </c>
      <c r="AM88" s="254">
        <v>19287</v>
      </c>
      <c r="AN88" s="254">
        <v>28248</v>
      </c>
      <c r="AO88" s="254">
        <v>28133</v>
      </c>
      <c r="AP88" s="254">
        <v>31209</v>
      </c>
      <c r="AQ88" s="254">
        <v>37457</v>
      </c>
      <c r="AR88" s="254">
        <v>26070</v>
      </c>
      <c r="AS88" s="254">
        <v>41222</v>
      </c>
      <c r="AT88" s="254">
        <v>35012</v>
      </c>
      <c r="AU88" s="254">
        <v>35195</v>
      </c>
      <c r="AV88" s="254">
        <v>36596</v>
      </c>
      <c r="AW88" s="254">
        <v>36724</v>
      </c>
      <c r="AX88" s="254">
        <v>57356</v>
      </c>
      <c r="AY88" s="254">
        <v>59278</v>
      </c>
      <c r="AZ88" s="254">
        <v>99927</v>
      </c>
      <c r="BA88" s="254">
        <v>79719</v>
      </c>
      <c r="BB88" s="254">
        <v>71733</v>
      </c>
      <c r="BC88" s="254">
        <v>203510</v>
      </c>
      <c r="BD88" s="254">
        <v>325678</v>
      </c>
      <c r="BE88" s="254">
        <v>311234</v>
      </c>
      <c r="BF88" s="254">
        <v>257281</v>
      </c>
    </row>
    <row r="89" spans="1:58" x14ac:dyDescent="0.3">
      <c r="A89" s="260" t="s">
        <v>855</v>
      </c>
      <c r="B89" s="261" t="s">
        <v>784</v>
      </c>
      <c r="C89" s="261" t="s">
        <v>784</v>
      </c>
      <c r="D89" s="261" t="s">
        <v>784</v>
      </c>
      <c r="E89" s="261" t="s">
        <v>784</v>
      </c>
      <c r="F89" s="256">
        <v>0</v>
      </c>
      <c r="G89" s="256">
        <v>0</v>
      </c>
      <c r="H89" s="256">
        <v>0</v>
      </c>
      <c r="I89" s="256">
        <v>0</v>
      </c>
      <c r="J89" s="256">
        <v>0</v>
      </c>
      <c r="K89" s="256">
        <v>0</v>
      </c>
      <c r="L89" s="256">
        <v>0</v>
      </c>
      <c r="M89" s="261" t="s">
        <v>784</v>
      </c>
      <c r="N89" s="256">
        <v>0</v>
      </c>
      <c r="O89" s="261" t="s">
        <v>784</v>
      </c>
      <c r="P89" s="261" t="s">
        <v>784</v>
      </c>
      <c r="Q89" s="261" t="s">
        <v>784</v>
      </c>
      <c r="R89" s="256">
        <v>0</v>
      </c>
      <c r="S89" s="256">
        <v>0</v>
      </c>
      <c r="T89" s="256">
        <v>0</v>
      </c>
      <c r="U89" s="256">
        <v>0</v>
      </c>
      <c r="V89" s="256">
        <v>0</v>
      </c>
      <c r="W89" s="256">
        <v>0</v>
      </c>
      <c r="X89" s="256">
        <v>0</v>
      </c>
      <c r="Y89" s="256">
        <v>0</v>
      </c>
      <c r="Z89" s="256">
        <v>0</v>
      </c>
      <c r="AA89" s="256">
        <v>0</v>
      </c>
      <c r="AB89" s="256">
        <v>0</v>
      </c>
      <c r="AC89" s="256">
        <v>0</v>
      </c>
      <c r="AD89" s="256">
        <v>0</v>
      </c>
      <c r="AE89" s="256">
        <v>0</v>
      </c>
      <c r="AF89" s="256">
        <v>0</v>
      </c>
      <c r="AG89" s="256">
        <v>0</v>
      </c>
      <c r="AH89" s="256">
        <v>0</v>
      </c>
      <c r="AI89" s="256">
        <v>0</v>
      </c>
      <c r="AJ89" s="256">
        <v>1133</v>
      </c>
      <c r="AK89" s="256">
        <v>1190</v>
      </c>
      <c r="AL89" s="256">
        <v>0</v>
      </c>
      <c r="AM89" s="256">
        <v>0</v>
      </c>
      <c r="AN89" s="256">
        <v>0</v>
      </c>
      <c r="AO89" s="256">
        <v>0</v>
      </c>
      <c r="AP89" s="256">
        <v>0</v>
      </c>
      <c r="AQ89" s="256">
        <v>0</v>
      </c>
      <c r="AR89" s="256">
        <v>0</v>
      </c>
      <c r="AS89" s="256">
        <v>0</v>
      </c>
      <c r="AT89" s="256">
        <v>0</v>
      </c>
      <c r="AU89" s="256">
        <v>0</v>
      </c>
      <c r="AV89" s="256">
        <v>1097</v>
      </c>
      <c r="AW89" s="256">
        <v>1288</v>
      </c>
      <c r="AX89" s="256">
        <v>0</v>
      </c>
      <c r="AY89" s="256">
        <v>0</v>
      </c>
      <c r="AZ89" s="256">
        <v>0</v>
      </c>
      <c r="BA89" s="256">
        <v>0</v>
      </c>
      <c r="BB89" s="256">
        <v>0</v>
      </c>
      <c r="BC89" s="256">
        <v>0</v>
      </c>
      <c r="BD89" s="256">
        <v>0</v>
      </c>
      <c r="BE89" s="256">
        <v>0</v>
      </c>
      <c r="BF89" s="256">
        <v>0</v>
      </c>
    </row>
    <row r="90" spans="1:58" x14ac:dyDescent="0.3">
      <c r="A90" s="260" t="s">
        <v>856</v>
      </c>
      <c r="B90" s="261" t="s">
        <v>784</v>
      </c>
      <c r="C90" s="261" t="s">
        <v>784</v>
      </c>
      <c r="D90" s="261" t="s">
        <v>784</v>
      </c>
      <c r="E90" s="261" t="s">
        <v>784</v>
      </c>
      <c r="F90" s="256">
        <v>164</v>
      </c>
      <c r="G90" s="256">
        <v>238</v>
      </c>
      <c r="H90" s="256">
        <v>1107</v>
      </c>
      <c r="I90" s="256">
        <v>1169</v>
      </c>
      <c r="J90" s="256">
        <v>550</v>
      </c>
      <c r="K90" s="256">
        <v>1270</v>
      </c>
      <c r="L90" s="256">
        <v>832</v>
      </c>
      <c r="M90" s="261" t="s">
        <v>784</v>
      </c>
      <c r="N90" s="256">
        <v>0</v>
      </c>
      <c r="O90" s="261" t="s">
        <v>784</v>
      </c>
      <c r="P90" s="261" t="s">
        <v>784</v>
      </c>
      <c r="Q90" s="261" t="s">
        <v>784</v>
      </c>
      <c r="R90" s="256">
        <v>0</v>
      </c>
      <c r="S90" s="256">
        <v>0</v>
      </c>
      <c r="T90" s="256">
        <v>0</v>
      </c>
      <c r="U90" s="256">
        <v>0</v>
      </c>
      <c r="V90" s="256">
        <v>0</v>
      </c>
      <c r="W90" s="256">
        <v>0</v>
      </c>
      <c r="X90" s="256">
        <v>0</v>
      </c>
      <c r="Y90" s="256">
        <v>0</v>
      </c>
      <c r="Z90" s="256">
        <v>0</v>
      </c>
      <c r="AA90" s="256">
        <v>0</v>
      </c>
      <c r="AB90" s="256">
        <v>0</v>
      </c>
      <c r="AC90" s="256">
        <v>0</v>
      </c>
      <c r="AD90" s="256">
        <v>0</v>
      </c>
      <c r="AE90" s="256">
        <v>0</v>
      </c>
      <c r="AF90" s="256">
        <v>0</v>
      </c>
      <c r="AG90" s="256">
        <v>0</v>
      </c>
      <c r="AH90" s="256">
        <v>0</v>
      </c>
      <c r="AI90" s="256">
        <v>0</v>
      </c>
      <c r="AJ90" s="256">
        <v>169</v>
      </c>
      <c r="AK90" s="256">
        <v>4459</v>
      </c>
      <c r="AL90" s="256">
        <v>0</v>
      </c>
      <c r="AM90" s="256">
        <v>0</v>
      </c>
      <c r="AN90" s="256">
        <v>0</v>
      </c>
      <c r="AO90" s="256">
        <v>0</v>
      </c>
      <c r="AP90" s="256">
        <v>0</v>
      </c>
      <c r="AQ90" s="256">
        <v>0</v>
      </c>
      <c r="AR90" s="256">
        <v>0</v>
      </c>
      <c r="AS90" s="256">
        <v>0</v>
      </c>
      <c r="AT90" s="256">
        <v>0</v>
      </c>
      <c r="AU90" s="256">
        <v>0</v>
      </c>
      <c r="AV90" s="256">
        <v>0</v>
      </c>
      <c r="AW90" s="256">
        <v>0</v>
      </c>
      <c r="AX90" s="256">
        <v>0</v>
      </c>
      <c r="AY90" s="256">
        <v>0</v>
      </c>
      <c r="AZ90" s="256">
        <v>0</v>
      </c>
      <c r="BA90" s="256">
        <v>0</v>
      </c>
      <c r="BB90" s="256">
        <v>0</v>
      </c>
      <c r="BC90" s="256">
        <v>0</v>
      </c>
      <c r="BD90" s="256">
        <v>0</v>
      </c>
      <c r="BE90" s="256">
        <v>0</v>
      </c>
      <c r="BF90" s="256">
        <v>0</v>
      </c>
    </row>
    <row r="91" spans="1:58" x14ac:dyDescent="0.3">
      <c r="A91" s="257" t="s">
        <v>857</v>
      </c>
      <c r="B91" s="259">
        <v>0</v>
      </c>
      <c r="C91" s="259">
        <v>0</v>
      </c>
      <c r="D91" s="259">
        <v>0</v>
      </c>
      <c r="E91" s="259">
        <v>0</v>
      </c>
      <c r="F91" s="259">
        <v>350</v>
      </c>
      <c r="G91" s="259">
        <v>0</v>
      </c>
      <c r="H91" s="259">
        <v>0</v>
      </c>
      <c r="I91" s="259">
        <v>0</v>
      </c>
      <c r="J91" s="259">
        <v>0</v>
      </c>
      <c r="K91" s="259">
        <v>630</v>
      </c>
      <c r="L91" s="259">
        <v>630</v>
      </c>
      <c r="M91" s="259">
        <v>76</v>
      </c>
      <c r="N91" s="259">
        <v>1974</v>
      </c>
      <c r="O91" s="259">
        <v>1344</v>
      </c>
      <c r="P91" s="259">
        <v>86884</v>
      </c>
      <c r="Q91" s="259">
        <v>108632</v>
      </c>
      <c r="R91" s="259">
        <v>70380</v>
      </c>
      <c r="S91" s="259">
        <v>0</v>
      </c>
      <c r="T91" s="259">
        <v>0</v>
      </c>
      <c r="U91" s="259">
        <v>0</v>
      </c>
      <c r="V91" s="259">
        <v>0</v>
      </c>
      <c r="W91" s="259">
        <v>2550</v>
      </c>
      <c r="X91" s="259">
        <v>1727</v>
      </c>
      <c r="Y91" s="259">
        <v>4466</v>
      </c>
      <c r="Z91" s="259">
        <v>664</v>
      </c>
      <c r="AA91" s="259">
        <v>1604</v>
      </c>
      <c r="AB91" s="259">
        <v>706</v>
      </c>
      <c r="AC91" s="259">
        <v>1706</v>
      </c>
      <c r="AD91" s="259">
        <v>688</v>
      </c>
      <c r="AE91" s="259">
        <v>166145</v>
      </c>
      <c r="AF91" s="259">
        <v>165606</v>
      </c>
      <c r="AG91" s="259">
        <v>92763</v>
      </c>
      <c r="AH91" s="259">
        <v>96632</v>
      </c>
      <c r="AI91" s="259">
        <v>76242</v>
      </c>
      <c r="AJ91" s="259">
        <v>199484</v>
      </c>
      <c r="AK91" s="259">
        <v>771</v>
      </c>
      <c r="AL91" s="259">
        <v>222743</v>
      </c>
      <c r="AM91" s="259">
        <v>507290</v>
      </c>
      <c r="AN91" s="259">
        <v>607362</v>
      </c>
      <c r="AO91" s="259">
        <v>888864</v>
      </c>
      <c r="AP91" s="259">
        <v>1447355</v>
      </c>
      <c r="AQ91" s="259">
        <v>2114234</v>
      </c>
      <c r="AR91" s="259">
        <v>1668978</v>
      </c>
      <c r="AS91" s="259">
        <v>1637624</v>
      </c>
      <c r="AT91" s="259">
        <v>1772611</v>
      </c>
      <c r="AU91" s="259">
        <v>2072370</v>
      </c>
      <c r="AV91" s="259">
        <v>583414</v>
      </c>
      <c r="AW91" s="259">
        <v>342176</v>
      </c>
      <c r="AX91" s="259">
        <v>106458</v>
      </c>
      <c r="AY91" s="259">
        <v>169716</v>
      </c>
      <c r="AZ91" s="259">
        <v>175854</v>
      </c>
      <c r="BA91" s="259">
        <v>622219</v>
      </c>
      <c r="BB91" s="259">
        <v>498319</v>
      </c>
      <c r="BC91" s="259">
        <v>1799874</v>
      </c>
      <c r="BD91" s="259">
        <v>2422574</v>
      </c>
      <c r="BE91" s="259">
        <v>2193787</v>
      </c>
      <c r="BF91" s="259">
        <v>1476564</v>
      </c>
    </row>
    <row r="92" spans="1:58" x14ac:dyDescent="0.3">
      <c r="A92" s="260" t="s">
        <v>858</v>
      </c>
      <c r="B92" s="256">
        <v>0</v>
      </c>
      <c r="C92" s="256">
        <v>0</v>
      </c>
      <c r="D92" s="256">
        <v>0</v>
      </c>
      <c r="E92" s="256">
        <v>0</v>
      </c>
      <c r="F92" s="256">
        <v>350</v>
      </c>
      <c r="G92" s="256">
        <v>0</v>
      </c>
      <c r="H92" s="256">
        <v>0</v>
      </c>
      <c r="I92" s="256">
        <v>0</v>
      </c>
      <c r="J92" s="256">
        <v>0</v>
      </c>
      <c r="K92" s="261" t="s">
        <v>784</v>
      </c>
      <c r="L92" s="261" t="s">
        <v>784</v>
      </c>
      <c r="M92" s="261" t="s">
        <v>784</v>
      </c>
      <c r="N92" s="261" t="s">
        <v>784</v>
      </c>
      <c r="O92" s="261" t="s">
        <v>784</v>
      </c>
      <c r="P92" s="261" t="s">
        <v>784</v>
      </c>
      <c r="Q92" s="261" t="s">
        <v>784</v>
      </c>
      <c r="R92" s="256">
        <v>70380</v>
      </c>
      <c r="S92" s="256">
        <v>0</v>
      </c>
      <c r="T92" s="256">
        <v>0</v>
      </c>
      <c r="U92" s="256">
        <v>0</v>
      </c>
      <c r="V92" s="256">
        <v>0</v>
      </c>
      <c r="W92" s="256">
        <v>0</v>
      </c>
      <c r="X92" s="256">
        <v>0</v>
      </c>
      <c r="Y92" s="256">
        <v>0</v>
      </c>
      <c r="Z92" s="256">
        <v>0</v>
      </c>
      <c r="AA92" s="256">
        <v>0</v>
      </c>
      <c r="AB92" s="256">
        <v>0</v>
      </c>
      <c r="AC92" s="256">
        <v>0</v>
      </c>
      <c r="AD92" s="256">
        <v>0</v>
      </c>
      <c r="AE92" s="256">
        <v>123855</v>
      </c>
      <c r="AF92" s="256">
        <v>124328</v>
      </c>
      <c r="AG92" s="256">
        <v>71272</v>
      </c>
      <c r="AH92" s="256">
        <v>75011</v>
      </c>
      <c r="AI92" s="256">
        <v>75437</v>
      </c>
      <c r="AJ92" s="256">
        <v>199166</v>
      </c>
      <c r="AK92" s="256">
        <v>0</v>
      </c>
      <c r="AL92" s="256">
        <v>222437</v>
      </c>
      <c r="AM92" s="256">
        <v>482523</v>
      </c>
      <c r="AN92" s="256">
        <v>566985</v>
      </c>
      <c r="AO92" s="256">
        <v>848109</v>
      </c>
      <c r="AP92" s="256">
        <v>1224306</v>
      </c>
      <c r="AQ92" s="256">
        <v>1821008</v>
      </c>
      <c r="AR92" s="256">
        <v>1373731</v>
      </c>
      <c r="AS92" s="256">
        <v>1355327</v>
      </c>
      <c r="AT92" s="256">
        <v>1519966</v>
      </c>
      <c r="AU92" s="256">
        <v>1882524</v>
      </c>
      <c r="AV92" s="256">
        <v>467184</v>
      </c>
      <c r="AW92" s="256">
        <v>200006</v>
      </c>
      <c r="AX92" s="256">
        <v>553</v>
      </c>
      <c r="AY92" s="256">
        <v>46928</v>
      </c>
      <c r="AZ92" s="256">
        <v>25111</v>
      </c>
      <c r="BA92" s="256">
        <v>451208</v>
      </c>
      <c r="BB92" s="256">
        <v>393258</v>
      </c>
      <c r="BC92" s="256">
        <v>1654333</v>
      </c>
      <c r="BD92" s="256">
        <v>2206310</v>
      </c>
      <c r="BE92" s="256">
        <v>1978629</v>
      </c>
      <c r="BF92" s="256">
        <v>1212632</v>
      </c>
    </row>
    <row r="93" spans="1:58" x14ac:dyDescent="0.3">
      <c r="A93" s="262" t="s">
        <v>859</v>
      </c>
      <c r="B93" s="253" t="s">
        <v>784</v>
      </c>
      <c r="C93" s="254">
        <v>0</v>
      </c>
      <c r="D93" s="254">
        <v>0</v>
      </c>
      <c r="E93" s="254">
        <v>0</v>
      </c>
      <c r="F93" s="254">
        <v>350</v>
      </c>
      <c r="G93" s="254">
        <v>0</v>
      </c>
      <c r="H93" s="254">
        <v>0</v>
      </c>
      <c r="I93" s="254">
        <v>0</v>
      </c>
      <c r="J93" s="254">
        <v>0</v>
      </c>
      <c r="K93" s="253" t="s">
        <v>784</v>
      </c>
      <c r="L93" s="253" t="s">
        <v>784</v>
      </c>
      <c r="M93" s="253" t="s">
        <v>784</v>
      </c>
      <c r="N93" s="253" t="s">
        <v>784</v>
      </c>
      <c r="O93" s="253" t="s">
        <v>784</v>
      </c>
      <c r="P93" s="253" t="s">
        <v>784</v>
      </c>
      <c r="Q93" s="253" t="s">
        <v>784</v>
      </c>
      <c r="R93" s="254">
        <v>70380</v>
      </c>
      <c r="S93" s="254">
        <v>0</v>
      </c>
      <c r="T93" s="254">
        <v>0</v>
      </c>
      <c r="U93" s="254">
        <v>0</v>
      </c>
      <c r="V93" s="254">
        <v>0</v>
      </c>
      <c r="W93" s="254">
        <v>0</v>
      </c>
      <c r="X93" s="254">
        <v>0</v>
      </c>
      <c r="Y93" s="254">
        <v>0</v>
      </c>
      <c r="Z93" s="254">
        <v>0</v>
      </c>
      <c r="AA93" s="254">
        <v>0</v>
      </c>
      <c r="AB93" s="254">
        <v>0</v>
      </c>
      <c r="AC93" s="254">
        <v>0</v>
      </c>
      <c r="AD93" s="254">
        <v>0</v>
      </c>
      <c r="AE93" s="254">
        <v>123855</v>
      </c>
      <c r="AF93" s="254">
        <v>124328</v>
      </c>
      <c r="AG93" s="254">
        <v>71272</v>
      </c>
      <c r="AH93" s="253" t="s">
        <v>784</v>
      </c>
      <c r="AI93" s="253" t="s">
        <v>784</v>
      </c>
      <c r="AJ93" s="254">
        <v>0</v>
      </c>
      <c r="AK93" s="254">
        <v>0</v>
      </c>
      <c r="AL93" s="254">
        <v>49</v>
      </c>
      <c r="AM93" s="254">
        <v>109</v>
      </c>
      <c r="AN93" s="254">
        <v>123529</v>
      </c>
      <c r="AO93" s="254">
        <v>145</v>
      </c>
      <c r="AP93" s="254">
        <v>109</v>
      </c>
      <c r="AQ93" s="254">
        <v>133</v>
      </c>
      <c r="AR93" s="254">
        <v>124</v>
      </c>
      <c r="AS93" s="254">
        <v>0</v>
      </c>
      <c r="AT93" s="254">
        <v>57738</v>
      </c>
      <c r="AU93" s="254">
        <v>57918</v>
      </c>
      <c r="AV93" s="254">
        <v>0</v>
      </c>
      <c r="AW93" s="254">
        <v>0</v>
      </c>
      <c r="AX93" s="254">
        <v>0</v>
      </c>
      <c r="AY93" s="254">
        <v>0</v>
      </c>
      <c r="AZ93" s="254">
        <v>0</v>
      </c>
      <c r="BA93" s="254">
        <v>0</v>
      </c>
      <c r="BB93" s="254">
        <v>0</v>
      </c>
      <c r="BC93" s="254">
        <v>0</v>
      </c>
      <c r="BD93" s="254">
        <v>0</v>
      </c>
      <c r="BE93" s="254">
        <v>0</v>
      </c>
      <c r="BF93" s="254">
        <v>0</v>
      </c>
    </row>
    <row r="94" spans="1:58" x14ac:dyDescent="0.3">
      <c r="A94" s="262" t="s">
        <v>860</v>
      </c>
      <c r="B94" s="253" t="s">
        <v>784</v>
      </c>
      <c r="C94" s="254">
        <v>0</v>
      </c>
      <c r="D94" s="254">
        <v>0</v>
      </c>
      <c r="E94" s="254">
        <v>0</v>
      </c>
      <c r="F94" s="254">
        <v>0</v>
      </c>
      <c r="G94" s="254">
        <v>0</v>
      </c>
      <c r="H94" s="254">
        <v>0</v>
      </c>
      <c r="I94" s="254">
        <v>0</v>
      </c>
      <c r="J94" s="254">
        <v>0</v>
      </c>
      <c r="K94" s="253" t="s">
        <v>784</v>
      </c>
      <c r="L94" s="253" t="s">
        <v>784</v>
      </c>
      <c r="M94" s="253" t="s">
        <v>784</v>
      </c>
      <c r="N94" s="253" t="s">
        <v>784</v>
      </c>
      <c r="O94" s="253" t="s">
        <v>784</v>
      </c>
      <c r="P94" s="253" t="s">
        <v>784</v>
      </c>
      <c r="Q94" s="253" t="s">
        <v>784</v>
      </c>
      <c r="R94" s="254">
        <v>0</v>
      </c>
      <c r="S94" s="254">
        <v>0</v>
      </c>
      <c r="T94" s="254">
        <v>0</v>
      </c>
      <c r="U94" s="254">
        <v>0</v>
      </c>
      <c r="V94" s="254">
        <v>0</v>
      </c>
      <c r="W94" s="254">
        <v>0</v>
      </c>
      <c r="X94" s="254">
        <v>0</v>
      </c>
      <c r="Y94" s="254">
        <v>0</v>
      </c>
      <c r="Z94" s="254">
        <v>0</v>
      </c>
      <c r="AA94" s="254">
        <v>0</v>
      </c>
      <c r="AB94" s="254">
        <v>0</v>
      </c>
      <c r="AC94" s="254">
        <v>0</v>
      </c>
      <c r="AD94" s="254">
        <v>0</v>
      </c>
      <c r="AE94" s="254">
        <v>0</v>
      </c>
      <c r="AF94" s="254">
        <v>0</v>
      </c>
      <c r="AG94" s="254">
        <v>0</v>
      </c>
      <c r="AH94" s="253" t="s">
        <v>784</v>
      </c>
      <c r="AI94" s="253" t="s">
        <v>784</v>
      </c>
      <c r="AJ94" s="254">
        <v>199166</v>
      </c>
      <c r="AK94" s="254">
        <v>0</v>
      </c>
      <c r="AL94" s="254">
        <v>222388</v>
      </c>
      <c r="AM94" s="254">
        <v>482414</v>
      </c>
      <c r="AN94" s="254">
        <v>443456</v>
      </c>
      <c r="AO94" s="254">
        <v>847964</v>
      </c>
      <c r="AP94" s="254">
        <v>1224197</v>
      </c>
      <c r="AQ94" s="254">
        <v>1820875</v>
      </c>
      <c r="AR94" s="254">
        <v>1373607</v>
      </c>
      <c r="AS94" s="254">
        <v>1355327</v>
      </c>
      <c r="AT94" s="254">
        <v>1462228</v>
      </c>
      <c r="AU94" s="254">
        <v>1824606</v>
      </c>
      <c r="AV94" s="254">
        <v>467184</v>
      </c>
      <c r="AW94" s="254">
        <v>200006</v>
      </c>
      <c r="AX94" s="254">
        <v>553</v>
      </c>
      <c r="AY94" s="254">
        <v>46928</v>
      </c>
      <c r="AZ94" s="254">
        <v>25111</v>
      </c>
      <c r="BA94" s="254">
        <v>451208</v>
      </c>
      <c r="BB94" s="254">
        <v>393258</v>
      </c>
      <c r="BC94" s="254">
        <v>1654333</v>
      </c>
      <c r="BD94" s="254">
        <v>2206310</v>
      </c>
      <c r="BE94" s="254">
        <v>1978629</v>
      </c>
      <c r="BF94" s="254">
        <v>1212632</v>
      </c>
    </row>
    <row r="95" spans="1:58" x14ac:dyDescent="0.3">
      <c r="A95" s="260" t="s">
        <v>861</v>
      </c>
      <c r="B95" s="256">
        <v>0</v>
      </c>
      <c r="C95" s="256">
        <v>0</v>
      </c>
      <c r="D95" s="256">
        <v>0</v>
      </c>
      <c r="E95" s="256">
        <v>0</v>
      </c>
      <c r="F95" s="256">
        <v>0</v>
      </c>
      <c r="G95" s="256">
        <v>0</v>
      </c>
      <c r="H95" s="256">
        <v>0</v>
      </c>
      <c r="I95" s="256">
        <v>0</v>
      </c>
      <c r="J95" s="256">
        <v>0</v>
      </c>
      <c r="K95" s="261" t="s">
        <v>784</v>
      </c>
      <c r="L95" s="261" t="s">
        <v>784</v>
      </c>
      <c r="M95" s="261" t="s">
        <v>784</v>
      </c>
      <c r="N95" s="261" t="s">
        <v>784</v>
      </c>
      <c r="O95" s="261" t="s">
        <v>784</v>
      </c>
      <c r="P95" s="261" t="s">
        <v>784</v>
      </c>
      <c r="Q95" s="261" t="s">
        <v>784</v>
      </c>
      <c r="R95" s="256">
        <v>0</v>
      </c>
      <c r="S95" s="256">
        <v>0</v>
      </c>
      <c r="T95" s="256">
        <v>0</v>
      </c>
      <c r="U95" s="256">
        <v>0</v>
      </c>
      <c r="V95" s="256">
        <v>0</v>
      </c>
      <c r="W95" s="256">
        <v>2550</v>
      </c>
      <c r="X95" s="256">
        <v>1727</v>
      </c>
      <c r="Y95" s="256">
        <v>4466</v>
      </c>
      <c r="Z95" s="256">
        <v>664</v>
      </c>
      <c r="AA95" s="256">
        <v>1604</v>
      </c>
      <c r="AB95" s="256">
        <v>706</v>
      </c>
      <c r="AC95" s="256">
        <v>1706</v>
      </c>
      <c r="AD95" s="256">
        <v>688</v>
      </c>
      <c r="AE95" s="256">
        <v>42290</v>
      </c>
      <c r="AF95" s="256">
        <v>41278</v>
      </c>
      <c r="AG95" s="256">
        <v>21491</v>
      </c>
      <c r="AH95" s="256">
        <v>21621</v>
      </c>
      <c r="AI95" s="256">
        <v>805</v>
      </c>
      <c r="AJ95" s="256">
        <v>318</v>
      </c>
      <c r="AK95" s="256">
        <v>771</v>
      </c>
      <c r="AL95" s="256">
        <v>306</v>
      </c>
      <c r="AM95" s="256">
        <v>24767</v>
      </c>
      <c r="AN95" s="256">
        <v>40377</v>
      </c>
      <c r="AO95" s="256">
        <v>40755</v>
      </c>
      <c r="AP95" s="256">
        <v>0</v>
      </c>
      <c r="AQ95" s="256">
        <v>0</v>
      </c>
      <c r="AR95" s="256">
        <v>0</v>
      </c>
      <c r="AS95" s="256">
        <v>0</v>
      </c>
      <c r="AT95" s="256">
        <v>0</v>
      </c>
      <c r="AU95" s="256">
        <v>0</v>
      </c>
      <c r="AV95" s="256">
        <v>0</v>
      </c>
      <c r="AW95" s="256">
        <v>0</v>
      </c>
      <c r="AX95" s="256">
        <v>0</v>
      </c>
      <c r="AY95" s="256">
        <v>0</v>
      </c>
      <c r="AZ95" s="256">
        <v>0</v>
      </c>
      <c r="BA95" s="256">
        <v>7099</v>
      </c>
      <c r="BB95" s="256">
        <v>40514</v>
      </c>
      <c r="BC95" s="256">
        <v>7694</v>
      </c>
      <c r="BD95" s="256">
        <v>38857</v>
      </c>
      <c r="BE95" s="256">
        <v>8040</v>
      </c>
      <c r="BF95" s="256">
        <v>39430</v>
      </c>
    </row>
    <row r="96" spans="1:58" x14ac:dyDescent="0.3">
      <c r="A96" s="260" t="s">
        <v>862</v>
      </c>
      <c r="B96" s="261" t="s">
        <v>784</v>
      </c>
      <c r="C96" s="256">
        <v>0</v>
      </c>
      <c r="D96" s="256">
        <v>0</v>
      </c>
      <c r="E96" s="256">
        <v>0</v>
      </c>
      <c r="F96" s="256">
        <v>0</v>
      </c>
      <c r="G96" s="256">
        <v>0</v>
      </c>
      <c r="H96" s="256">
        <v>0</v>
      </c>
      <c r="I96" s="256">
        <v>0</v>
      </c>
      <c r="J96" s="256">
        <v>0</v>
      </c>
      <c r="K96" s="261" t="s">
        <v>784</v>
      </c>
      <c r="L96" s="261" t="s">
        <v>784</v>
      </c>
      <c r="M96" s="261" t="s">
        <v>784</v>
      </c>
      <c r="N96" s="261" t="s">
        <v>784</v>
      </c>
      <c r="O96" s="261" t="s">
        <v>784</v>
      </c>
      <c r="P96" s="261" t="s">
        <v>784</v>
      </c>
      <c r="Q96" s="261" t="s">
        <v>784</v>
      </c>
      <c r="R96" s="256">
        <v>0</v>
      </c>
      <c r="S96" s="256">
        <v>0</v>
      </c>
      <c r="T96" s="256">
        <v>0</v>
      </c>
      <c r="U96" s="256">
        <v>0</v>
      </c>
      <c r="V96" s="256">
        <v>0</v>
      </c>
      <c r="W96" s="256">
        <v>0</v>
      </c>
      <c r="X96" s="256">
        <v>0</v>
      </c>
      <c r="Y96" s="256">
        <v>0</v>
      </c>
      <c r="Z96" s="256">
        <v>0</v>
      </c>
      <c r="AA96" s="256">
        <v>0</v>
      </c>
      <c r="AB96" s="256">
        <v>0</v>
      </c>
      <c r="AC96" s="256">
        <v>0</v>
      </c>
      <c r="AD96" s="256">
        <v>0</v>
      </c>
      <c r="AE96" s="256">
        <v>0</v>
      </c>
      <c r="AF96" s="256">
        <v>0</v>
      </c>
      <c r="AG96" s="256">
        <v>0</v>
      </c>
      <c r="AH96" s="256">
        <v>0</v>
      </c>
      <c r="AI96" s="256">
        <v>0</v>
      </c>
      <c r="AJ96" s="256">
        <v>0</v>
      </c>
      <c r="AK96" s="256">
        <v>0</v>
      </c>
      <c r="AL96" s="256">
        <v>0</v>
      </c>
      <c r="AM96" s="256">
        <v>0</v>
      </c>
      <c r="AN96" s="256">
        <v>0</v>
      </c>
      <c r="AO96" s="256">
        <v>0</v>
      </c>
      <c r="AP96" s="256">
        <v>223049</v>
      </c>
      <c r="AQ96" s="256">
        <v>293226</v>
      </c>
      <c r="AR96" s="256">
        <v>295247</v>
      </c>
      <c r="AS96" s="256">
        <v>282297</v>
      </c>
      <c r="AT96" s="256">
        <v>252645</v>
      </c>
      <c r="AU96" s="256">
        <v>189846</v>
      </c>
      <c r="AV96" s="256">
        <v>116230</v>
      </c>
      <c r="AW96" s="256">
        <v>142170</v>
      </c>
      <c r="AX96" s="256">
        <v>105905</v>
      </c>
      <c r="AY96" s="256">
        <v>122788</v>
      </c>
      <c r="AZ96" s="256">
        <v>150743</v>
      </c>
      <c r="BA96" s="256">
        <v>163912</v>
      </c>
      <c r="BB96" s="256">
        <v>64547</v>
      </c>
      <c r="BC96" s="256">
        <v>137847</v>
      </c>
      <c r="BD96" s="256">
        <v>177407</v>
      </c>
      <c r="BE96" s="256">
        <v>207118</v>
      </c>
      <c r="BF96" s="256">
        <v>224502</v>
      </c>
    </row>
    <row r="97" spans="1:58" x14ac:dyDescent="0.3">
      <c r="A97" s="257" t="s">
        <v>863</v>
      </c>
      <c r="B97" s="258" t="s">
        <v>784</v>
      </c>
      <c r="C97" s="258" t="s">
        <v>784</v>
      </c>
      <c r="D97" s="258" t="s">
        <v>784</v>
      </c>
      <c r="E97" s="258" t="s">
        <v>784</v>
      </c>
      <c r="F97" s="259">
        <v>20069</v>
      </c>
      <c r="G97" s="259">
        <v>21659</v>
      </c>
      <c r="H97" s="259">
        <v>14685</v>
      </c>
      <c r="I97" s="259">
        <v>458</v>
      </c>
      <c r="J97" s="259">
        <v>517205</v>
      </c>
      <c r="K97" s="259">
        <v>713524</v>
      </c>
      <c r="L97" s="259">
        <v>876</v>
      </c>
      <c r="M97" s="259">
        <v>558</v>
      </c>
      <c r="N97" s="259">
        <v>4185</v>
      </c>
      <c r="O97" s="259">
        <v>58721</v>
      </c>
      <c r="P97" s="259">
        <v>25301</v>
      </c>
      <c r="Q97" s="259">
        <v>32217</v>
      </c>
      <c r="R97" s="259">
        <v>46027</v>
      </c>
      <c r="S97" s="259">
        <v>3641</v>
      </c>
      <c r="T97" s="259">
        <v>101536</v>
      </c>
      <c r="U97" s="259">
        <v>82486</v>
      </c>
      <c r="V97" s="259">
        <v>80649</v>
      </c>
      <c r="W97" s="259">
        <v>102052</v>
      </c>
      <c r="X97" s="259">
        <v>68224</v>
      </c>
      <c r="Y97" s="259">
        <v>97173</v>
      </c>
      <c r="Z97" s="259">
        <v>11835</v>
      </c>
      <c r="AA97" s="259">
        <v>11045</v>
      </c>
      <c r="AB97" s="259">
        <v>7461</v>
      </c>
      <c r="AC97" s="259">
        <v>8596</v>
      </c>
      <c r="AD97" s="259">
        <v>5111</v>
      </c>
      <c r="AE97" s="259">
        <v>7352</v>
      </c>
      <c r="AF97" s="259">
        <v>11003</v>
      </c>
      <c r="AG97" s="259">
        <v>20437</v>
      </c>
      <c r="AH97" s="259">
        <v>19629</v>
      </c>
      <c r="AI97" s="259">
        <v>6894</v>
      </c>
      <c r="AJ97" s="259">
        <v>17318</v>
      </c>
      <c r="AK97" s="259">
        <v>18226</v>
      </c>
      <c r="AL97" s="259">
        <v>23052</v>
      </c>
      <c r="AM97" s="259">
        <v>222633</v>
      </c>
      <c r="AN97" s="259">
        <v>28330</v>
      </c>
      <c r="AO97" s="259">
        <v>26008</v>
      </c>
      <c r="AP97" s="259">
        <v>12396</v>
      </c>
      <c r="AQ97" s="259">
        <v>19</v>
      </c>
      <c r="AR97" s="259">
        <v>19</v>
      </c>
      <c r="AS97" s="259">
        <v>20</v>
      </c>
      <c r="AT97" s="259">
        <v>0</v>
      </c>
      <c r="AU97" s="259">
        <v>0</v>
      </c>
      <c r="AV97" s="259">
        <v>0</v>
      </c>
      <c r="AW97" s="259">
        <v>448750</v>
      </c>
      <c r="AX97" s="259">
        <v>376684</v>
      </c>
      <c r="AY97" s="259">
        <v>178273</v>
      </c>
      <c r="AZ97" s="259">
        <v>53827</v>
      </c>
      <c r="BA97" s="259">
        <v>0</v>
      </c>
      <c r="BB97" s="259">
        <v>43433</v>
      </c>
      <c r="BC97" s="259">
        <v>304223</v>
      </c>
      <c r="BD97" s="259">
        <v>289861</v>
      </c>
      <c r="BE97" s="259">
        <v>342003</v>
      </c>
      <c r="BF97" s="259">
        <v>292569</v>
      </c>
    </row>
    <row r="98" spans="1:58" x14ac:dyDescent="0.3">
      <c r="A98" s="260" t="s">
        <v>864</v>
      </c>
      <c r="B98" s="261" t="s">
        <v>784</v>
      </c>
      <c r="C98" s="261" t="s">
        <v>784</v>
      </c>
      <c r="D98" s="261" t="s">
        <v>784</v>
      </c>
      <c r="E98" s="261" t="s">
        <v>784</v>
      </c>
      <c r="F98" s="256">
        <v>0</v>
      </c>
      <c r="G98" s="256">
        <v>0</v>
      </c>
      <c r="H98" s="256">
        <v>0</v>
      </c>
      <c r="I98" s="256">
        <v>0</v>
      </c>
      <c r="J98" s="256">
        <v>0</v>
      </c>
      <c r="K98" s="256">
        <v>0</v>
      </c>
      <c r="L98" s="256">
        <v>0</v>
      </c>
      <c r="M98" s="256">
        <v>0</v>
      </c>
      <c r="N98" s="256">
        <v>0</v>
      </c>
      <c r="O98" s="256">
        <v>0</v>
      </c>
      <c r="P98" s="256">
        <v>0</v>
      </c>
      <c r="Q98" s="256">
        <v>0</v>
      </c>
      <c r="R98" s="256">
        <v>0</v>
      </c>
      <c r="S98" s="256">
        <v>0</v>
      </c>
      <c r="T98" s="256">
        <v>0</v>
      </c>
      <c r="U98" s="256">
        <v>0</v>
      </c>
      <c r="V98" s="256">
        <v>0</v>
      </c>
      <c r="W98" s="256">
        <v>0</v>
      </c>
      <c r="X98" s="256">
        <v>0</v>
      </c>
      <c r="Y98" s="256">
        <v>0</v>
      </c>
      <c r="Z98" s="256">
        <v>0</v>
      </c>
      <c r="AA98" s="256">
        <v>0</v>
      </c>
      <c r="AB98" s="256">
        <v>0</v>
      </c>
      <c r="AC98" s="256">
        <v>0</v>
      </c>
      <c r="AD98" s="256">
        <v>0</v>
      </c>
      <c r="AE98" s="256">
        <v>0</v>
      </c>
      <c r="AF98" s="256">
        <v>0</v>
      </c>
      <c r="AG98" s="256">
        <v>0</v>
      </c>
      <c r="AH98" s="256">
        <v>0</v>
      </c>
      <c r="AI98" s="256">
        <v>0</v>
      </c>
      <c r="AJ98" s="256">
        <v>0</v>
      </c>
      <c r="AK98" s="256">
        <v>0</v>
      </c>
      <c r="AL98" s="256">
        <v>0</v>
      </c>
      <c r="AM98" s="256">
        <v>0</v>
      </c>
      <c r="AN98" s="256">
        <v>0</v>
      </c>
      <c r="AO98" s="256">
        <v>0</v>
      </c>
      <c r="AP98" s="256">
        <v>0</v>
      </c>
      <c r="AQ98" s="256">
        <v>0</v>
      </c>
      <c r="AR98" s="256">
        <v>0</v>
      </c>
      <c r="AS98" s="256">
        <v>0</v>
      </c>
      <c r="AT98" s="256">
        <v>0</v>
      </c>
      <c r="AU98" s="256">
        <v>0</v>
      </c>
      <c r="AV98" s="256">
        <v>0</v>
      </c>
      <c r="AW98" s="256">
        <v>0</v>
      </c>
      <c r="AX98" s="256">
        <v>0</v>
      </c>
      <c r="AY98" s="256">
        <v>0</v>
      </c>
      <c r="AZ98" s="256">
        <v>0</v>
      </c>
      <c r="BA98" s="256">
        <v>0</v>
      </c>
      <c r="BB98" s="256">
        <v>0</v>
      </c>
      <c r="BC98" s="256">
        <v>0</v>
      </c>
      <c r="BD98" s="256">
        <v>0</v>
      </c>
      <c r="BE98" s="256">
        <v>0</v>
      </c>
      <c r="BF98" s="256">
        <v>0</v>
      </c>
    </row>
    <row r="99" spans="1:58" x14ac:dyDescent="0.3">
      <c r="A99" s="262" t="s">
        <v>865</v>
      </c>
      <c r="B99" s="253" t="s">
        <v>784</v>
      </c>
      <c r="C99" s="253" t="s">
        <v>784</v>
      </c>
      <c r="D99" s="253" t="s">
        <v>784</v>
      </c>
      <c r="E99" s="253" t="s">
        <v>784</v>
      </c>
      <c r="F99" s="254">
        <v>0</v>
      </c>
      <c r="G99" s="254">
        <v>0</v>
      </c>
      <c r="H99" s="254">
        <v>0</v>
      </c>
      <c r="I99" s="254">
        <v>0</v>
      </c>
      <c r="J99" s="254">
        <v>0</v>
      </c>
      <c r="K99" s="254">
        <v>0</v>
      </c>
      <c r="L99" s="254">
        <v>0</v>
      </c>
      <c r="M99" s="254">
        <v>0</v>
      </c>
      <c r="N99" s="254">
        <v>0</v>
      </c>
      <c r="O99" s="254">
        <v>0</v>
      </c>
      <c r="P99" s="254">
        <v>0</v>
      </c>
      <c r="Q99" s="254">
        <v>0</v>
      </c>
      <c r="R99" s="254">
        <v>0</v>
      </c>
      <c r="S99" s="254">
        <v>0</v>
      </c>
      <c r="T99" s="254">
        <v>0</v>
      </c>
      <c r="U99" s="254">
        <v>0</v>
      </c>
      <c r="V99" s="254">
        <v>0</v>
      </c>
      <c r="W99" s="254">
        <v>0</v>
      </c>
      <c r="X99" s="254">
        <v>0</v>
      </c>
      <c r="Y99" s="254">
        <v>0</v>
      </c>
      <c r="Z99" s="254">
        <v>0</v>
      </c>
      <c r="AA99" s="254">
        <v>0</v>
      </c>
      <c r="AB99" s="254">
        <v>0</v>
      </c>
      <c r="AC99" s="254">
        <v>0</v>
      </c>
      <c r="AD99" s="254">
        <v>0</v>
      </c>
      <c r="AE99" s="254">
        <v>0</v>
      </c>
      <c r="AF99" s="254">
        <v>0</v>
      </c>
      <c r="AG99" s="254">
        <v>0</v>
      </c>
      <c r="AH99" s="254">
        <v>0</v>
      </c>
      <c r="AI99" s="254">
        <v>0</v>
      </c>
      <c r="AJ99" s="254">
        <v>0</v>
      </c>
      <c r="AK99" s="254">
        <v>0</v>
      </c>
      <c r="AL99" s="254">
        <v>0</v>
      </c>
      <c r="AM99" s="254">
        <v>0</v>
      </c>
      <c r="AN99" s="254">
        <v>0</v>
      </c>
      <c r="AO99" s="254">
        <v>0</v>
      </c>
      <c r="AP99" s="254">
        <v>0</v>
      </c>
      <c r="AQ99" s="254">
        <v>0</v>
      </c>
      <c r="AR99" s="254">
        <v>0</v>
      </c>
      <c r="AS99" s="254">
        <v>0</v>
      </c>
      <c r="AT99" s="254">
        <v>0</v>
      </c>
      <c r="AU99" s="254">
        <v>0</v>
      </c>
      <c r="AV99" s="254">
        <v>0</v>
      </c>
      <c r="AW99" s="254">
        <v>0</v>
      </c>
      <c r="AX99" s="254">
        <v>0</v>
      </c>
      <c r="AY99" s="254">
        <v>0</v>
      </c>
      <c r="AZ99" s="254">
        <v>0</v>
      </c>
      <c r="BA99" s="254">
        <v>0</v>
      </c>
      <c r="BB99" s="254">
        <v>0</v>
      </c>
      <c r="BC99" s="254">
        <v>0</v>
      </c>
      <c r="BD99" s="254">
        <v>0</v>
      </c>
      <c r="BE99" s="254">
        <v>0</v>
      </c>
      <c r="BF99" s="254">
        <v>0</v>
      </c>
    </row>
    <row r="100" spans="1:58" x14ac:dyDescent="0.3">
      <c r="A100" s="262" t="s">
        <v>866</v>
      </c>
      <c r="B100" s="253" t="s">
        <v>784</v>
      </c>
      <c r="C100" s="253" t="s">
        <v>784</v>
      </c>
      <c r="D100" s="253" t="s">
        <v>784</v>
      </c>
      <c r="E100" s="253" t="s">
        <v>784</v>
      </c>
      <c r="F100" s="254">
        <v>0</v>
      </c>
      <c r="G100" s="254">
        <v>0</v>
      </c>
      <c r="H100" s="254">
        <v>0</v>
      </c>
      <c r="I100" s="254">
        <v>0</v>
      </c>
      <c r="J100" s="254">
        <v>0</v>
      </c>
      <c r="K100" s="254">
        <v>0</v>
      </c>
      <c r="L100" s="254">
        <v>0</v>
      </c>
      <c r="M100" s="254">
        <v>0</v>
      </c>
      <c r="N100" s="254">
        <v>0</v>
      </c>
      <c r="O100" s="254">
        <v>0</v>
      </c>
      <c r="P100" s="254">
        <v>0</v>
      </c>
      <c r="Q100" s="254">
        <v>0</v>
      </c>
      <c r="R100" s="254">
        <v>0</v>
      </c>
      <c r="S100" s="254">
        <v>0</v>
      </c>
      <c r="T100" s="254">
        <v>0</v>
      </c>
      <c r="U100" s="254">
        <v>0</v>
      </c>
      <c r="V100" s="254">
        <v>0</v>
      </c>
      <c r="W100" s="254">
        <v>0</v>
      </c>
      <c r="X100" s="254">
        <v>0</v>
      </c>
      <c r="Y100" s="254">
        <v>0</v>
      </c>
      <c r="Z100" s="254">
        <v>0</v>
      </c>
      <c r="AA100" s="254">
        <v>0</v>
      </c>
      <c r="AB100" s="254">
        <v>0</v>
      </c>
      <c r="AC100" s="254">
        <v>0</v>
      </c>
      <c r="AD100" s="254">
        <v>0</v>
      </c>
      <c r="AE100" s="254">
        <v>0</v>
      </c>
      <c r="AF100" s="254">
        <v>0</v>
      </c>
      <c r="AG100" s="254">
        <v>0</v>
      </c>
      <c r="AH100" s="254">
        <v>0</v>
      </c>
      <c r="AI100" s="254">
        <v>0</v>
      </c>
      <c r="AJ100" s="254">
        <v>0</v>
      </c>
      <c r="AK100" s="254">
        <v>0</v>
      </c>
      <c r="AL100" s="254">
        <v>0</v>
      </c>
      <c r="AM100" s="254">
        <v>0</v>
      </c>
      <c r="AN100" s="254">
        <v>0</v>
      </c>
      <c r="AO100" s="254">
        <v>0</v>
      </c>
      <c r="AP100" s="254">
        <v>0</v>
      </c>
      <c r="AQ100" s="254">
        <v>0</v>
      </c>
      <c r="AR100" s="254">
        <v>0</v>
      </c>
      <c r="AS100" s="254">
        <v>0</v>
      </c>
      <c r="AT100" s="254">
        <v>0</v>
      </c>
      <c r="AU100" s="254">
        <v>0</v>
      </c>
      <c r="AV100" s="254">
        <v>0</v>
      </c>
      <c r="AW100" s="254">
        <v>0</v>
      </c>
      <c r="AX100" s="254">
        <v>0</v>
      </c>
      <c r="AY100" s="254">
        <v>0</v>
      </c>
      <c r="AZ100" s="254">
        <v>0</v>
      </c>
      <c r="BA100" s="254">
        <v>0</v>
      </c>
      <c r="BB100" s="254">
        <v>0</v>
      </c>
      <c r="BC100" s="254">
        <v>0</v>
      </c>
      <c r="BD100" s="254">
        <v>0</v>
      </c>
      <c r="BE100" s="254">
        <v>0</v>
      </c>
      <c r="BF100" s="254">
        <v>0</v>
      </c>
    </row>
    <row r="101" spans="1:58" x14ac:dyDescent="0.3">
      <c r="A101" s="262" t="s">
        <v>867</v>
      </c>
      <c r="B101" s="253" t="s">
        <v>784</v>
      </c>
      <c r="C101" s="253" t="s">
        <v>784</v>
      </c>
      <c r="D101" s="253" t="s">
        <v>784</v>
      </c>
      <c r="E101" s="253" t="s">
        <v>784</v>
      </c>
      <c r="F101" s="254">
        <v>0</v>
      </c>
      <c r="G101" s="254">
        <v>0</v>
      </c>
      <c r="H101" s="254">
        <v>0</v>
      </c>
      <c r="I101" s="254">
        <v>0</v>
      </c>
      <c r="J101" s="254">
        <v>0</v>
      </c>
      <c r="K101" s="254">
        <v>0</v>
      </c>
      <c r="L101" s="254">
        <v>0</v>
      </c>
      <c r="M101" s="254">
        <v>0</v>
      </c>
      <c r="N101" s="254">
        <v>0</v>
      </c>
      <c r="O101" s="254">
        <v>0</v>
      </c>
      <c r="P101" s="254">
        <v>0</v>
      </c>
      <c r="Q101" s="254">
        <v>0</v>
      </c>
      <c r="R101" s="254">
        <v>0</v>
      </c>
      <c r="S101" s="254">
        <v>0</v>
      </c>
      <c r="T101" s="254">
        <v>0</v>
      </c>
      <c r="U101" s="254">
        <v>0</v>
      </c>
      <c r="V101" s="254">
        <v>0</v>
      </c>
      <c r="W101" s="254">
        <v>0</v>
      </c>
      <c r="X101" s="254">
        <v>0</v>
      </c>
      <c r="Y101" s="254">
        <v>0</v>
      </c>
      <c r="Z101" s="254">
        <v>0</v>
      </c>
      <c r="AA101" s="254">
        <v>0</v>
      </c>
      <c r="AB101" s="254">
        <v>0</v>
      </c>
      <c r="AC101" s="254">
        <v>0</v>
      </c>
      <c r="AD101" s="254">
        <v>0</v>
      </c>
      <c r="AE101" s="254">
        <v>0</v>
      </c>
      <c r="AF101" s="254">
        <v>0</v>
      </c>
      <c r="AG101" s="254">
        <v>0</v>
      </c>
      <c r="AH101" s="254">
        <v>0</v>
      </c>
      <c r="AI101" s="254">
        <v>0</v>
      </c>
      <c r="AJ101" s="254">
        <v>0</v>
      </c>
      <c r="AK101" s="254">
        <v>0</v>
      </c>
      <c r="AL101" s="254">
        <v>0</v>
      </c>
      <c r="AM101" s="254">
        <v>0</v>
      </c>
      <c r="AN101" s="254">
        <v>0</v>
      </c>
      <c r="AO101" s="254">
        <v>0</v>
      </c>
      <c r="AP101" s="254">
        <v>0</v>
      </c>
      <c r="AQ101" s="254">
        <v>0</v>
      </c>
      <c r="AR101" s="254">
        <v>0</v>
      </c>
      <c r="AS101" s="254">
        <v>0</v>
      </c>
      <c r="AT101" s="254">
        <v>0</v>
      </c>
      <c r="AU101" s="254">
        <v>0</v>
      </c>
      <c r="AV101" s="254">
        <v>0</v>
      </c>
      <c r="AW101" s="254">
        <v>0</v>
      </c>
      <c r="AX101" s="254">
        <v>0</v>
      </c>
      <c r="AY101" s="254">
        <v>0</v>
      </c>
      <c r="AZ101" s="254">
        <v>0</v>
      </c>
      <c r="BA101" s="254">
        <v>0</v>
      </c>
      <c r="BB101" s="254">
        <v>0</v>
      </c>
      <c r="BC101" s="254">
        <v>0</v>
      </c>
      <c r="BD101" s="254">
        <v>0</v>
      </c>
      <c r="BE101" s="254">
        <v>0</v>
      </c>
      <c r="BF101" s="254">
        <v>0</v>
      </c>
    </row>
    <row r="102" spans="1:58" x14ac:dyDescent="0.3">
      <c r="A102" s="262" t="s">
        <v>868</v>
      </c>
      <c r="B102" s="253" t="s">
        <v>784</v>
      </c>
      <c r="C102" s="253" t="s">
        <v>784</v>
      </c>
      <c r="D102" s="253" t="s">
        <v>784</v>
      </c>
      <c r="E102" s="253" t="s">
        <v>784</v>
      </c>
      <c r="F102" s="254">
        <v>0</v>
      </c>
      <c r="G102" s="254">
        <v>0</v>
      </c>
      <c r="H102" s="254">
        <v>0</v>
      </c>
      <c r="I102" s="254">
        <v>0</v>
      </c>
      <c r="J102" s="254">
        <v>0</v>
      </c>
      <c r="K102" s="254">
        <v>0</v>
      </c>
      <c r="L102" s="254">
        <v>0</v>
      </c>
      <c r="M102" s="254">
        <v>0</v>
      </c>
      <c r="N102" s="254">
        <v>0</v>
      </c>
      <c r="O102" s="254">
        <v>0</v>
      </c>
      <c r="P102" s="254">
        <v>0</v>
      </c>
      <c r="Q102" s="254">
        <v>0</v>
      </c>
      <c r="R102" s="254">
        <v>0</v>
      </c>
      <c r="S102" s="254">
        <v>0</v>
      </c>
      <c r="T102" s="254">
        <v>0</v>
      </c>
      <c r="U102" s="254">
        <v>0</v>
      </c>
      <c r="V102" s="254">
        <v>0</v>
      </c>
      <c r="W102" s="254">
        <v>0</v>
      </c>
      <c r="X102" s="254">
        <v>0</v>
      </c>
      <c r="Y102" s="254">
        <v>0</v>
      </c>
      <c r="Z102" s="254">
        <v>0</v>
      </c>
      <c r="AA102" s="254">
        <v>0</v>
      </c>
      <c r="AB102" s="254">
        <v>0</v>
      </c>
      <c r="AC102" s="254">
        <v>0</v>
      </c>
      <c r="AD102" s="254">
        <v>0</v>
      </c>
      <c r="AE102" s="254">
        <v>0</v>
      </c>
      <c r="AF102" s="254">
        <v>0</v>
      </c>
      <c r="AG102" s="254">
        <v>0</v>
      </c>
      <c r="AH102" s="254">
        <v>0</v>
      </c>
      <c r="AI102" s="254">
        <v>0</v>
      </c>
      <c r="AJ102" s="254">
        <v>0</v>
      </c>
      <c r="AK102" s="254">
        <v>0</v>
      </c>
      <c r="AL102" s="254">
        <v>0</v>
      </c>
      <c r="AM102" s="254">
        <v>0</v>
      </c>
      <c r="AN102" s="254">
        <v>0</v>
      </c>
      <c r="AO102" s="254">
        <v>0</v>
      </c>
      <c r="AP102" s="254">
        <v>0</v>
      </c>
      <c r="AQ102" s="254">
        <v>0</v>
      </c>
      <c r="AR102" s="254">
        <v>0</v>
      </c>
      <c r="AS102" s="254">
        <v>0</v>
      </c>
      <c r="AT102" s="254">
        <v>0</v>
      </c>
      <c r="AU102" s="254">
        <v>0</v>
      </c>
      <c r="AV102" s="254">
        <v>0</v>
      </c>
      <c r="AW102" s="254">
        <v>0</v>
      </c>
      <c r="AX102" s="254">
        <v>0</v>
      </c>
      <c r="AY102" s="254">
        <v>0</v>
      </c>
      <c r="AZ102" s="254">
        <v>0</v>
      </c>
      <c r="BA102" s="254">
        <v>0</v>
      </c>
      <c r="BB102" s="254">
        <v>0</v>
      </c>
      <c r="BC102" s="254">
        <v>0</v>
      </c>
      <c r="BD102" s="254">
        <v>0</v>
      </c>
      <c r="BE102" s="254">
        <v>0</v>
      </c>
      <c r="BF102" s="254">
        <v>0</v>
      </c>
    </row>
    <row r="103" spans="1:58" x14ac:dyDescent="0.3">
      <c r="A103" s="260" t="s">
        <v>869</v>
      </c>
      <c r="B103" s="261" t="s">
        <v>784</v>
      </c>
      <c r="C103" s="261" t="s">
        <v>784</v>
      </c>
      <c r="D103" s="261" t="s">
        <v>784</v>
      </c>
      <c r="E103" s="261" t="s">
        <v>784</v>
      </c>
      <c r="F103" s="256">
        <v>20069</v>
      </c>
      <c r="G103" s="256">
        <v>21659</v>
      </c>
      <c r="H103" s="256">
        <v>14685</v>
      </c>
      <c r="I103" s="256">
        <v>458</v>
      </c>
      <c r="J103" s="256">
        <v>517205</v>
      </c>
      <c r="K103" s="256">
        <v>713524</v>
      </c>
      <c r="L103" s="256">
        <v>876</v>
      </c>
      <c r="M103" s="256">
        <v>558</v>
      </c>
      <c r="N103" s="256">
        <v>4185</v>
      </c>
      <c r="O103" s="256">
        <v>58721</v>
      </c>
      <c r="P103" s="256">
        <v>25301</v>
      </c>
      <c r="Q103" s="256">
        <v>32217</v>
      </c>
      <c r="R103" s="256">
        <v>46027</v>
      </c>
      <c r="S103" s="256">
        <v>3641</v>
      </c>
      <c r="T103" s="256">
        <v>101536</v>
      </c>
      <c r="U103" s="256">
        <v>82486</v>
      </c>
      <c r="V103" s="256">
        <v>80649</v>
      </c>
      <c r="W103" s="256">
        <v>102052</v>
      </c>
      <c r="X103" s="256">
        <v>68224</v>
      </c>
      <c r="Y103" s="256">
        <v>97173</v>
      </c>
      <c r="Z103" s="256">
        <v>11835</v>
      </c>
      <c r="AA103" s="256">
        <v>11045</v>
      </c>
      <c r="AB103" s="256">
        <v>7461</v>
      </c>
      <c r="AC103" s="256">
        <v>8596</v>
      </c>
      <c r="AD103" s="256">
        <v>5111</v>
      </c>
      <c r="AE103" s="256">
        <v>7352</v>
      </c>
      <c r="AF103" s="256">
        <v>11003</v>
      </c>
      <c r="AG103" s="256">
        <v>20437</v>
      </c>
      <c r="AH103" s="256">
        <v>19629</v>
      </c>
      <c r="AI103" s="256">
        <v>6894</v>
      </c>
      <c r="AJ103" s="256">
        <v>17318</v>
      </c>
      <c r="AK103" s="256">
        <v>18226</v>
      </c>
      <c r="AL103" s="256">
        <v>23052</v>
      </c>
      <c r="AM103" s="256">
        <v>222633</v>
      </c>
      <c r="AN103" s="256">
        <v>28330</v>
      </c>
      <c r="AO103" s="256">
        <v>26008</v>
      </c>
      <c r="AP103" s="256">
        <v>12396</v>
      </c>
      <c r="AQ103" s="256">
        <v>19</v>
      </c>
      <c r="AR103" s="256">
        <v>19</v>
      </c>
      <c r="AS103" s="256">
        <v>20</v>
      </c>
      <c r="AT103" s="256">
        <v>0</v>
      </c>
      <c r="AU103" s="256">
        <v>0</v>
      </c>
      <c r="AV103" s="256">
        <v>0</v>
      </c>
      <c r="AW103" s="256">
        <v>448750</v>
      </c>
      <c r="AX103" s="256">
        <v>376684</v>
      </c>
      <c r="AY103" s="256">
        <v>178273</v>
      </c>
      <c r="AZ103" s="256">
        <v>53827</v>
      </c>
      <c r="BA103" s="256">
        <v>0</v>
      </c>
      <c r="BB103" s="256">
        <v>43433</v>
      </c>
      <c r="BC103" s="256">
        <v>304223</v>
      </c>
      <c r="BD103" s="256">
        <v>289861</v>
      </c>
      <c r="BE103" s="256">
        <v>342003</v>
      </c>
      <c r="BF103" s="256">
        <v>292569</v>
      </c>
    </row>
    <row r="104" spans="1:58" x14ac:dyDescent="0.3">
      <c r="A104" s="262" t="s">
        <v>870</v>
      </c>
      <c r="B104" s="254">
        <v>0</v>
      </c>
      <c r="C104" s="254">
        <v>0</v>
      </c>
      <c r="D104" s="254">
        <v>0</v>
      </c>
      <c r="E104" s="254">
        <v>0</v>
      </c>
      <c r="F104" s="254">
        <v>0</v>
      </c>
      <c r="G104" s="254">
        <v>0</v>
      </c>
      <c r="H104" s="254">
        <v>0</v>
      </c>
      <c r="I104" s="254">
        <v>0</v>
      </c>
      <c r="J104" s="254">
        <v>0</v>
      </c>
      <c r="K104" s="254">
        <v>0</v>
      </c>
      <c r="L104" s="254">
        <v>0</v>
      </c>
      <c r="M104" s="254">
        <v>0</v>
      </c>
      <c r="N104" s="254">
        <v>0</v>
      </c>
      <c r="O104" s="254">
        <v>0</v>
      </c>
      <c r="P104" s="254">
        <v>0</v>
      </c>
      <c r="Q104" s="254">
        <v>0</v>
      </c>
      <c r="R104" s="254">
        <v>0</v>
      </c>
      <c r="S104" s="254">
        <v>0</v>
      </c>
      <c r="T104" s="254">
        <v>0</v>
      </c>
      <c r="U104" s="254">
        <v>0</v>
      </c>
      <c r="V104" s="254">
        <v>0</v>
      </c>
      <c r="W104" s="254">
        <v>0</v>
      </c>
      <c r="X104" s="254">
        <v>0</v>
      </c>
      <c r="Y104" s="254">
        <v>0</v>
      </c>
      <c r="Z104" s="254">
        <v>0</v>
      </c>
      <c r="AA104" s="254">
        <v>0</v>
      </c>
      <c r="AB104" s="254">
        <v>0</v>
      </c>
      <c r="AC104" s="254">
        <v>0</v>
      </c>
      <c r="AD104" s="254">
        <v>0</v>
      </c>
      <c r="AE104" s="254">
        <v>0</v>
      </c>
      <c r="AF104" s="254">
        <v>0</v>
      </c>
      <c r="AG104" s="254">
        <v>0</v>
      </c>
      <c r="AH104" s="254">
        <v>0</v>
      </c>
      <c r="AI104" s="254">
        <v>0</v>
      </c>
      <c r="AJ104" s="254">
        <v>0</v>
      </c>
      <c r="AK104" s="254">
        <v>0</v>
      </c>
      <c r="AL104" s="254">
        <v>0</v>
      </c>
      <c r="AM104" s="254">
        <v>0</v>
      </c>
      <c r="AN104" s="254">
        <v>0</v>
      </c>
      <c r="AO104" s="254">
        <v>0</v>
      </c>
      <c r="AP104" s="254">
        <v>0</v>
      </c>
      <c r="AQ104" s="254">
        <v>0</v>
      </c>
      <c r="AR104" s="254">
        <v>0</v>
      </c>
      <c r="AS104" s="254">
        <v>0</v>
      </c>
      <c r="AT104" s="254">
        <v>0</v>
      </c>
      <c r="AU104" s="254">
        <v>0</v>
      </c>
      <c r="AV104" s="254">
        <v>0</v>
      </c>
      <c r="AW104" s="254">
        <v>0</v>
      </c>
      <c r="AX104" s="254">
        <v>0</v>
      </c>
      <c r="AY104" s="254">
        <v>0</v>
      </c>
      <c r="AZ104" s="254">
        <v>0</v>
      </c>
      <c r="BA104" s="254">
        <v>0</v>
      </c>
      <c r="BB104" s="254">
        <v>0</v>
      </c>
      <c r="BC104" s="254">
        <v>0</v>
      </c>
      <c r="BD104" s="254">
        <v>0</v>
      </c>
      <c r="BE104" s="254">
        <v>0</v>
      </c>
      <c r="BF104" s="254">
        <v>0</v>
      </c>
    </row>
    <row r="105" spans="1:58" x14ac:dyDescent="0.3">
      <c r="A105" s="262" t="s">
        <v>871</v>
      </c>
      <c r="B105" s="253" t="s">
        <v>784</v>
      </c>
      <c r="C105" s="253" t="s">
        <v>784</v>
      </c>
      <c r="D105" s="253" t="s">
        <v>784</v>
      </c>
      <c r="E105" s="253" t="s">
        <v>784</v>
      </c>
      <c r="F105" s="254">
        <v>0</v>
      </c>
      <c r="G105" s="254">
        <v>0</v>
      </c>
      <c r="H105" s="254">
        <v>0</v>
      </c>
      <c r="I105" s="254">
        <v>0</v>
      </c>
      <c r="J105" s="254">
        <v>0</v>
      </c>
      <c r="K105" s="254">
        <v>0</v>
      </c>
      <c r="L105" s="254">
        <v>0</v>
      </c>
      <c r="M105" s="254">
        <v>0</v>
      </c>
      <c r="N105" s="254">
        <v>0</v>
      </c>
      <c r="O105" s="254">
        <v>0</v>
      </c>
      <c r="P105" s="254">
        <v>0</v>
      </c>
      <c r="Q105" s="254">
        <v>0</v>
      </c>
      <c r="R105" s="254">
        <v>0</v>
      </c>
      <c r="S105" s="254">
        <v>0</v>
      </c>
      <c r="T105" s="254">
        <v>0</v>
      </c>
      <c r="U105" s="254">
        <v>0</v>
      </c>
      <c r="V105" s="254">
        <v>0</v>
      </c>
      <c r="W105" s="254">
        <v>0</v>
      </c>
      <c r="X105" s="254">
        <v>0</v>
      </c>
      <c r="Y105" s="254">
        <v>0</v>
      </c>
      <c r="Z105" s="254">
        <v>0</v>
      </c>
      <c r="AA105" s="254">
        <v>0</v>
      </c>
      <c r="AB105" s="254">
        <v>0</v>
      </c>
      <c r="AC105" s="254">
        <v>0</v>
      </c>
      <c r="AD105" s="254">
        <v>0</v>
      </c>
      <c r="AE105" s="254">
        <v>0</v>
      </c>
      <c r="AF105" s="254">
        <v>0</v>
      </c>
      <c r="AG105" s="254">
        <v>0</v>
      </c>
      <c r="AH105" s="254">
        <v>0</v>
      </c>
      <c r="AI105" s="254">
        <v>0</v>
      </c>
      <c r="AJ105" s="254">
        <v>0</v>
      </c>
      <c r="AK105" s="254">
        <v>0</v>
      </c>
      <c r="AL105" s="254">
        <v>0</v>
      </c>
      <c r="AM105" s="254">
        <v>0</v>
      </c>
      <c r="AN105" s="254">
        <v>0</v>
      </c>
      <c r="AO105" s="254">
        <v>0</v>
      </c>
      <c r="AP105" s="254">
        <v>0</v>
      </c>
      <c r="AQ105" s="254">
        <v>0</v>
      </c>
      <c r="AR105" s="254">
        <v>0</v>
      </c>
      <c r="AS105" s="254">
        <v>0</v>
      </c>
      <c r="AT105" s="254">
        <v>0</v>
      </c>
      <c r="AU105" s="254">
        <v>0</v>
      </c>
      <c r="AV105" s="254">
        <v>0</v>
      </c>
      <c r="AW105" s="254">
        <v>0</v>
      </c>
      <c r="AX105" s="254">
        <v>0</v>
      </c>
      <c r="AY105" s="254">
        <v>0</v>
      </c>
      <c r="AZ105" s="254">
        <v>0</v>
      </c>
      <c r="BA105" s="254">
        <v>0</v>
      </c>
      <c r="BB105" s="254">
        <v>0</v>
      </c>
      <c r="BC105" s="254">
        <v>0</v>
      </c>
      <c r="BD105" s="254">
        <v>0</v>
      </c>
      <c r="BE105" s="254">
        <v>0</v>
      </c>
      <c r="BF105" s="254">
        <v>0</v>
      </c>
    </row>
    <row r="106" spans="1:58" x14ac:dyDescent="0.3">
      <c r="A106" s="262" t="s">
        <v>872</v>
      </c>
      <c r="B106" s="253" t="s">
        <v>784</v>
      </c>
      <c r="C106" s="253" t="s">
        <v>784</v>
      </c>
      <c r="D106" s="253" t="s">
        <v>784</v>
      </c>
      <c r="E106" s="253" t="s">
        <v>784</v>
      </c>
      <c r="F106" s="254">
        <v>0</v>
      </c>
      <c r="G106" s="254">
        <v>0</v>
      </c>
      <c r="H106" s="254">
        <v>0</v>
      </c>
      <c r="I106" s="254">
        <v>0</v>
      </c>
      <c r="J106" s="254">
        <v>0</v>
      </c>
      <c r="K106" s="254">
        <v>0</v>
      </c>
      <c r="L106" s="254">
        <v>0</v>
      </c>
      <c r="M106" s="254">
        <v>0</v>
      </c>
      <c r="N106" s="254">
        <v>0</v>
      </c>
      <c r="O106" s="254">
        <v>0</v>
      </c>
      <c r="P106" s="254">
        <v>0</v>
      </c>
      <c r="Q106" s="254">
        <v>0</v>
      </c>
      <c r="R106" s="254">
        <v>0</v>
      </c>
      <c r="S106" s="254">
        <v>0</v>
      </c>
      <c r="T106" s="254">
        <v>0</v>
      </c>
      <c r="U106" s="254">
        <v>0</v>
      </c>
      <c r="V106" s="254">
        <v>0</v>
      </c>
      <c r="W106" s="254">
        <v>0</v>
      </c>
      <c r="X106" s="254">
        <v>0</v>
      </c>
      <c r="Y106" s="254">
        <v>0</v>
      </c>
      <c r="Z106" s="254">
        <v>0</v>
      </c>
      <c r="AA106" s="254">
        <v>0</v>
      </c>
      <c r="AB106" s="254">
        <v>0</v>
      </c>
      <c r="AC106" s="254">
        <v>0</v>
      </c>
      <c r="AD106" s="254">
        <v>0</v>
      </c>
      <c r="AE106" s="254">
        <v>0</v>
      </c>
      <c r="AF106" s="254">
        <v>0</v>
      </c>
      <c r="AG106" s="254">
        <v>0</v>
      </c>
      <c r="AH106" s="254">
        <v>0</v>
      </c>
      <c r="AI106" s="254">
        <v>0</v>
      </c>
      <c r="AJ106" s="254">
        <v>0</v>
      </c>
      <c r="AK106" s="254">
        <v>0</v>
      </c>
      <c r="AL106" s="254">
        <v>0</v>
      </c>
      <c r="AM106" s="254">
        <v>0</v>
      </c>
      <c r="AN106" s="254">
        <v>0</v>
      </c>
      <c r="AO106" s="254">
        <v>0</v>
      </c>
      <c r="AP106" s="254">
        <v>0</v>
      </c>
      <c r="AQ106" s="254">
        <v>0</v>
      </c>
      <c r="AR106" s="254">
        <v>0</v>
      </c>
      <c r="AS106" s="254">
        <v>0</v>
      </c>
      <c r="AT106" s="254">
        <v>0</v>
      </c>
      <c r="AU106" s="254">
        <v>0</v>
      </c>
      <c r="AV106" s="254">
        <v>0</v>
      </c>
      <c r="AW106" s="254">
        <v>0</v>
      </c>
      <c r="AX106" s="254">
        <v>0</v>
      </c>
      <c r="AY106" s="254">
        <v>0</v>
      </c>
      <c r="AZ106" s="254">
        <v>0</v>
      </c>
      <c r="BA106" s="254">
        <v>0</v>
      </c>
      <c r="BB106" s="254">
        <v>0</v>
      </c>
      <c r="BC106" s="254">
        <v>0</v>
      </c>
      <c r="BD106" s="254">
        <v>0</v>
      </c>
      <c r="BE106" s="254">
        <v>0</v>
      </c>
      <c r="BF106" s="254">
        <v>0</v>
      </c>
    </row>
    <row r="107" spans="1:58" x14ac:dyDescent="0.3">
      <c r="A107" s="262" t="s">
        <v>790</v>
      </c>
      <c r="B107" s="253" t="s">
        <v>784</v>
      </c>
      <c r="C107" s="253" t="s">
        <v>784</v>
      </c>
      <c r="D107" s="253" t="s">
        <v>784</v>
      </c>
      <c r="E107" s="253" t="s">
        <v>784</v>
      </c>
      <c r="F107" s="254">
        <v>20069</v>
      </c>
      <c r="G107" s="254">
        <v>21659</v>
      </c>
      <c r="H107" s="254">
        <v>14685</v>
      </c>
      <c r="I107" s="254">
        <v>458</v>
      </c>
      <c r="J107" s="254">
        <v>517205</v>
      </c>
      <c r="K107" s="254">
        <v>713524</v>
      </c>
      <c r="L107" s="254">
        <v>876</v>
      </c>
      <c r="M107" s="254">
        <v>558</v>
      </c>
      <c r="N107" s="254">
        <v>4185</v>
      </c>
      <c r="O107" s="254">
        <v>58721</v>
      </c>
      <c r="P107" s="254">
        <v>25301</v>
      </c>
      <c r="Q107" s="254">
        <v>32217</v>
      </c>
      <c r="R107" s="254">
        <v>46027</v>
      </c>
      <c r="S107" s="254">
        <v>3641</v>
      </c>
      <c r="T107" s="254">
        <v>101536</v>
      </c>
      <c r="U107" s="254">
        <v>82486</v>
      </c>
      <c r="V107" s="254">
        <v>80649</v>
      </c>
      <c r="W107" s="254">
        <v>102052</v>
      </c>
      <c r="X107" s="254">
        <v>68224</v>
      </c>
      <c r="Y107" s="254">
        <v>97173</v>
      </c>
      <c r="Z107" s="254">
        <v>11835</v>
      </c>
      <c r="AA107" s="254">
        <v>11045</v>
      </c>
      <c r="AB107" s="254">
        <v>7461</v>
      </c>
      <c r="AC107" s="254">
        <v>8596</v>
      </c>
      <c r="AD107" s="254">
        <v>5111</v>
      </c>
      <c r="AE107" s="254">
        <v>7352</v>
      </c>
      <c r="AF107" s="254">
        <v>11003</v>
      </c>
      <c r="AG107" s="254">
        <v>20437</v>
      </c>
      <c r="AH107" s="254">
        <v>19629</v>
      </c>
      <c r="AI107" s="254">
        <v>6894</v>
      </c>
      <c r="AJ107" s="254">
        <v>17318</v>
      </c>
      <c r="AK107" s="254">
        <v>18226</v>
      </c>
      <c r="AL107" s="254">
        <v>23052</v>
      </c>
      <c r="AM107" s="254">
        <v>222633</v>
      </c>
      <c r="AN107" s="254">
        <v>28330</v>
      </c>
      <c r="AO107" s="254">
        <v>26008</v>
      </c>
      <c r="AP107" s="254">
        <v>12396</v>
      </c>
      <c r="AQ107" s="254">
        <v>19</v>
      </c>
      <c r="AR107" s="254">
        <v>19</v>
      </c>
      <c r="AS107" s="254">
        <v>20</v>
      </c>
      <c r="AT107" s="254">
        <v>0</v>
      </c>
      <c r="AU107" s="254">
        <v>0</v>
      </c>
      <c r="AV107" s="254">
        <v>0</v>
      </c>
      <c r="AW107" s="254">
        <v>448750</v>
      </c>
      <c r="AX107" s="254">
        <v>376684</v>
      </c>
      <c r="AY107" s="254">
        <v>178273</v>
      </c>
      <c r="AZ107" s="254">
        <v>53827</v>
      </c>
      <c r="BA107" s="254">
        <v>0</v>
      </c>
      <c r="BB107" s="254">
        <v>43433</v>
      </c>
      <c r="BC107" s="254">
        <v>304223</v>
      </c>
      <c r="BD107" s="254">
        <v>289861</v>
      </c>
      <c r="BE107" s="254">
        <v>342003</v>
      </c>
      <c r="BF107" s="254">
        <v>292569</v>
      </c>
    </row>
    <row r="108" spans="1:58" x14ac:dyDescent="0.3">
      <c r="A108" s="257" t="s">
        <v>873</v>
      </c>
      <c r="B108" s="259">
        <v>0</v>
      </c>
      <c r="C108" s="259">
        <v>0</v>
      </c>
      <c r="D108" s="259">
        <v>0</v>
      </c>
      <c r="E108" s="259">
        <v>0</v>
      </c>
      <c r="F108" s="259">
        <v>0</v>
      </c>
      <c r="G108" s="259">
        <v>0</v>
      </c>
      <c r="H108" s="259">
        <v>0</v>
      </c>
      <c r="I108" s="259">
        <v>0</v>
      </c>
      <c r="J108" s="259">
        <v>0</v>
      </c>
      <c r="K108" s="259">
        <v>0</v>
      </c>
      <c r="L108" s="259">
        <v>0</v>
      </c>
      <c r="M108" s="259">
        <v>0</v>
      </c>
      <c r="N108" s="259">
        <v>0</v>
      </c>
      <c r="O108" s="259">
        <v>0</v>
      </c>
      <c r="P108" s="259">
        <v>0</v>
      </c>
      <c r="Q108" s="259">
        <v>0</v>
      </c>
      <c r="R108" s="259">
        <v>0</v>
      </c>
      <c r="S108" s="259">
        <v>0</v>
      </c>
      <c r="T108" s="259">
        <v>0</v>
      </c>
      <c r="U108" s="259">
        <v>0</v>
      </c>
      <c r="V108" s="259">
        <v>0</v>
      </c>
      <c r="W108" s="259">
        <v>0</v>
      </c>
      <c r="X108" s="259">
        <v>0</v>
      </c>
      <c r="Y108" s="259">
        <v>0</v>
      </c>
      <c r="Z108" s="259">
        <v>0</v>
      </c>
      <c r="AA108" s="259">
        <v>0</v>
      </c>
      <c r="AB108" s="259">
        <v>0</v>
      </c>
      <c r="AC108" s="259">
        <v>0</v>
      </c>
      <c r="AD108" s="259">
        <v>0</v>
      </c>
      <c r="AE108" s="259">
        <v>0</v>
      </c>
      <c r="AF108" s="259">
        <v>0</v>
      </c>
      <c r="AG108" s="259">
        <v>0</v>
      </c>
      <c r="AH108" s="259">
        <v>0</v>
      </c>
      <c r="AI108" s="259">
        <v>0</v>
      </c>
      <c r="AJ108" s="259">
        <v>0</v>
      </c>
      <c r="AK108" s="259">
        <v>0</v>
      </c>
      <c r="AL108" s="259">
        <v>0</v>
      </c>
      <c r="AM108" s="259">
        <v>0</v>
      </c>
      <c r="AN108" s="259">
        <v>0</v>
      </c>
      <c r="AO108" s="259">
        <v>0</v>
      </c>
      <c r="AP108" s="259">
        <v>0</v>
      </c>
      <c r="AQ108" s="259">
        <v>0</v>
      </c>
      <c r="AR108" s="259">
        <v>0</v>
      </c>
      <c r="AS108" s="259">
        <v>0</v>
      </c>
      <c r="AT108" s="259">
        <v>0</v>
      </c>
      <c r="AU108" s="259">
        <v>0</v>
      </c>
      <c r="AV108" s="259">
        <v>0</v>
      </c>
      <c r="AW108" s="259">
        <v>0</v>
      </c>
      <c r="AX108" s="259">
        <v>0</v>
      </c>
      <c r="AY108" s="259">
        <v>0</v>
      </c>
      <c r="AZ108" s="259">
        <v>0</v>
      </c>
      <c r="BA108" s="259">
        <v>0</v>
      </c>
      <c r="BB108" s="259">
        <v>0</v>
      </c>
      <c r="BC108" s="259">
        <v>0</v>
      </c>
      <c r="BD108" s="259">
        <v>0</v>
      </c>
      <c r="BE108" s="259">
        <v>0</v>
      </c>
      <c r="BF108" s="259">
        <v>0</v>
      </c>
    </row>
    <row r="109" spans="1:58" x14ac:dyDescent="0.3">
      <c r="A109" s="260" t="s">
        <v>874</v>
      </c>
      <c r="B109" s="261" t="s">
        <v>784</v>
      </c>
      <c r="C109" s="256">
        <v>0</v>
      </c>
      <c r="D109" s="256">
        <v>0</v>
      </c>
      <c r="E109" s="256">
        <v>0</v>
      </c>
      <c r="F109" s="256">
        <v>0</v>
      </c>
      <c r="G109" s="256">
        <v>0</v>
      </c>
      <c r="H109" s="256">
        <v>0</v>
      </c>
      <c r="I109" s="256">
        <v>0</v>
      </c>
      <c r="J109" s="256">
        <v>0</v>
      </c>
      <c r="K109" s="256">
        <v>0</v>
      </c>
      <c r="L109" s="256">
        <v>0</v>
      </c>
      <c r="M109" s="256">
        <v>0</v>
      </c>
      <c r="N109" s="256">
        <v>0</v>
      </c>
      <c r="O109" s="256">
        <v>0</v>
      </c>
      <c r="P109" s="256">
        <v>0</v>
      </c>
      <c r="Q109" s="256">
        <v>0</v>
      </c>
      <c r="R109" s="256">
        <v>0</v>
      </c>
      <c r="S109" s="256">
        <v>0</v>
      </c>
      <c r="T109" s="256">
        <v>0</v>
      </c>
      <c r="U109" s="256">
        <v>0</v>
      </c>
      <c r="V109" s="256">
        <v>0</v>
      </c>
      <c r="W109" s="256">
        <v>0</v>
      </c>
      <c r="X109" s="256">
        <v>0</v>
      </c>
      <c r="Y109" s="256">
        <v>0</v>
      </c>
      <c r="Z109" s="256">
        <v>0</v>
      </c>
      <c r="AA109" s="256">
        <v>0</v>
      </c>
      <c r="AB109" s="256">
        <v>0</v>
      </c>
      <c r="AC109" s="256">
        <v>0</v>
      </c>
      <c r="AD109" s="256">
        <v>0</v>
      </c>
      <c r="AE109" s="256">
        <v>0</v>
      </c>
      <c r="AF109" s="256">
        <v>0</v>
      </c>
      <c r="AG109" s="256">
        <v>0</v>
      </c>
      <c r="AH109" s="256">
        <v>0</v>
      </c>
      <c r="AI109" s="256">
        <v>0</v>
      </c>
      <c r="AJ109" s="256">
        <v>0</v>
      </c>
      <c r="AK109" s="256">
        <v>0</v>
      </c>
      <c r="AL109" s="256">
        <v>0</v>
      </c>
      <c r="AM109" s="256">
        <v>0</v>
      </c>
      <c r="AN109" s="256">
        <v>0</v>
      </c>
      <c r="AO109" s="256">
        <v>0</v>
      </c>
      <c r="AP109" s="256">
        <v>0</v>
      </c>
      <c r="AQ109" s="256">
        <v>0</v>
      </c>
      <c r="AR109" s="256">
        <v>0</v>
      </c>
      <c r="AS109" s="256">
        <v>0</v>
      </c>
      <c r="AT109" s="256">
        <v>0</v>
      </c>
      <c r="AU109" s="256">
        <v>0</v>
      </c>
      <c r="AV109" s="256">
        <v>0</v>
      </c>
      <c r="AW109" s="256">
        <v>0</v>
      </c>
      <c r="AX109" s="256">
        <v>0</v>
      </c>
      <c r="AY109" s="256">
        <v>0</v>
      </c>
      <c r="AZ109" s="256">
        <v>0</v>
      </c>
      <c r="BA109" s="256">
        <v>0</v>
      </c>
      <c r="BB109" s="256">
        <v>0</v>
      </c>
      <c r="BC109" s="256">
        <v>0</v>
      </c>
      <c r="BD109" s="256">
        <v>0</v>
      </c>
      <c r="BE109" s="256">
        <v>0</v>
      </c>
      <c r="BF109" s="256">
        <v>0</v>
      </c>
    </row>
    <row r="110" spans="1:58" x14ac:dyDescent="0.3">
      <c r="A110" s="262" t="s">
        <v>875</v>
      </c>
      <c r="B110" s="253" t="s">
        <v>784</v>
      </c>
      <c r="C110" s="254">
        <v>0</v>
      </c>
      <c r="D110" s="254">
        <v>0</v>
      </c>
      <c r="E110" s="254">
        <v>0</v>
      </c>
      <c r="F110" s="254">
        <v>0</v>
      </c>
      <c r="G110" s="254">
        <v>0</v>
      </c>
      <c r="H110" s="254">
        <v>0</v>
      </c>
      <c r="I110" s="254">
        <v>0</v>
      </c>
      <c r="J110" s="254">
        <v>0</v>
      </c>
      <c r="K110" s="254">
        <v>0</v>
      </c>
      <c r="L110" s="254">
        <v>0</v>
      </c>
      <c r="M110" s="254">
        <v>0</v>
      </c>
      <c r="N110" s="254">
        <v>0</v>
      </c>
      <c r="O110" s="254">
        <v>0</v>
      </c>
      <c r="P110" s="254">
        <v>0</v>
      </c>
      <c r="Q110" s="254">
        <v>0</v>
      </c>
      <c r="R110" s="254">
        <v>0</v>
      </c>
      <c r="S110" s="254">
        <v>0</v>
      </c>
      <c r="T110" s="254">
        <v>0</v>
      </c>
      <c r="U110" s="254">
        <v>0</v>
      </c>
      <c r="V110" s="254">
        <v>0</v>
      </c>
      <c r="W110" s="254">
        <v>0</v>
      </c>
      <c r="X110" s="254">
        <v>0</v>
      </c>
      <c r="Y110" s="254">
        <v>0</v>
      </c>
      <c r="Z110" s="254">
        <v>0</v>
      </c>
      <c r="AA110" s="254">
        <v>0</v>
      </c>
      <c r="AB110" s="254">
        <v>0</v>
      </c>
      <c r="AC110" s="254">
        <v>0</v>
      </c>
      <c r="AD110" s="254">
        <v>0</v>
      </c>
      <c r="AE110" s="254">
        <v>0</v>
      </c>
      <c r="AF110" s="254">
        <v>0</v>
      </c>
      <c r="AG110" s="254">
        <v>0</v>
      </c>
      <c r="AH110" s="254">
        <v>0</v>
      </c>
      <c r="AI110" s="254">
        <v>0</v>
      </c>
      <c r="AJ110" s="254">
        <v>0</v>
      </c>
      <c r="AK110" s="254">
        <v>0</v>
      </c>
      <c r="AL110" s="254">
        <v>0</v>
      </c>
      <c r="AM110" s="254">
        <v>0</v>
      </c>
      <c r="AN110" s="254">
        <v>0</v>
      </c>
      <c r="AO110" s="254">
        <v>0</v>
      </c>
      <c r="AP110" s="254">
        <v>0</v>
      </c>
      <c r="AQ110" s="254">
        <v>0</v>
      </c>
      <c r="AR110" s="254">
        <v>0</v>
      </c>
      <c r="AS110" s="254">
        <v>0</v>
      </c>
      <c r="AT110" s="254">
        <v>0</v>
      </c>
      <c r="AU110" s="254">
        <v>0</v>
      </c>
      <c r="AV110" s="254">
        <v>0</v>
      </c>
      <c r="AW110" s="254">
        <v>0</v>
      </c>
      <c r="AX110" s="254">
        <v>0</v>
      </c>
      <c r="AY110" s="254">
        <v>0</v>
      </c>
      <c r="AZ110" s="254">
        <v>0</v>
      </c>
      <c r="BA110" s="254">
        <v>0</v>
      </c>
      <c r="BB110" s="254">
        <v>0</v>
      </c>
      <c r="BC110" s="254">
        <v>0</v>
      </c>
      <c r="BD110" s="254">
        <v>0</v>
      </c>
      <c r="BE110" s="254">
        <v>0</v>
      </c>
      <c r="BF110" s="254">
        <v>0</v>
      </c>
    </row>
    <row r="111" spans="1:58" x14ac:dyDescent="0.3">
      <c r="A111" s="262" t="s">
        <v>876</v>
      </c>
      <c r="B111" s="253" t="s">
        <v>784</v>
      </c>
      <c r="C111" s="254">
        <v>0</v>
      </c>
      <c r="D111" s="254">
        <v>0</v>
      </c>
      <c r="E111" s="254">
        <v>0</v>
      </c>
      <c r="F111" s="254">
        <v>0</v>
      </c>
      <c r="G111" s="254">
        <v>0</v>
      </c>
      <c r="H111" s="254">
        <v>0</v>
      </c>
      <c r="I111" s="254">
        <v>0</v>
      </c>
      <c r="J111" s="254">
        <v>0</v>
      </c>
      <c r="K111" s="254">
        <v>0</v>
      </c>
      <c r="L111" s="254">
        <v>0</v>
      </c>
      <c r="M111" s="254">
        <v>0</v>
      </c>
      <c r="N111" s="254">
        <v>0</v>
      </c>
      <c r="O111" s="254">
        <v>0</v>
      </c>
      <c r="P111" s="254">
        <v>0</v>
      </c>
      <c r="Q111" s="254">
        <v>0</v>
      </c>
      <c r="R111" s="254">
        <v>0</v>
      </c>
      <c r="S111" s="254">
        <v>0</v>
      </c>
      <c r="T111" s="254">
        <v>0</v>
      </c>
      <c r="U111" s="254">
        <v>0</v>
      </c>
      <c r="V111" s="254">
        <v>0</v>
      </c>
      <c r="W111" s="254">
        <v>0</v>
      </c>
      <c r="X111" s="254">
        <v>0</v>
      </c>
      <c r="Y111" s="254">
        <v>0</v>
      </c>
      <c r="Z111" s="254">
        <v>0</v>
      </c>
      <c r="AA111" s="254">
        <v>0</v>
      </c>
      <c r="AB111" s="254">
        <v>0</v>
      </c>
      <c r="AC111" s="254">
        <v>0</v>
      </c>
      <c r="AD111" s="254">
        <v>0</v>
      </c>
      <c r="AE111" s="254">
        <v>0</v>
      </c>
      <c r="AF111" s="254">
        <v>0</v>
      </c>
      <c r="AG111" s="254">
        <v>0</v>
      </c>
      <c r="AH111" s="254">
        <v>0</v>
      </c>
      <c r="AI111" s="254">
        <v>0</v>
      </c>
      <c r="AJ111" s="254">
        <v>0</v>
      </c>
      <c r="AK111" s="254">
        <v>0</v>
      </c>
      <c r="AL111" s="254">
        <v>0</v>
      </c>
      <c r="AM111" s="254">
        <v>0</v>
      </c>
      <c r="AN111" s="254">
        <v>0</v>
      </c>
      <c r="AO111" s="254">
        <v>0</v>
      </c>
      <c r="AP111" s="254">
        <v>0</v>
      </c>
      <c r="AQ111" s="254">
        <v>0</v>
      </c>
      <c r="AR111" s="254">
        <v>0</v>
      </c>
      <c r="AS111" s="254">
        <v>0</v>
      </c>
      <c r="AT111" s="254">
        <v>0</v>
      </c>
      <c r="AU111" s="254">
        <v>0</v>
      </c>
      <c r="AV111" s="254">
        <v>0</v>
      </c>
      <c r="AW111" s="254">
        <v>0</v>
      </c>
      <c r="AX111" s="254">
        <v>0</v>
      </c>
      <c r="AY111" s="254">
        <v>0</v>
      </c>
      <c r="AZ111" s="254">
        <v>0</v>
      </c>
      <c r="BA111" s="254">
        <v>0</v>
      </c>
      <c r="BB111" s="254">
        <v>0</v>
      </c>
      <c r="BC111" s="254">
        <v>0</v>
      </c>
      <c r="BD111" s="254">
        <v>0</v>
      </c>
      <c r="BE111" s="254">
        <v>0</v>
      </c>
      <c r="BF111" s="254">
        <v>0</v>
      </c>
    </row>
    <row r="112" spans="1:58" x14ac:dyDescent="0.3">
      <c r="A112" s="262" t="s">
        <v>877</v>
      </c>
      <c r="B112" s="253" t="s">
        <v>784</v>
      </c>
      <c r="C112" s="254">
        <v>0</v>
      </c>
      <c r="D112" s="254">
        <v>0</v>
      </c>
      <c r="E112" s="254">
        <v>0</v>
      </c>
      <c r="F112" s="254">
        <v>0</v>
      </c>
      <c r="G112" s="254">
        <v>0</v>
      </c>
      <c r="H112" s="254">
        <v>0</v>
      </c>
      <c r="I112" s="254">
        <v>0</v>
      </c>
      <c r="J112" s="254">
        <v>0</v>
      </c>
      <c r="K112" s="254">
        <v>0</v>
      </c>
      <c r="L112" s="254">
        <v>0</v>
      </c>
      <c r="M112" s="254">
        <v>0</v>
      </c>
      <c r="N112" s="254">
        <v>0</v>
      </c>
      <c r="O112" s="254">
        <v>0</v>
      </c>
      <c r="P112" s="254">
        <v>0</v>
      </c>
      <c r="Q112" s="254">
        <v>0</v>
      </c>
      <c r="R112" s="254">
        <v>0</v>
      </c>
      <c r="S112" s="254">
        <v>0</v>
      </c>
      <c r="T112" s="254">
        <v>0</v>
      </c>
      <c r="U112" s="254">
        <v>0</v>
      </c>
      <c r="V112" s="254">
        <v>0</v>
      </c>
      <c r="W112" s="254">
        <v>0</v>
      </c>
      <c r="X112" s="254">
        <v>0</v>
      </c>
      <c r="Y112" s="254">
        <v>0</v>
      </c>
      <c r="Z112" s="254">
        <v>0</v>
      </c>
      <c r="AA112" s="254">
        <v>0</v>
      </c>
      <c r="AB112" s="254">
        <v>0</v>
      </c>
      <c r="AC112" s="254">
        <v>0</v>
      </c>
      <c r="AD112" s="254">
        <v>0</v>
      </c>
      <c r="AE112" s="254">
        <v>0</v>
      </c>
      <c r="AF112" s="254">
        <v>0</v>
      </c>
      <c r="AG112" s="254">
        <v>0</v>
      </c>
      <c r="AH112" s="254">
        <v>0</v>
      </c>
      <c r="AI112" s="254">
        <v>0</v>
      </c>
      <c r="AJ112" s="254">
        <v>0</v>
      </c>
      <c r="AK112" s="254">
        <v>0</v>
      </c>
      <c r="AL112" s="254">
        <v>0</v>
      </c>
      <c r="AM112" s="254">
        <v>0</v>
      </c>
      <c r="AN112" s="254">
        <v>0</v>
      </c>
      <c r="AO112" s="254">
        <v>0</v>
      </c>
      <c r="AP112" s="254">
        <v>0</v>
      </c>
      <c r="AQ112" s="254">
        <v>0</v>
      </c>
      <c r="AR112" s="254">
        <v>0</v>
      </c>
      <c r="AS112" s="254">
        <v>0</v>
      </c>
      <c r="AT112" s="254">
        <v>0</v>
      </c>
      <c r="AU112" s="254">
        <v>0</v>
      </c>
      <c r="AV112" s="254">
        <v>0</v>
      </c>
      <c r="AW112" s="254">
        <v>0</v>
      </c>
      <c r="AX112" s="254">
        <v>0</v>
      </c>
      <c r="AY112" s="254">
        <v>0</v>
      </c>
      <c r="AZ112" s="254">
        <v>0</v>
      </c>
      <c r="BA112" s="254">
        <v>0</v>
      </c>
      <c r="BB112" s="254">
        <v>0</v>
      </c>
      <c r="BC112" s="254">
        <v>0</v>
      </c>
      <c r="BD112" s="254">
        <v>0</v>
      </c>
      <c r="BE112" s="254">
        <v>0</v>
      </c>
      <c r="BF112" s="254">
        <v>0</v>
      </c>
    </row>
    <row r="113" spans="1:58" x14ac:dyDescent="0.3">
      <c r="A113" s="262" t="s">
        <v>878</v>
      </c>
      <c r="B113" s="253" t="s">
        <v>784</v>
      </c>
      <c r="C113" s="254">
        <v>0</v>
      </c>
      <c r="D113" s="254">
        <v>0</v>
      </c>
      <c r="E113" s="254">
        <v>0</v>
      </c>
      <c r="F113" s="254">
        <v>0</v>
      </c>
      <c r="G113" s="254">
        <v>0</v>
      </c>
      <c r="H113" s="254">
        <v>0</v>
      </c>
      <c r="I113" s="254">
        <v>0</v>
      </c>
      <c r="J113" s="254">
        <v>0</v>
      </c>
      <c r="K113" s="254">
        <v>0</v>
      </c>
      <c r="L113" s="254">
        <v>0</v>
      </c>
      <c r="M113" s="254">
        <v>0</v>
      </c>
      <c r="N113" s="254">
        <v>0</v>
      </c>
      <c r="O113" s="254">
        <v>0</v>
      </c>
      <c r="P113" s="254">
        <v>0</v>
      </c>
      <c r="Q113" s="254">
        <v>0</v>
      </c>
      <c r="R113" s="254">
        <v>0</v>
      </c>
      <c r="S113" s="254">
        <v>0</v>
      </c>
      <c r="T113" s="254">
        <v>0</v>
      </c>
      <c r="U113" s="254">
        <v>0</v>
      </c>
      <c r="V113" s="254">
        <v>0</v>
      </c>
      <c r="W113" s="254">
        <v>0</v>
      </c>
      <c r="X113" s="254">
        <v>0</v>
      </c>
      <c r="Y113" s="254">
        <v>0</v>
      </c>
      <c r="Z113" s="254">
        <v>0</v>
      </c>
      <c r="AA113" s="254">
        <v>0</v>
      </c>
      <c r="AB113" s="254">
        <v>0</v>
      </c>
      <c r="AC113" s="254">
        <v>0</v>
      </c>
      <c r="AD113" s="254">
        <v>0</v>
      </c>
      <c r="AE113" s="254">
        <v>0</v>
      </c>
      <c r="AF113" s="254">
        <v>0</v>
      </c>
      <c r="AG113" s="254">
        <v>0</v>
      </c>
      <c r="AH113" s="254">
        <v>0</v>
      </c>
      <c r="AI113" s="254">
        <v>0</v>
      </c>
      <c r="AJ113" s="254">
        <v>0</v>
      </c>
      <c r="AK113" s="254">
        <v>0</v>
      </c>
      <c r="AL113" s="254">
        <v>0</v>
      </c>
      <c r="AM113" s="254">
        <v>0</v>
      </c>
      <c r="AN113" s="254">
        <v>0</v>
      </c>
      <c r="AO113" s="254">
        <v>0</v>
      </c>
      <c r="AP113" s="254">
        <v>0</v>
      </c>
      <c r="AQ113" s="254">
        <v>0</v>
      </c>
      <c r="AR113" s="254">
        <v>0</v>
      </c>
      <c r="AS113" s="254">
        <v>0</v>
      </c>
      <c r="AT113" s="254">
        <v>0</v>
      </c>
      <c r="AU113" s="254">
        <v>0</v>
      </c>
      <c r="AV113" s="254">
        <v>0</v>
      </c>
      <c r="AW113" s="254">
        <v>0</v>
      </c>
      <c r="AX113" s="254">
        <v>0</v>
      </c>
      <c r="AY113" s="254">
        <v>0</v>
      </c>
      <c r="AZ113" s="254">
        <v>0</v>
      </c>
      <c r="BA113" s="254">
        <v>0</v>
      </c>
      <c r="BB113" s="254">
        <v>0</v>
      </c>
      <c r="BC113" s="254">
        <v>0</v>
      </c>
      <c r="BD113" s="254">
        <v>0</v>
      </c>
      <c r="BE113" s="254">
        <v>0</v>
      </c>
      <c r="BF113" s="254">
        <v>0</v>
      </c>
    </row>
    <row r="114" spans="1:58" x14ac:dyDescent="0.3">
      <c r="A114" s="262" t="s">
        <v>790</v>
      </c>
      <c r="B114" s="253" t="s">
        <v>784</v>
      </c>
      <c r="C114" s="254">
        <v>0</v>
      </c>
      <c r="D114" s="254">
        <v>0</v>
      </c>
      <c r="E114" s="254">
        <v>0</v>
      </c>
      <c r="F114" s="254">
        <v>0</v>
      </c>
      <c r="G114" s="254">
        <v>0</v>
      </c>
      <c r="H114" s="254">
        <v>0</v>
      </c>
      <c r="I114" s="254">
        <v>0</v>
      </c>
      <c r="J114" s="254">
        <v>0</v>
      </c>
      <c r="K114" s="254">
        <v>0</v>
      </c>
      <c r="L114" s="254">
        <v>0</v>
      </c>
      <c r="M114" s="254">
        <v>0</v>
      </c>
      <c r="N114" s="254">
        <v>0</v>
      </c>
      <c r="O114" s="254">
        <v>0</v>
      </c>
      <c r="P114" s="254">
        <v>0</v>
      </c>
      <c r="Q114" s="254">
        <v>0</v>
      </c>
      <c r="R114" s="254">
        <v>0</v>
      </c>
      <c r="S114" s="254">
        <v>0</v>
      </c>
      <c r="T114" s="254">
        <v>0</v>
      </c>
      <c r="U114" s="254">
        <v>0</v>
      </c>
      <c r="V114" s="254">
        <v>0</v>
      </c>
      <c r="W114" s="254">
        <v>0</v>
      </c>
      <c r="X114" s="254">
        <v>0</v>
      </c>
      <c r="Y114" s="254">
        <v>0</v>
      </c>
      <c r="Z114" s="254">
        <v>0</v>
      </c>
      <c r="AA114" s="254">
        <v>0</v>
      </c>
      <c r="AB114" s="254">
        <v>0</v>
      </c>
      <c r="AC114" s="254">
        <v>0</v>
      </c>
      <c r="AD114" s="254">
        <v>0</v>
      </c>
      <c r="AE114" s="254">
        <v>0</v>
      </c>
      <c r="AF114" s="254">
        <v>0</v>
      </c>
      <c r="AG114" s="254">
        <v>0</v>
      </c>
      <c r="AH114" s="254">
        <v>0</v>
      </c>
      <c r="AI114" s="254">
        <v>0</v>
      </c>
      <c r="AJ114" s="254">
        <v>0</v>
      </c>
      <c r="AK114" s="254">
        <v>0</v>
      </c>
      <c r="AL114" s="254">
        <v>0</v>
      </c>
      <c r="AM114" s="254">
        <v>0</v>
      </c>
      <c r="AN114" s="254">
        <v>0</v>
      </c>
      <c r="AO114" s="254">
        <v>0</v>
      </c>
      <c r="AP114" s="254">
        <v>0</v>
      </c>
      <c r="AQ114" s="254">
        <v>0</v>
      </c>
      <c r="AR114" s="254">
        <v>0</v>
      </c>
      <c r="AS114" s="254">
        <v>0</v>
      </c>
      <c r="AT114" s="254">
        <v>0</v>
      </c>
      <c r="AU114" s="254">
        <v>0</v>
      </c>
      <c r="AV114" s="254">
        <v>0</v>
      </c>
      <c r="AW114" s="254">
        <v>0</v>
      </c>
      <c r="AX114" s="254">
        <v>0</v>
      </c>
      <c r="AY114" s="254">
        <v>0</v>
      </c>
      <c r="AZ114" s="254">
        <v>0</v>
      </c>
      <c r="BA114" s="254">
        <v>0</v>
      </c>
      <c r="BB114" s="254">
        <v>0</v>
      </c>
      <c r="BC114" s="254">
        <v>0</v>
      </c>
      <c r="BD114" s="254">
        <v>0</v>
      </c>
      <c r="BE114" s="254">
        <v>0</v>
      </c>
      <c r="BF114" s="254">
        <v>0</v>
      </c>
    </row>
    <row r="115" spans="1:58" x14ac:dyDescent="0.3">
      <c r="A115" s="260" t="s">
        <v>879</v>
      </c>
      <c r="B115" s="261" t="s">
        <v>784</v>
      </c>
      <c r="C115" s="256">
        <v>0</v>
      </c>
      <c r="D115" s="256">
        <v>0</v>
      </c>
      <c r="E115" s="256">
        <v>0</v>
      </c>
      <c r="F115" s="256">
        <v>0</v>
      </c>
      <c r="G115" s="256">
        <v>0</v>
      </c>
      <c r="H115" s="256">
        <v>0</v>
      </c>
      <c r="I115" s="256">
        <v>0</v>
      </c>
      <c r="J115" s="256">
        <v>0</v>
      </c>
      <c r="K115" s="256">
        <v>0</v>
      </c>
      <c r="L115" s="256">
        <v>0</v>
      </c>
      <c r="M115" s="256">
        <v>0</v>
      </c>
      <c r="N115" s="256">
        <v>0</v>
      </c>
      <c r="O115" s="256">
        <v>0</v>
      </c>
      <c r="P115" s="256">
        <v>0</v>
      </c>
      <c r="Q115" s="256">
        <v>0</v>
      </c>
      <c r="R115" s="256">
        <v>0</v>
      </c>
      <c r="S115" s="256">
        <v>0</v>
      </c>
      <c r="T115" s="256">
        <v>0</v>
      </c>
      <c r="U115" s="256">
        <v>0</v>
      </c>
      <c r="V115" s="256">
        <v>0</v>
      </c>
      <c r="W115" s="256">
        <v>0</v>
      </c>
      <c r="X115" s="256">
        <v>0</v>
      </c>
      <c r="Y115" s="256">
        <v>0</v>
      </c>
      <c r="Z115" s="256">
        <v>0</v>
      </c>
      <c r="AA115" s="256">
        <v>0</v>
      </c>
      <c r="AB115" s="256">
        <v>0</v>
      </c>
      <c r="AC115" s="256">
        <v>0</v>
      </c>
      <c r="AD115" s="256">
        <v>0</v>
      </c>
      <c r="AE115" s="256">
        <v>0</v>
      </c>
      <c r="AF115" s="256">
        <v>0</v>
      </c>
      <c r="AG115" s="256">
        <v>0</v>
      </c>
      <c r="AH115" s="256">
        <v>0</v>
      </c>
      <c r="AI115" s="256">
        <v>0</v>
      </c>
      <c r="AJ115" s="256">
        <v>0</v>
      </c>
      <c r="AK115" s="256">
        <v>0</v>
      </c>
      <c r="AL115" s="256">
        <v>0</v>
      </c>
      <c r="AM115" s="256">
        <v>0</v>
      </c>
      <c r="AN115" s="256">
        <v>0</v>
      </c>
      <c r="AO115" s="256">
        <v>0</v>
      </c>
      <c r="AP115" s="256">
        <v>0</v>
      </c>
      <c r="AQ115" s="256">
        <v>0</v>
      </c>
      <c r="AR115" s="256">
        <v>0</v>
      </c>
      <c r="AS115" s="256">
        <v>0</v>
      </c>
      <c r="AT115" s="256">
        <v>0</v>
      </c>
      <c r="AU115" s="256">
        <v>0</v>
      </c>
      <c r="AV115" s="256">
        <v>0</v>
      </c>
      <c r="AW115" s="256">
        <v>0</v>
      </c>
      <c r="AX115" s="256">
        <v>0</v>
      </c>
      <c r="AY115" s="256">
        <v>0</v>
      </c>
      <c r="AZ115" s="256">
        <v>0</v>
      </c>
      <c r="BA115" s="256">
        <v>0</v>
      </c>
      <c r="BB115" s="256">
        <v>0</v>
      </c>
      <c r="BC115" s="256">
        <v>0</v>
      </c>
      <c r="BD115" s="256">
        <v>0</v>
      </c>
      <c r="BE115" s="256">
        <v>0</v>
      </c>
      <c r="BF115" s="256">
        <v>0</v>
      </c>
    </row>
    <row r="116" spans="1:58" x14ac:dyDescent="0.3">
      <c r="A116" s="262" t="s">
        <v>880</v>
      </c>
      <c r="B116" s="253" t="s">
        <v>784</v>
      </c>
      <c r="C116" s="254">
        <v>0</v>
      </c>
      <c r="D116" s="254">
        <v>0</v>
      </c>
      <c r="E116" s="254">
        <v>0</v>
      </c>
      <c r="F116" s="254">
        <v>0</v>
      </c>
      <c r="G116" s="254">
        <v>0</v>
      </c>
      <c r="H116" s="254">
        <v>0</v>
      </c>
      <c r="I116" s="254">
        <v>0</v>
      </c>
      <c r="J116" s="254">
        <v>0</v>
      </c>
      <c r="K116" s="254">
        <v>0</v>
      </c>
      <c r="L116" s="254">
        <v>0</v>
      </c>
      <c r="M116" s="254">
        <v>0</v>
      </c>
      <c r="N116" s="254">
        <v>0</v>
      </c>
      <c r="O116" s="254">
        <v>0</v>
      </c>
      <c r="P116" s="254">
        <v>0</v>
      </c>
      <c r="Q116" s="254">
        <v>0</v>
      </c>
      <c r="R116" s="254">
        <v>0</v>
      </c>
      <c r="S116" s="254">
        <v>0</v>
      </c>
      <c r="T116" s="254">
        <v>0</v>
      </c>
      <c r="U116" s="254">
        <v>0</v>
      </c>
      <c r="V116" s="254">
        <v>0</v>
      </c>
      <c r="W116" s="254">
        <v>0</v>
      </c>
      <c r="X116" s="254">
        <v>0</v>
      </c>
      <c r="Y116" s="254">
        <v>0</v>
      </c>
      <c r="Z116" s="254">
        <v>0</v>
      </c>
      <c r="AA116" s="254">
        <v>0</v>
      </c>
      <c r="AB116" s="254">
        <v>0</v>
      </c>
      <c r="AC116" s="254">
        <v>0</v>
      </c>
      <c r="AD116" s="254">
        <v>0</v>
      </c>
      <c r="AE116" s="254">
        <v>0</v>
      </c>
      <c r="AF116" s="254">
        <v>0</v>
      </c>
      <c r="AG116" s="254">
        <v>0</v>
      </c>
      <c r="AH116" s="254">
        <v>0</v>
      </c>
      <c r="AI116" s="254">
        <v>0</v>
      </c>
      <c r="AJ116" s="254">
        <v>0</v>
      </c>
      <c r="AK116" s="254">
        <v>0</v>
      </c>
      <c r="AL116" s="254">
        <v>0</v>
      </c>
      <c r="AM116" s="254">
        <v>0</v>
      </c>
      <c r="AN116" s="254">
        <v>0</v>
      </c>
      <c r="AO116" s="254">
        <v>0</v>
      </c>
      <c r="AP116" s="254">
        <v>0</v>
      </c>
      <c r="AQ116" s="254">
        <v>0</v>
      </c>
      <c r="AR116" s="254">
        <v>0</v>
      </c>
      <c r="AS116" s="254">
        <v>0</v>
      </c>
      <c r="AT116" s="254">
        <v>0</v>
      </c>
      <c r="AU116" s="254">
        <v>0</v>
      </c>
      <c r="AV116" s="254">
        <v>0</v>
      </c>
      <c r="AW116" s="254">
        <v>0</v>
      </c>
      <c r="AX116" s="254">
        <v>0</v>
      </c>
      <c r="AY116" s="254">
        <v>0</v>
      </c>
      <c r="AZ116" s="254">
        <v>0</v>
      </c>
      <c r="BA116" s="254">
        <v>0</v>
      </c>
      <c r="BB116" s="254">
        <v>0</v>
      </c>
      <c r="BC116" s="254">
        <v>0</v>
      </c>
      <c r="BD116" s="254">
        <v>0</v>
      </c>
      <c r="BE116" s="254">
        <v>0</v>
      </c>
      <c r="BF116" s="254">
        <v>0</v>
      </c>
    </row>
    <row r="117" spans="1:58" x14ac:dyDescent="0.3">
      <c r="A117" s="262" t="s">
        <v>881</v>
      </c>
      <c r="B117" s="253" t="s">
        <v>784</v>
      </c>
      <c r="C117" s="254">
        <v>0</v>
      </c>
      <c r="D117" s="254">
        <v>0</v>
      </c>
      <c r="E117" s="254">
        <v>0</v>
      </c>
      <c r="F117" s="254">
        <v>0</v>
      </c>
      <c r="G117" s="254">
        <v>0</v>
      </c>
      <c r="H117" s="254">
        <v>0</v>
      </c>
      <c r="I117" s="254">
        <v>0</v>
      </c>
      <c r="J117" s="254">
        <v>0</v>
      </c>
      <c r="K117" s="254">
        <v>0</v>
      </c>
      <c r="L117" s="254">
        <v>0</v>
      </c>
      <c r="M117" s="254">
        <v>0</v>
      </c>
      <c r="N117" s="254">
        <v>0</v>
      </c>
      <c r="O117" s="254">
        <v>0</v>
      </c>
      <c r="P117" s="254">
        <v>0</v>
      </c>
      <c r="Q117" s="254">
        <v>0</v>
      </c>
      <c r="R117" s="254">
        <v>0</v>
      </c>
      <c r="S117" s="254">
        <v>0</v>
      </c>
      <c r="T117" s="254">
        <v>0</v>
      </c>
      <c r="U117" s="254">
        <v>0</v>
      </c>
      <c r="V117" s="254">
        <v>0</v>
      </c>
      <c r="W117" s="254">
        <v>0</v>
      </c>
      <c r="X117" s="254">
        <v>0</v>
      </c>
      <c r="Y117" s="254">
        <v>0</v>
      </c>
      <c r="Z117" s="254">
        <v>0</v>
      </c>
      <c r="AA117" s="254">
        <v>0</v>
      </c>
      <c r="AB117" s="254">
        <v>0</v>
      </c>
      <c r="AC117" s="254">
        <v>0</v>
      </c>
      <c r="AD117" s="254">
        <v>0</v>
      </c>
      <c r="AE117" s="254">
        <v>0</v>
      </c>
      <c r="AF117" s="254">
        <v>0</v>
      </c>
      <c r="AG117" s="254">
        <v>0</v>
      </c>
      <c r="AH117" s="254">
        <v>0</v>
      </c>
      <c r="AI117" s="254">
        <v>0</v>
      </c>
      <c r="AJ117" s="254">
        <v>0</v>
      </c>
      <c r="AK117" s="254">
        <v>0</v>
      </c>
      <c r="AL117" s="254">
        <v>0</v>
      </c>
      <c r="AM117" s="254">
        <v>0</v>
      </c>
      <c r="AN117" s="254">
        <v>0</v>
      </c>
      <c r="AO117" s="254">
        <v>0</v>
      </c>
      <c r="AP117" s="254">
        <v>0</v>
      </c>
      <c r="AQ117" s="254">
        <v>0</v>
      </c>
      <c r="AR117" s="254">
        <v>0</v>
      </c>
      <c r="AS117" s="254">
        <v>0</v>
      </c>
      <c r="AT117" s="254">
        <v>0</v>
      </c>
      <c r="AU117" s="254">
        <v>0</v>
      </c>
      <c r="AV117" s="254">
        <v>0</v>
      </c>
      <c r="AW117" s="254">
        <v>0</v>
      </c>
      <c r="AX117" s="254">
        <v>0</v>
      </c>
      <c r="AY117" s="254">
        <v>0</v>
      </c>
      <c r="AZ117" s="254">
        <v>0</v>
      </c>
      <c r="BA117" s="254">
        <v>0</v>
      </c>
      <c r="BB117" s="254">
        <v>0</v>
      </c>
      <c r="BC117" s="254">
        <v>0</v>
      </c>
      <c r="BD117" s="254">
        <v>0</v>
      </c>
      <c r="BE117" s="254">
        <v>0</v>
      </c>
      <c r="BF117" s="254">
        <v>0</v>
      </c>
    </row>
    <row r="118" spans="1:58" x14ac:dyDescent="0.3">
      <c r="A118" s="262" t="s">
        <v>882</v>
      </c>
      <c r="B118" s="253" t="s">
        <v>784</v>
      </c>
      <c r="C118" s="254">
        <v>0</v>
      </c>
      <c r="D118" s="254">
        <v>0</v>
      </c>
      <c r="E118" s="254">
        <v>0</v>
      </c>
      <c r="F118" s="254">
        <v>0</v>
      </c>
      <c r="G118" s="254">
        <v>0</v>
      </c>
      <c r="H118" s="254">
        <v>0</v>
      </c>
      <c r="I118" s="254">
        <v>0</v>
      </c>
      <c r="J118" s="254">
        <v>0</v>
      </c>
      <c r="K118" s="254">
        <v>0</v>
      </c>
      <c r="L118" s="254">
        <v>0</v>
      </c>
      <c r="M118" s="254">
        <v>0</v>
      </c>
      <c r="N118" s="254">
        <v>0</v>
      </c>
      <c r="O118" s="254">
        <v>0</v>
      </c>
      <c r="P118" s="254">
        <v>0</v>
      </c>
      <c r="Q118" s="254">
        <v>0</v>
      </c>
      <c r="R118" s="254">
        <v>0</v>
      </c>
      <c r="S118" s="254">
        <v>0</v>
      </c>
      <c r="T118" s="254">
        <v>0</v>
      </c>
      <c r="U118" s="254">
        <v>0</v>
      </c>
      <c r="V118" s="254">
        <v>0</v>
      </c>
      <c r="W118" s="254">
        <v>0</v>
      </c>
      <c r="X118" s="254">
        <v>0</v>
      </c>
      <c r="Y118" s="254">
        <v>0</v>
      </c>
      <c r="Z118" s="254">
        <v>0</v>
      </c>
      <c r="AA118" s="254">
        <v>0</v>
      </c>
      <c r="AB118" s="254">
        <v>0</v>
      </c>
      <c r="AC118" s="254">
        <v>0</v>
      </c>
      <c r="AD118" s="254">
        <v>0</v>
      </c>
      <c r="AE118" s="254">
        <v>0</v>
      </c>
      <c r="AF118" s="254">
        <v>0</v>
      </c>
      <c r="AG118" s="254">
        <v>0</v>
      </c>
      <c r="AH118" s="254">
        <v>0</v>
      </c>
      <c r="AI118" s="254">
        <v>0</v>
      </c>
      <c r="AJ118" s="254">
        <v>0</v>
      </c>
      <c r="AK118" s="254">
        <v>0</v>
      </c>
      <c r="AL118" s="254">
        <v>0</v>
      </c>
      <c r="AM118" s="254">
        <v>0</v>
      </c>
      <c r="AN118" s="254">
        <v>0</v>
      </c>
      <c r="AO118" s="254">
        <v>0</v>
      </c>
      <c r="AP118" s="254">
        <v>0</v>
      </c>
      <c r="AQ118" s="254">
        <v>0</v>
      </c>
      <c r="AR118" s="254">
        <v>0</v>
      </c>
      <c r="AS118" s="254">
        <v>0</v>
      </c>
      <c r="AT118" s="254">
        <v>0</v>
      </c>
      <c r="AU118" s="254">
        <v>0</v>
      </c>
      <c r="AV118" s="254">
        <v>0</v>
      </c>
      <c r="AW118" s="254">
        <v>0</v>
      </c>
      <c r="AX118" s="254">
        <v>0</v>
      </c>
      <c r="AY118" s="254">
        <v>0</v>
      </c>
      <c r="AZ118" s="254">
        <v>0</v>
      </c>
      <c r="BA118" s="254">
        <v>0</v>
      </c>
      <c r="BB118" s="254">
        <v>0</v>
      </c>
      <c r="BC118" s="254">
        <v>0</v>
      </c>
      <c r="BD118" s="254">
        <v>0</v>
      </c>
      <c r="BE118" s="254">
        <v>0</v>
      </c>
      <c r="BF118" s="254">
        <v>0</v>
      </c>
    </row>
    <row r="119" spans="1:58" x14ac:dyDescent="0.3">
      <c r="A119" s="262" t="s">
        <v>790</v>
      </c>
      <c r="B119" s="253" t="s">
        <v>784</v>
      </c>
      <c r="C119" s="254">
        <v>0</v>
      </c>
      <c r="D119" s="254">
        <v>0</v>
      </c>
      <c r="E119" s="254">
        <v>0</v>
      </c>
      <c r="F119" s="254">
        <v>0</v>
      </c>
      <c r="G119" s="254">
        <v>0</v>
      </c>
      <c r="H119" s="254">
        <v>0</v>
      </c>
      <c r="I119" s="254">
        <v>0</v>
      </c>
      <c r="J119" s="254">
        <v>0</v>
      </c>
      <c r="K119" s="254">
        <v>0</v>
      </c>
      <c r="L119" s="254">
        <v>0</v>
      </c>
      <c r="M119" s="254">
        <v>0</v>
      </c>
      <c r="N119" s="254">
        <v>0</v>
      </c>
      <c r="O119" s="254">
        <v>0</v>
      </c>
      <c r="P119" s="254">
        <v>0</v>
      </c>
      <c r="Q119" s="254">
        <v>0</v>
      </c>
      <c r="R119" s="254">
        <v>0</v>
      </c>
      <c r="S119" s="254">
        <v>0</v>
      </c>
      <c r="T119" s="254">
        <v>0</v>
      </c>
      <c r="U119" s="254">
        <v>0</v>
      </c>
      <c r="V119" s="254">
        <v>0</v>
      </c>
      <c r="W119" s="254">
        <v>0</v>
      </c>
      <c r="X119" s="254">
        <v>0</v>
      </c>
      <c r="Y119" s="254">
        <v>0</v>
      </c>
      <c r="Z119" s="254">
        <v>0</v>
      </c>
      <c r="AA119" s="254">
        <v>0</v>
      </c>
      <c r="AB119" s="254">
        <v>0</v>
      </c>
      <c r="AC119" s="254">
        <v>0</v>
      </c>
      <c r="AD119" s="254">
        <v>0</v>
      </c>
      <c r="AE119" s="254">
        <v>0</v>
      </c>
      <c r="AF119" s="254">
        <v>0</v>
      </c>
      <c r="AG119" s="254">
        <v>0</v>
      </c>
      <c r="AH119" s="254">
        <v>0</v>
      </c>
      <c r="AI119" s="254">
        <v>0</v>
      </c>
      <c r="AJ119" s="254">
        <v>0</v>
      </c>
      <c r="AK119" s="254">
        <v>0</v>
      </c>
      <c r="AL119" s="254">
        <v>0</v>
      </c>
      <c r="AM119" s="254">
        <v>0</v>
      </c>
      <c r="AN119" s="254">
        <v>0</v>
      </c>
      <c r="AO119" s="254">
        <v>0</v>
      </c>
      <c r="AP119" s="254">
        <v>0</v>
      </c>
      <c r="AQ119" s="254">
        <v>0</v>
      </c>
      <c r="AR119" s="254">
        <v>0</v>
      </c>
      <c r="AS119" s="254">
        <v>0</v>
      </c>
      <c r="AT119" s="254">
        <v>0</v>
      </c>
      <c r="AU119" s="254">
        <v>0</v>
      </c>
      <c r="AV119" s="254">
        <v>0</v>
      </c>
      <c r="AW119" s="254">
        <v>0</v>
      </c>
      <c r="AX119" s="254">
        <v>0</v>
      </c>
      <c r="AY119" s="254">
        <v>0</v>
      </c>
      <c r="AZ119" s="254">
        <v>0</v>
      </c>
      <c r="BA119" s="254">
        <v>0</v>
      </c>
      <c r="BB119" s="254">
        <v>0</v>
      </c>
      <c r="BC119" s="254">
        <v>0</v>
      </c>
      <c r="BD119" s="254">
        <v>0</v>
      </c>
      <c r="BE119" s="254">
        <v>0</v>
      </c>
      <c r="BF119" s="254">
        <v>0</v>
      </c>
    </row>
    <row r="120" spans="1:58" x14ac:dyDescent="0.3">
      <c r="A120" s="257" t="s">
        <v>883</v>
      </c>
      <c r="B120" s="258" t="s">
        <v>784</v>
      </c>
      <c r="C120" s="258" t="s">
        <v>784</v>
      </c>
      <c r="D120" s="258" t="s">
        <v>784</v>
      </c>
      <c r="E120" s="258" t="s">
        <v>784</v>
      </c>
      <c r="F120" s="259">
        <v>0</v>
      </c>
      <c r="G120" s="259">
        <v>0</v>
      </c>
      <c r="H120" s="259">
        <v>0</v>
      </c>
      <c r="I120" s="259">
        <v>0</v>
      </c>
      <c r="J120" s="259">
        <v>0</v>
      </c>
      <c r="K120" s="259">
        <v>0</v>
      </c>
      <c r="L120" s="259">
        <v>0</v>
      </c>
      <c r="M120" s="259">
        <v>0</v>
      </c>
      <c r="N120" s="259">
        <v>0</v>
      </c>
      <c r="O120" s="259">
        <v>0</v>
      </c>
      <c r="P120" s="259">
        <v>0</v>
      </c>
      <c r="Q120" s="259">
        <v>0</v>
      </c>
      <c r="R120" s="259">
        <v>0</v>
      </c>
      <c r="S120" s="259">
        <v>0</v>
      </c>
      <c r="T120" s="259">
        <v>0</v>
      </c>
      <c r="U120" s="259">
        <v>0</v>
      </c>
      <c r="V120" s="259">
        <v>0</v>
      </c>
      <c r="W120" s="259">
        <v>0</v>
      </c>
      <c r="X120" s="259">
        <v>0</v>
      </c>
      <c r="Y120" s="259">
        <v>0</v>
      </c>
      <c r="Z120" s="259">
        <v>0</v>
      </c>
      <c r="AA120" s="259">
        <v>0</v>
      </c>
      <c r="AB120" s="259">
        <v>0</v>
      </c>
      <c r="AC120" s="259">
        <v>0</v>
      </c>
      <c r="AD120" s="259">
        <v>0</v>
      </c>
      <c r="AE120" s="259">
        <v>0</v>
      </c>
      <c r="AF120" s="259">
        <v>0</v>
      </c>
      <c r="AG120" s="259">
        <v>0</v>
      </c>
      <c r="AH120" s="259">
        <v>0</v>
      </c>
      <c r="AI120" s="259">
        <v>0</v>
      </c>
      <c r="AJ120" s="259">
        <v>0</v>
      </c>
      <c r="AK120" s="259">
        <v>0</v>
      </c>
      <c r="AL120" s="259">
        <v>0</v>
      </c>
      <c r="AM120" s="259">
        <v>0</v>
      </c>
      <c r="AN120" s="259">
        <v>0</v>
      </c>
      <c r="AO120" s="259">
        <v>0</v>
      </c>
      <c r="AP120" s="259">
        <v>0</v>
      </c>
      <c r="AQ120" s="259">
        <v>0</v>
      </c>
      <c r="AR120" s="259">
        <v>0</v>
      </c>
      <c r="AS120" s="259">
        <v>0</v>
      </c>
      <c r="AT120" s="259">
        <v>-2649</v>
      </c>
      <c r="AU120" s="259">
        <v>462</v>
      </c>
      <c r="AV120" s="259">
        <v>-2054</v>
      </c>
      <c r="AW120" s="259">
        <v>-2845</v>
      </c>
      <c r="AX120" s="259">
        <v>-4502</v>
      </c>
      <c r="AY120" s="259">
        <v>0</v>
      </c>
      <c r="AZ120" s="259">
        <v>0</v>
      </c>
      <c r="BA120" s="259">
        <v>0</v>
      </c>
      <c r="BB120" s="259">
        <v>-16654</v>
      </c>
      <c r="BC120" s="259">
        <v>-16514</v>
      </c>
      <c r="BD120" s="259">
        <v>-16619</v>
      </c>
      <c r="BE120" s="259">
        <v>-19363</v>
      </c>
      <c r="BF120" s="259">
        <v>0</v>
      </c>
    </row>
    <row r="121" spans="1:58" x14ac:dyDescent="0.3">
      <c r="A121" s="260" t="s">
        <v>884</v>
      </c>
      <c r="B121" s="261" t="s">
        <v>784</v>
      </c>
      <c r="C121" s="261" t="s">
        <v>784</v>
      </c>
      <c r="D121" s="261" t="s">
        <v>784</v>
      </c>
      <c r="E121" s="261" t="s">
        <v>784</v>
      </c>
      <c r="F121" s="256">
        <v>0</v>
      </c>
      <c r="G121" s="256">
        <v>0</v>
      </c>
      <c r="H121" s="256">
        <v>0</v>
      </c>
      <c r="I121" s="256">
        <v>0</v>
      </c>
      <c r="J121" s="256">
        <v>0</v>
      </c>
      <c r="K121" s="256">
        <v>0</v>
      </c>
      <c r="L121" s="256">
        <v>0</v>
      </c>
      <c r="M121" s="256">
        <v>0</v>
      </c>
      <c r="N121" s="256">
        <v>0</v>
      </c>
      <c r="O121" s="256">
        <v>0</v>
      </c>
      <c r="P121" s="256">
        <v>0</v>
      </c>
      <c r="Q121" s="256">
        <v>0</v>
      </c>
      <c r="R121" s="256">
        <v>0</v>
      </c>
      <c r="S121" s="256">
        <v>0</v>
      </c>
      <c r="T121" s="256">
        <v>0</v>
      </c>
      <c r="U121" s="256">
        <v>0</v>
      </c>
      <c r="V121" s="256">
        <v>0</v>
      </c>
      <c r="W121" s="256">
        <v>0</v>
      </c>
      <c r="X121" s="256">
        <v>0</v>
      </c>
      <c r="Y121" s="256">
        <v>0</v>
      </c>
      <c r="Z121" s="256">
        <v>0</v>
      </c>
      <c r="AA121" s="256">
        <v>0</v>
      </c>
      <c r="AB121" s="256">
        <v>0</v>
      </c>
      <c r="AC121" s="256">
        <v>0</v>
      </c>
      <c r="AD121" s="256">
        <v>0</v>
      </c>
      <c r="AE121" s="256">
        <v>0</v>
      </c>
      <c r="AF121" s="256">
        <v>0</v>
      </c>
      <c r="AG121" s="256">
        <v>0</v>
      </c>
      <c r="AH121" s="256">
        <v>0</v>
      </c>
      <c r="AI121" s="256">
        <v>0</v>
      </c>
      <c r="AJ121" s="256">
        <v>0</v>
      </c>
      <c r="AK121" s="256">
        <v>0</v>
      </c>
      <c r="AL121" s="256">
        <v>0</v>
      </c>
      <c r="AM121" s="256">
        <v>0</v>
      </c>
      <c r="AN121" s="256">
        <v>0</v>
      </c>
      <c r="AO121" s="256">
        <v>0</v>
      </c>
      <c r="AP121" s="256">
        <v>0</v>
      </c>
      <c r="AQ121" s="256">
        <v>0</v>
      </c>
      <c r="AR121" s="256">
        <v>0</v>
      </c>
      <c r="AS121" s="256">
        <v>0</v>
      </c>
      <c r="AT121" s="256">
        <v>0</v>
      </c>
      <c r="AU121" s="256">
        <v>0</v>
      </c>
      <c r="AV121" s="256">
        <v>0</v>
      </c>
      <c r="AW121" s="256">
        <v>0</v>
      </c>
      <c r="AX121" s="256">
        <v>0</v>
      </c>
      <c r="AY121" s="256">
        <v>0</v>
      </c>
      <c r="AZ121" s="256">
        <v>0</v>
      </c>
      <c r="BA121" s="256">
        <v>0</v>
      </c>
      <c r="BB121" s="256">
        <v>0</v>
      </c>
      <c r="BC121" s="256">
        <v>-16514</v>
      </c>
      <c r="BD121" s="256">
        <v>0</v>
      </c>
      <c r="BE121" s="256">
        <v>0</v>
      </c>
      <c r="BF121" s="256">
        <v>0</v>
      </c>
    </row>
    <row r="122" spans="1:58" x14ac:dyDescent="0.3">
      <c r="A122" s="260" t="s">
        <v>885</v>
      </c>
      <c r="B122" s="261" t="s">
        <v>784</v>
      </c>
      <c r="C122" s="261" t="s">
        <v>784</v>
      </c>
      <c r="D122" s="261" t="s">
        <v>784</v>
      </c>
      <c r="E122" s="261" t="s">
        <v>784</v>
      </c>
      <c r="F122" s="256">
        <v>0</v>
      </c>
      <c r="G122" s="256">
        <v>0</v>
      </c>
      <c r="H122" s="256">
        <v>0</v>
      </c>
      <c r="I122" s="256">
        <v>0</v>
      </c>
      <c r="J122" s="256">
        <v>0</v>
      </c>
      <c r="K122" s="256">
        <v>0</v>
      </c>
      <c r="L122" s="256">
        <v>0</v>
      </c>
      <c r="M122" s="256">
        <v>0</v>
      </c>
      <c r="N122" s="256">
        <v>0</v>
      </c>
      <c r="O122" s="256">
        <v>0</v>
      </c>
      <c r="P122" s="256">
        <v>0</v>
      </c>
      <c r="Q122" s="256">
        <v>0</v>
      </c>
      <c r="R122" s="256">
        <v>0</v>
      </c>
      <c r="S122" s="256">
        <v>0</v>
      </c>
      <c r="T122" s="256">
        <v>0</v>
      </c>
      <c r="U122" s="256">
        <v>0</v>
      </c>
      <c r="V122" s="256">
        <v>0</v>
      </c>
      <c r="W122" s="256">
        <v>0</v>
      </c>
      <c r="X122" s="256">
        <v>0</v>
      </c>
      <c r="Y122" s="256">
        <v>0</v>
      </c>
      <c r="Z122" s="256">
        <v>0</v>
      </c>
      <c r="AA122" s="256">
        <v>0</v>
      </c>
      <c r="AB122" s="256">
        <v>0</v>
      </c>
      <c r="AC122" s="256">
        <v>0</v>
      </c>
      <c r="AD122" s="256">
        <v>0</v>
      </c>
      <c r="AE122" s="256">
        <v>0</v>
      </c>
      <c r="AF122" s="256">
        <v>0</v>
      </c>
      <c r="AG122" s="256">
        <v>0</v>
      </c>
      <c r="AH122" s="256">
        <v>0</v>
      </c>
      <c r="AI122" s="256">
        <v>0</v>
      </c>
      <c r="AJ122" s="256">
        <v>0</v>
      </c>
      <c r="AK122" s="256">
        <v>0</v>
      </c>
      <c r="AL122" s="256">
        <v>0</v>
      </c>
      <c r="AM122" s="256">
        <v>0</v>
      </c>
      <c r="AN122" s="256">
        <v>0</v>
      </c>
      <c r="AO122" s="256">
        <v>0</v>
      </c>
      <c r="AP122" s="256">
        <v>0</v>
      </c>
      <c r="AQ122" s="256">
        <v>0</v>
      </c>
      <c r="AR122" s="256">
        <v>0</v>
      </c>
      <c r="AS122" s="256">
        <v>0</v>
      </c>
      <c r="AT122" s="256">
        <v>-2649</v>
      </c>
      <c r="AU122" s="256">
        <v>462</v>
      </c>
      <c r="AV122" s="256">
        <v>-2054</v>
      </c>
      <c r="AW122" s="256">
        <v>-2845</v>
      </c>
      <c r="AX122" s="256">
        <v>-4502</v>
      </c>
      <c r="AY122" s="256">
        <v>0</v>
      </c>
      <c r="AZ122" s="256">
        <v>0</v>
      </c>
      <c r="BA122" s="256">
        <v>0</v>
      </c>
      <c r="BB122" s="256">
        <v>-16654</v>
      </c>
      <c r="BC122" s="256">
        <v>0</v>
      </c>
      <c r="BD122" s="256">
        <v>-16619</v>
      </c>
      <c r="BE122" s="256">
        <v>-19363</v>
      </c>
      <c r="BF122" s="256">
        <v>0</v>
      </c>
    </row>
    <row r="123" spans="1:58" x14ac:dyDescent="0.3">
      <c r="A123" s="255" t="s">
        <v>886</v>
      </c>
      <c r="B123" s="256">
        <v>0</v>
      </c>
      <c r="C123" s="256">
        <v>0</v>
      </c>
      <c r="D123" s="256">
        <v>0</v>
      </c>
      <c r="E123" s="256">
        <v>0</v>
      </c>
      <c r="F123" s="256">
        <v>0</v>
      </c>
      <c r="G123" s="256">
        <v>0</v>
      </c>
      <c r="H123" s="256">
        <v>406530</v>
      </c>
      <c r="I123" s="256">
        <v>406530</v>
      </c>
      <c r="J123" s="256">
        <v>922862</v>
      </c>
      <c r="K123" s="256">
        <v>1057416</v>
      </c>
      <c r="L123" s="256">
        <v>464978</v>
      </c>
      <c r="M123" s="256">
        <v>410612</v>
      </c>
      <c r="N123" s="256">
        <v>433085</v>
      </c>
      <c r="O123" s="256">
        <v>427568</v>
      </c>
      <c r="P123" s="256">
        <v>592830</v>
      </c>
      <c r="Q123" s="256">
        <v>426964</v>
      </c>
      <c r="R123" s="256">
        <v>126877</v>
      </c>
      <c r="S123" s="256">
        <v>248111</v>
      </c>
      <c r="T123" s="256">
        <v>211913</v>
      </c>
      <c r="U123" s="256">
        <v>235006</v>
      </c>
      <c r="V123" s="256">
        <v>271084</v>
      </c>
      <c r="W123" s="256">
        <v>305227</v>
      </c>
      <c r="X123" s="256">
        <v>312432</v>
      </c>
      <c r="Y123" s="256">
        <v>369238</v>
      </c>
      <c r="Z123" s="256">
        <v>177509</v>
      </c>
      <c r="AA123" s="256">
        <v>157822</v>
      </c>
      <c r="AB123" s="256">
        <v>149181</v>
      </c>
      <c r="AC123" s="256">
        <v>181237</v>
      </c>
      <c r="AD123" s="256">
        <v>168597</v>
      </c>
      <c r="AE123" s="256">
        <v>243075</v>
      </c>
      <c r="AF123" s="256">
        <v>186922</v>
      </c>
      <c r="AG123" s="256">
        <v>209729</v>
      </c>
      <c r="AH123" s="256">
        <v>174429</v>
      </c>
      <c r="AI123" s="256">
        <v>159794</v>
      </c>
      <c r="AJ123" s="256">
        <v>169677</v>
      </c>
      <c r="AK123" s="256">
        <v>152872</v>
      </c>
      <c r="AL123" s="256">
        <v>159481</v>
      </c>
      <c r="AM123" s="256">
        <v>2377807</v>
      </c>
      <c r="AN123" s="256">
        <v>2307402</v>
      </c>
      <c r="AO123" s="256">
        <v>2143417</v>
      </c>
      <c r="AP123" s="256">
        <v>1654867</v>
      </c>
      <c r="AQ123" s="256">
        <v>2099354</v>
      </c>
      <c r="AR123" s="256">
        <v>2171787</v>
      </c>
      <c r="AS123" s="256">
        <v>2462368</v>
      </c>
      <c r="AT123" s="256">
        <v>1492121</v>
      </c>
      <c r="AU123" s="256">
        <v>1652464</v>
      </c>
      <c r="AV123" s="256">
        <v>4177649</v>
      </c>
      <c r="AW123" s="256">
        <v>4533092</v>
      </c>
      <c r="AX123" s="256">
        <v>4515170</v>
      </c>
      <c r="AY123" s="256">
        <v>5235026</v>
      </c>
      <c r="AZ123" s="256">
        <v>7147882</v>
      </c>
      <c r="BA123" s="256">
        <v>9259869</v>
      </c>
      <c r="BB123" s="256">
        <v>9022764</v>
      </c>
      <c r="BC123" s="256">
        <v>11816373</v>
      </c>
      <c r="BD123" s="256">
        <v>11170652</v>
      </c>
      <c r="BE123" s="256">
        <v>11762888</v>
      </c>
      <c r="BF123" s="256">
        <v>10968841</v>
      </c>
    </row>
    <row r="124" spans="1:58" x14ac:dyDescent="0.3">
      <c r="A124" s="257" t="s">
        <v>887</v>
      </c>
      <c r="B124" s="259">
        <v>0</v>
      </c>
      <c r="C124" s="259">
        <v>0</v>
      </c>
      <c r="D124" s="259">
        <v>0</v>
      </c>
      <c r="E124" s="259">
        <v>0</v>
      </c>
      <c r="F124" s="259">
        <v>0</v>
      </c>
      <c r="G124" s="259">
        <v>0</v>
      </c>
      <c r="H124" s="259">
        <v>0</v>
      </c>
      <c r="I124" s="259">
        <v>0</v>
      </c>
      <c r="J124" s="259">
        <v>0</v>
      </c>
      <c r="K124" s="259">
        <v>3150</v>
      </c>
      <c r="L124" s="259">
        <v>3150</v>
      </c>
      <c r="M124" s="259">
        <v>3150</v>
      </c>
      <c r="N124" s="259">
        <v>1260</v>
      </c>
      <c r="O124" s="259">
        <v>1260</v>
      </c>
      <c r="P124" s="259">
        <v>64017</v>
      </c>
      <c r="Q124" s="259">
        <v>42267</v>
      </c>
      <c r="R124" s="259">
        <v>0</v>
      </c>
      <c r="S124" s="259">
        <v>0</v>
      </c>
      <c r="T124" s="259">
        <v>0</v>
      </c>
      <c r="U124" s="259">
        <v>0</v>
      </c>
      <c r="V124" s="259">
        <v>87568</v>
      </c>
      <c r="W124" s="259">
        <v>87192</v>
      </c>
      <c r="X124" s="259">
        <v>87192</v>
      </c>
      <c r="Y124" s="259">
        <v>87192</v>
      </c>
      <c r="Z124" s="259">
        <v>31461</v>
      </c>
      <c r="AA124" s="259">
        <v>31454</v>
      </c>
      <c r="AB124" s="259">
        <v>31430</v>
      </c>
      <c r="AC124" s="259">
        <v>31431</v>
      </c>
      <c r="AD124" s="259">
        <v>31431</v>
      </c>
      <c r="AE124" s="259">
        <v>31431</v>
      </c>
      <c r="AF124" s="259">
        <v>31431</v>
      </c>
      <c r="AG124" s="259">
        <v>31393</v>
      </c>
      <c r="AH124" s="259">
        <v>54038</v>
      </c>
      <c r="AI124" s="259">
        <v>31245</v>
      </c>
      <c r="AJ124" s="259">
        <v>31241</v>
      </c>
      <c r="AK124" s="259">
        <v>31241</v>
      </c>
      <c r="AL124" s="259">
        <v>56959</v>
      </c>
      <c r="AM124" s="259">
        <v>775163</v>
      </c>
      <c r="AN124" s="259">
        <v>724663</v>
      </c>
      <c r="AO124" s="259">
        <v>459663</v>
      </c>
      <c r="AP124" s="259">
        <v>810703</v>
      </c>
      <c r="AQ124" s="259">
        <v>1145173</v>
      </c>
      <c r="AR124" s="259">
        <v>1159570</v>
      </c>
      <c r="AS124" s="259">
        <v>1173288</v>
      </c>
      <c r="AT124" s="259">
        <v>763208</v>
      </c>
      <c r="AU124" s="259">
        <v>693402</v>
      </c>
      <c r="AV124" s="259">
        <v>3273558</v>
      </c>
      <c r="AW124" s="259">
        <v>3682852</v>
      </c>
      <c r="AX124" s="259">
        <v>3794835</v>
      </c>
      <c r="AY124" s="259">
        <v>4640606</v>
      </c>
      <c r="AZ124" s="259">
        <v>6470157</v>
      </c>
      <c r="BA124" s="259">
        <v>8555957</v>
      </c>
      <c r="BB124" s="259">
        <v>8724437</v>
      </c>
      <c r="BC124" s="259">
        <v>8718031</v>
      </c>
      <c r="BD124" s="259">
        <v>7827270</v>
      </c>
      <c r="BE124" s="259">
        <v>8327927</v>
      </c>
      <c r="BF124" s="259">
        <v>8077838</v>
      </c>
    </row>
    <row r="125" spans="1:58" x14ac:dyDescent="0.3">
      <c r="A125" s="260" t="s">
        <v>888</v>
      </c>
      <c r="B125" s="256">
        <v>0</v>
      </c>
      <c r="C125" s="256">
        <v>0</v>
      </c>
      <c r="D125" s="256">
        <v>0</v>
      </c>
      <c r="E125" s="256">
        <v>0</v>
      </c>
      <c r="F125" s="256">
        <v>0</v>
      </c>
      <c r="G125" s="256">
        <v>0</v>
      </c>
      <c r="H125" s="256">
        <v>0</v>
      </c>
      <c r="I125" s="256">
        <v>0</v>
      </c>
      <c r="J125" s="256">
        <v>0</v>
      </c>
      <c r="K125" s="261" t="s">
        <v>784</v>
      </c>
      <c r="L125" s="261" t="s">
        <v>784</v>
      </c>
      <c r="M125" s="261" t="s">
        <v>784</v>
      </c>
      <c r="N125" s="261" t="s">
        <v>784</v>
      </c>
      <c r="O125" s="261" t="s">
        <v>784</v>
      </c>
      <c r="P125" s="261" t="s">
        <v>784</v>
      </c>
      <c r="Q125" s="261" t="s">
        <v>784</v>
      </c>
      <c r="R125" s="256">
        <v>0</v>
      </c>
      <c r="S125" s="256">
        <v>0</v>
      </c>
      <c r="T125" s="256">
        <v>0</v>
      </c>
      <c r="U125" s="256">
        <v>0</v>
      </c>
      <c r="V125" s="256">
        <v>0</v>
      </c>
      <c r="W125" s="256">
        <v>0</v>
      </c>
      <c r="X125" s="256">
        <v>0</v>
      </c>
      <c r="Y125" s="256">
        <v>0</v>
      </c>
      <c r="Z125" s="256">
        <v>0</v>
      </c>
      <c r="AA125" s="256">
        <v>0</v>
      </c>
      <c r="AB125" s="256">
        <v>0</v>
      </c>
      <c r="AC125" s="256">
        <v>0</v>
      </c>
      <c r="AD125" s="256">
        <v>0</v>
      </c>
      <c r="AE125" s="256">
        <v>0</v>
      </c>
      <c r="AF125" s="256">
        <v>0</v>
      </c>
      <c r="AG125" s="256">
        <v>0</v>
      </c>
      <c r="AH125" s="256">
        <v>0</v>
      </c>
      <c r="AI125" s="256">
        <v>0</v>
      </c>
      <c r="AJ125" s="256">
        <v>0</v>
      </c>
      <c r="AK125" s="256">
        <v>0</v>
      </c>
      <c r="AL125" s="256">
        <v>25718</v>
      </c>
      <c r="AM125" s="256">
        <v>775163</v>
      </c>
      <c r="AN125" s="256">
        <v>724663</v>
      </c>
      <c r="AO125" s="256">
        <v>459663</v>
      </c>
      <c r="AP125" s="256">
        <v>421270</v>
      </c>
      <c r="AQ125" s="256">
        <v>676691</v>
      </c>
      <c r="AR125" s="256">
        <v>708873</v>
      </c>
      <c r="AS125" s="256">
        <v>747000</v>
      </c>
      <c r="AT125" s="256">
        <v>389753</v>
      </c>
      <c r="AU125" s="256">
        <v>281251</v>
      </c>
      <c r="AV125" s="256">
        <v>2959261</v>
      </c>
      <c r="AW125" s="256">
        <v>3220824</v>
      </c>
      <c r="AX125" s="256">
        <v>3307368</v>
      </c>
      <c r="AY125" s="256">
        <v>3748241</v>
      </c>
      <c r="AZ125" s="256">
        <v>5539105</v>
      </c>
      <c r="BA125" s="256">
        <v>5428115</v>
      </c>
      <c r="BB125" s="256">
        <v>5248108</v>
      </c>
      <c r="BC125" s="256">
        <v>5318627</v>
      </c>
      <c r="BD125" s="256">
        <v>4389772</v>
      </c>
      <c r="BE125" s="256">
        <v>4562425</v>
      </c>
      <c r="BF125" s="256">
        <v>4340854</v>
      </c>
    </row>
    <row r="126" spans="1:58" x14ac:dyDescent="0.3">
      <c r="A126" s="262" t="s">
        <v>889</v>
      </c>
      <c r="B126" s="253" t="s">
        <v>784</v>
      </c>
      <c r="C126" s="254">
        <v>0</v>
      </c>
      <c r="D126" s="254">
        <v>0</v>
      </c>
      <c r="E126" s="254">
        <v>0</v>
      </c>
      <c r="F126" s="254">
        <v>0</v>
      </c>
      <c r="G126" s="254">
        <v>0</v>
      </c>
      <c r="H126" s="254">
        <v>0</v>
      </c>
      <c r="I126" s="254">
        <v>0</v>
      </c>
      <c r="J126" s="254">
        <v>0</v>
      </c>
      <c r="K126" s="253" t="s">
        <v>784</v>
      </c>
      <c r="L126" s="253" t="s">
        <v>784</v>
      </c>
      <c r="M126" s="253" t="s">
        <v>784</v>
      </c>
      <c r="N126" s="253" t="s">
        <v>784</v>
      </c>
      <c r="O126" s="253" t="s">
        <v>784</v>
      </c>
      <c r="P126" s="253" t="s">
        <v>784</v>
      </c>
      <c r="Q126" s="253" t="s">
        <v>784</v>
      </c>
      <c r="R126" s="254">
        <v>0</v>
      </c>
      <c r="S126" s="254">
        <v>0</v>
      </c>
      <c r="T126" s="254">
        <v>0</v>
      </c>
      <c r="U126" s="254">
        <v>0</v>
      </c>
      <c r="V126" s="254">
        <v>0</v>
      </c>
      <c r="W126" s="254">
        <v>0</v>
      </c>
      <c r="X126" s="254">
        <v>0</v>
      </c>
      <c r="Y126" s="254">
        <v>0</v>
      </c>
      <c r="Z126" s="254">
        <v>0</v>
      </c>
      <c r="AA126" s="254">
        <v>0</v>
      </c>
      <c r="AB126" s="254">
        <v>0</v>
      </c>
      <c r="AC126" s="254">
        <v>0</v>
      </c>
      <c r="AD126" s="254">
        <v>0</v>
      </c>
      <c r="AE126" s="254">
        <v>0</v>
      </c>
      <c r="AF126" s="254">
        <v>0</v>
      </c>
      <c r="AG126" s="254">
        <v>0</v>
      </c>
      <c r="AH126" s="254">
        <v>0</v>
      </c>
      <c r="AI126" s="254">
        <v>0</v>
      </c>
      <c r="AJ126" s="254">
        <v>0</v>
      </c>
      <c r="AK126" s="254">
        <v>0</v>
      </c>
      <c r="AL126" s="254">
        <v>25718</v>
      </c>
      <c r="AM126" s="253" t="s">
        <v>784</v>
      </c>
      <c r="AN126" s="254">
        <v>174062</v>
      </c>
      <c r="AO126" s="254">
        <v>54203</v>
      </c>
      <c r="AP126" s="254">
        <v>54203</v>
      </c>
      <c r="AQ126" s="254">
        <v>54203</v>
      </c>
      <c r="AR126" s="254">
        <v>54203</v>
      </c>
      <c r="AS126" s="254">
        <v>54318</v>
      </c>
      <c r="AT126" s="254">
        <v>0</v>
      </c>
      <c r="AU126" s="254">
        <v>0</v>
      </c>
      <c r="AV126" s="254">
        <v>0</v>
      </c>
      <c r="AW126" s="254">
        <v>0</v>
      </c>
      <c r="AX126" s="254">
        <v>0</v>
      </c>
      <c r="AY126" s="254">
        <v>0</v>
      </c>
      <c r="AZ126" s="254">
        <v>0</v>
      </c>
      <c r="BA126" s="254">
        <v>0</v>
      </c>
      <c r="BB126" s="254">
        <v>0</v>
      </c>
      <c r="BC126" s="254">
        <v>5318627</v>
      </c>
      <c r="BD126" s="254">
        <v>0</v>
      </c>
      <c r="BE126" s="254">
        <v>0</v>
      </c>
      <c r="BF126" s="254">
        <v>0</v>
      </c>
    </row>
    <row r="127" spans="1:58" x14ac:dyDescent="0.3">
      <c r="A127" s="262" t="s">
        <v>890</v>
      </c>
      <c r="B127" s="253" t="s">
        <v>784</v>
      </c>
      <c r="C127" s="254">
        <v>0</v>
      </c>
      <c r="D127" s="254">
        <v>0</v>
      </c>
      <c r="E127" s="254">
        <v>0</v>
      </c>
      <c r="F127" s="254">
        <v>0</v>
      </c>
      <c r="G127" s="254">
        <v>0</v>
      </c>
      <c r="H127" s="254">
        <v>0</v>
      </c>
      <c r="I127" s="254">
        <v>0</v>
      </c>
      <c r="J127" s="254">
        <v>0</v>
      </c>
      <c r="K127" s="253" t="s">
        <v>784</v>
      </c>
      <c r="L127" s="253" t="s">
        <v>784</v>
      </c>
      <c r="M127" s="253" t="s">
        <v>784</v>
      </c>
      <c r="N127" s="253" t="s">
        <v>784</v>
      </c>
      <c r="O127" s="253" t="s">
        <v>784</v>
      </c>
      <c r="P127" s="253" t="s">
        <v>784</v>
      </c>
      <c r="Q127" s="253" t="s">
        <v>784</v>
      </c>
      <c r="R127" s="254">
        <v>0</v>
      </c>
      <c r="S127" s="254">
        <v>0</v>
      </c>
      <c r="T127" s="254">
        <v>0</v>
      </c>
      <c r="U127" s="254">
        <v>0</v>
      </c>
      <c r="V127" s="254">
        <v>0</v>
      </c>
      <c r="W127" s="254">
        <v>0</v>
      </c>
      <c r="X127" s="254">
        <v>0</v>
      </c>
      <c r="Y127" s="254">
        <v>0</v>
      </c>
      <c r="Z127" s="254">
        <v>0</v>
      </c>
      <c r="AA127" s="254">
        <v>0</v>
      </c>
      <c r="AB127" s="254">
        <v>0</v>
      </c>
      <c r="AC127" s="254">
        <v>0</v>
      </c>
      <c r="AD127" s="254">
        <v>0</v>
      </c>
      <c r="AE127" s="254">
        <v>0</v>
      </c>
      <c r="AF127" s="254">
        <v>0</v>
      </c>
      <c r="AG127" s="254">
        <v>0</v>
      </c>
      <c r="AH127" s="254">
        <v>0</v>
      </c>
      <c r="AI127" s="254">
        <v>0</v>
      </c>
      <c r="AJ127" s="254">
        <v>0</v>
      </c>
      <c r="AK127" s="254">
        <v>0</v>
      </c>
      <c r="AL127" s="254">
        <v>0</v>
      </c>
      <c r="AM127" s="253" t="s">
        <v>784</v>
      </c>
      <c r="AN127" s="254">
        <v>550601</v>
      </c>
      <c r="AO127" s="254">
        <v>405460</v>
      </c>
      <c r="AP127" s="254">
        <v>367067</v>
      </c>
      <c r="AQ127" s="254">
        <v>622488</v>
      </c>
      <c r="AR127" s="254">
        <v>654670</v>
      </c>
      <c r="AS127" s="254">
        <v>692682</v>
      </c>
      <c r="AT127" s="254">
        <v>389753</v>
      </c>
      <c r="AU127" s="254">
        <v>281251</v>
      </c>
      <c r="AV127" s="254">
        <v>2959261</v>
      </c>
      <c r="AW127" s="254">
        <v>3220824</v>
      </c>
      <c r="AX127" s="254">
        <v>3307368</v>
      </c>
      <c r="AY127" s="254">
        <v>3748241</v>
      </c>
      <c r="AZ127" s="254">
        <v>5539105</v>
      </c>
      <c r="BA127" s="254">
        <v>5428115</v>
      </c>
      <c r="BB127" s="254">
        <v>5248108</v>
      </c>
      <c r="BC127" s="254">
        <v>0</v>
      </c>
      <c r="BD127" s="254">
        <v>4389772</v>
      </c>
      <c r="BE127" s="254">
        <v>4562425</v>
      </c>
      <c r="BF127" s="254">
        <v>4340854</v>
      </c>
    </row>
    <row r="128" spans="1:58" x14ac:dyDescent="0.3">
      <c r="A128" s="260" t="s">
        <v>891</v>
      </c>
      <c r="B128" s="256">
        <v>0</v>
      </c>
      <c r="C128" s="256">
        <v>0</v>
      </c>
      <c r="D128" s="256">
        <v>0</v>
      </c>
      <c r="E128" s="256">
        <v>0</v>
      </c>
      <c r="F128" s="256">
        <v>0</v>
      </c>
      <c r="G128" s="256">
        <v>0</v>
      </c>
      <c r="H128" s="256">
        <v>0</v>
      </c>
      <c r="I128" s="256">
        <v>0</v>
      </c>
      <c r="J128" s="256">
        <v>0</v>
      </c>
      <c r="K128" s="261" t="s">
        <v>784</v>
      </c>
      <c r="L128" s="261" t="s">
        <v>784</v>
      </c>
      <c r="M128" s="261" t="s">
        <v>784</v>
      </c>
      <c r="N128" s="261" t="s">
        <v>784</v>
      </c>
      <c r="O128" s="261" t="s">
        <v>784</v>
      </c>
      <c r="P128" s="261" t="s">
        <v>784</v>
      </c>
      <c r="Q128" s="261" t="s">
        <v>784</v>
      </c>
      <c r="R128" s="256">
        <v>0</v>
      </c>
      <c r="S128" s="256">
        <v>0</v>
      </c>
      <c r="T128" s="256">
        <v>0</v>
      </c>
      <c r="U128" s="256">
        <v>0</v>
      </c>
      <c r="V128" s="256">
        <v>87568</v>
      </c>
      <c r="W128" s="256">
        <v>87192</v>
      </c>
      <c r="X128" s="256">
        <v>87192</v>
      </c>
      <c r="Y128" s="256">
        <v>87192</v>
      </c>
      <c r="Z128" s="256">
        <v>31461</v>
      </c>
      <c r="AA128" s="256">
        <v>31454</v>
      </c>
      <c r="AB128" s="256">
        <v>31430</v>
      </c>
      <c r="AC128" s="256">
        <v>31431</v>
      </c>
      <c r="AD128" s="256">
        <v>31431</v>
      </c>
      <c r="AE128" s="256">
        <v>31431</v>
      </c>
      <c r="AF128" s="256">
        <v>31431</v>
      </c>
      <c r="AG128" s="256">
        <v>31393</v>
      </c>
      <c r="AH128" s="256">
        <v>54038</v>
      </c>
      <c r="AI128" s="256">
        <v>31245</v>
      </c>
      <c r="AJ128" s="256">
        <v>31241</v>
      </c>
      <c r="AK128" s="256">
        <v>31241</v>
      </c>
      <c r="AL128" s="256">
        <v>31241</v>
      </c>
      <c r="AM128" s="256">
        <v>0</v>
      </c>
      <c r="AN128" s="256">
        <v>0</v>
      </c>
      <c r="AO128" s="256">
        <v>0</v>
      </c>
      <c r="AP128" s="256">
        <v>0</v>
      </c>
      <c r="AQ128" s="256">
        <v>0</v>
      </c>
      <c r="AR128" s="256">
        <v>0</v>
      </c>
      <c r="AS128" s="256">
        <v>0</v>
      </c>
      <c r="AT128" s="256">
        <v>0</v>
      </c>
      <c r="AU128" s="256">
        <v>0</v>
      </c>
      <c r="AV128" s="256">
        <v>0</v>
      </c>
      <c r="AW128" s="256">
        <v>0</v>
      </c>
      <c r="AX128" s="256">
        <v>0</v>
      </c>
      <c r="AY128" s="256">
        <v>0</v>
      </c>
      <c r="AZ128" s="256">
        <v>0</v>
      </c>
      <c r="BA128" s="256">
        <v>2066670</v>
      </c>
      <c r="BB128" s="256">
        <v>2039518</v>
      </c>
      <c r="BC128" s="256">
        <v>1942333</v>
      </c>
      <c r="BD128" s="256">
        <v>1808793</v>
      </c>
      <c r="BE128" s="256">
        <v>1871454</v>
      </c>
      <c r="BF128" s="256">
        <v>1800248</v>
      </c>
    </row>
    <row r="129" spans="1:58" x14ac:dyDescent="0.3">
      <c r="A129" s="260" t="s">
        <v>892</v>
      </c>
      <c r="B129" s="261" t="s">
        <v>784</v>
      </c>
      <c r="C129" s="256">
        <v>0</v>
      </c>
      <c r="D129" s="256">
        <v>0</v>
      </c>
      <c r="E129" s="256">
        <v>0</v>
      </c>
      <c r="F129" s="256">
        <v>0</v>
      </c>
      <c r="G129" s="256">
        <v>0</v>
      </c>
      <c r="H129" s="256">
        <v>0</v>
      </c>
      <c r="I129" s="256">
        <v>0</v>
      </c>
      <c r="J129" s="256">
        <v>0</v>
      </c>
      <c r="K129" s="261" t="s">
        <v>784</v>
      </c>
      <c r="L129" s="261" t="s">
        <v>784</v>
      </c>
      <c r="M129" s="261" t="s">
        <v>784</v>
      </c>
      <c r="N129" s="261" t="s">
        <v>784</v>
      </c>
      <c r="O129" s="261" t="s">
        <v>784</v>
      </c>
      <c r="P129" s="261" t="s">
        <v>784</v>
      </c>
      <c r="Q129" s="261" t="s">
        <v>784</v>
      </c>
      <c r="R129" s="256">
        <v>0</v>
      </c>
      <c r="S129" s="256">
        <v>0</v>
      </c>
      <c r="T129" s="256">
        <v>0</v>
      </c>
      <c r="U129" s="256">
        <v>0</v>
      </c>
      <c r="V129" s="256">
        <v>0</v>
      </c>
      <c r="W129" s="256">
        <v>0</v>
      </c>
      <c r="X129" s="256">
        <v>0</v>
      </c>
      <c r="Y129" s="256">
        <v>0</v>
      </c>
      <c r="Z129" s="256">
        <v>0</v>
      </c>
      <c r="AA129" s="256">
        <v>0</v>
      </c>
      <c r="AB129" s="256">
        <v>0</v>
      </c>
      <c r="AC129" s="256">
        <v>0</v>
      </c>
      <c r="AD129" s="256">
        <v>0</v>
      </c>
      <c r="AE129" s="256">
        <v>0</v>
      </c>
      <c r="AF129" s="256">
        <v>0</v>
      </c>
      <c r="AG129" s="256">
        <v>0</v>
      </c>
      <c r="AH129" s="256">
        <v>0</v>
      </c>
      <c r="AI129" s="256">
        <v>0</v>
      </c>
      <c r="AJ129" s="256">
        <v>0</v>
      </c>
      <c r="AK129" s="256">
        <v>0</v>
      </c>
      <c r="AL129" s="256">
        <v>0</v>
      </c>
      <c r="AM129" s="256">
        <v>0</v>
      </c>
      <c r="AN129" s="256">
        <v>0</v>
      </c>
      <c r="AO129" s="256">
        <v>0</v>
      </c>
      <c r="AP129" s="256">
        <v>389433</v>
      </c>
      <c r="AQ129" s="256">
        <v>468482</v>
      </c>
      <c r="AR129" s="256">
        <v>450697</v>
      </c>
      <c r="AS129" s="256">
        <v>426288</v>
      </c>
      <c r="AT129" s="256">
        <v>373455</v>
      </c>
      <c r="AU129" s="256">
        <v>412151</v>
      </c>
      <c r="AV129" s="256">
        <v>314297</v>
      </c>
      <c r="AW129" s="256">
        <v>462028</v>
      </c>
      <c r="AX129" s="256">
        <v>487467</v>
      </c>
      <c r="AY129" s="256">
        <v>892365</v>
      </c>
      <c r="AZ129" s="256">
        <v>931052</v>
      </c>
      <c r="BA129" s="256">
        <v>1061172</v>
      </c>
      <c r="BB129" s="256">
        <v>1436811</v>
      </c>
      <c r="BC129" s="256">
        <v>1457071</v>
      </c>
      <c r="BD129" s="256">
        <v>1628705</v>
      </c>
      <c r="BE129" s="256">
        <v>1894048</v>
      </c>
      <c r="BF129" s="256">
        <v>1936736</v>
      </c>
    </row>
    <row r="130" spans="1:58" x14ac:dyDescent="0.3">
      <c r="A130" s="257" t="s">
        <v>893</v>
      </c>
      <c r="B130" s="258" t="s">
        <v>784</v>
      </c>
      <c r="C130" s="259">
        <v>0</v>
      </c>
      <c r="D130" s="259">
        <v>0</v>
      </c>
      <c r="E130" s="259">
        <v>0</v>
      </c>
      <c r="F130" s="259">
        <v>0</v>
      </c>
      <c r="G130" s="259">
        <v>0</v>
      </c>
      <c r="H130" s="259">
        <v>0</v>
      </c>
      <c r="I130" s="259">
        <v>0</v>
      </c>
      <c r="J130" s="259">
        <v>515470</v>
      </c>
      <c r="K130" s="259">
        <v>646899</v>
      </c>
      <c r="L130" s="259">
        <v>0</v>
      </c>
      <c r="M130" s="259">
        <v>0</v>
      </c>
      <c r="N130" s="259">
        <v>0</v>
      </c>
      <c r="O130" s="259">
        <v>0</v>
      </c>
      <c r="P130" s="259">
        <v>0</v>
      </c>
      <c r="Q130" s="259">
        <v>0</v>
      </c>
      <c r="R130" s="259">
        <v>0</v>
      </c>
      <c r="S130" s="259">
        <v>0</v>
      </c>
      <c r="T130" s="259">
        <v>0</v>
      </c>
      <c r="U130" s="259">
        <v>0</v>
      </c>
      <c r="V130" s="259">
        <v>2152</v>
      </c>
      <c r="W130" s="259">
        <v>2598</v>
      </c>
      <c r="X130" s="259">
        <v>15509</v>
      </c>
      <c r="Y130" s="259">
        <v>16284</v>
      </c>
      <c r="Z130" s="259">
        <v>13049</v>
      </c>
      <c r="AA130" s="259">
        <v>13010</v>
      </c>
      <c r="AB130" s="259">
        <v>12972</v>
      </c>
      <c r="AC130" s="259">
        <v>12966</v>
      </c>
      <c r="AD130" s="259">
        <v>12828</v>
      </c>
      <c r="AE130" s="259">
        <v>13456</v>
      </c>
      <c r="AF130" s="259">
        <v>13456</v>
      </c>
      <c r="AG130" s="259">
        <v>13456</v>
      </c>
      <c r="AH130" s="259">
        <v>13456</v>
      </c>
      <c r="AI130" s="259">
        <v>13161</v>
      </c>
      <c r="AJ130" s="259">
        <v>13161</v>
      </c>
      <c r="AK130" s="259">
        <v>13161</v>
      </c>
      <c r="AL130" s="259">
        <v>14057</v>
      </c>
      <c r="AM130" s="259">
        <v>944170</v>
      </c>
      <c r="AN130" s="259">
        <v>1018806</v>
      </c>
      <c r="AO130" s="259">
        <v>1058481</v>
      </c>
      <c r="AP130" s="259">
        <v>14918</v>
      </c>
      <c r="AQ130" s="259">
        <v>15343</v>
      </c>
      <c r="AR130" s="259">
        <v>16111</v>
      </c>
      <c r="AS130" s="259">
        <v>15362</v>
      </c>
      <c r="AT130" s="259">
        <v>14600</v>
      </c>
      <c r="AU130" s="259">
        <v>14408</v>
      </c>
      <c r="AV130" s="259">
        <v>14754</v>
      </c>
      <c r="AW130" s="259">
        <v>14569</v>
      </c>
      <c r="AX130" s="259">
        <v>762</v>
      </c>
      <c r="AY130" s="259">
        <v>1958</v>
      </c>
      <c r="AZ130" s="259">
        <v>2063</v>
      </c>
      <c r="BA130" s="259">
        <v>1890</v>
      </c>
      <c r="BB130" s="259">
        <v>3346</v>
      </c>
      <c r="BC130" s="259">
        <v>797954</v>
      </c>
      <c r="BD130" s="259">
        <v>729561</v>
      </c>
      <c r="BE130" s="259">
        <v>781690</v>
      </c>
      <c r="BF130" s="259">
        <v>823473</v>
      </c>
    </row>
    <row r="131" spans="1:58" x14ac:dyDescent="0.3">
      <c r="A131" s="260" t="s">
        <v>894</v>
      </c>
      <c r="B131" s="261" t="s">
        <v>784</v>
      </c>
      <c r="C131" s="256">
        <v>0</v>
      </c>
      <c r="D131" s="256">
        <v>0</v>
      </c>
      <c r="E131" s="256">
        <v>0</v>
      </c>
      <c r="F131" s="256">
        <v>0</v>
      </c>
      <c r="G131" s="256">
        <v>0</v>
      </c>
      <c r="H131" s="256">
        <v>0</v>
      </c>
      <c r="I131" s="256">
        <v>0</v>
      </c>
      <c r="J131" s="256">
        <v>0</v>
      </c>
      <c r="K131" s="256">
        <v>0</v>
      </c>
      <c r="L131" s="256">
        <v>0</v>
      </c>
      <c r="M131" s="256">
        <v>0</v>
      </c>
      <c r="N131" s="256">
        <v>0</v>
      </c>
      <c r="O131" s="256">
        <v>0</v>
      </c>
      <c r="P131" s="256">
        <v>0</v>
      </c>
      <c r="Q131" s="256">
        <v>0</v>
      </c>
      <c r="R131" s="256">
        <v>0</v>
      </c>
      <c r="S131" s="256">
        <v>0</v>
      </c>
      <c r="T131" s="256">
        <v>0</v>
      </c>
      <c r="U131" s="256">
        <v>0</v>
      </c>
      <c r="V131" s="256">
        <v>0</v>
      </c>
      <c r="W131" s="256">
        <v>0</v>
      </c>
      <c r="X131" s="256">
        <v>0</v>
      </c>
      <c r="Y131" s="256">
        <v>0</v>
      </c>
      <c r="Z131" s="256">
        <v>0</v>
      </c>
      <c r="AA131" s="256">
        <v>0</v>
      </c>
      <c r="AB131" s="256">
        <v>0</v>
      </c>
      <c r="AC131" s="256">
        <v>0</v>
      </c>
      <c r="AD131" s="256">
        <v>0</v>
      </c>
      <c r="AE131" s="256">
        <v>0</v>
      </c>
      <c r="AF131" s="256">
        <v>0</v>
      </c>
      <c r="AG131" s="256">
        <v>0</v>
      </c>
      <c r="AH131" s="256">
        <v>0</v>
      </c>
      <c r="AI131" s="256">
        <v>0</v>
      </c>
      <c r="AJ131" s="256">
        <v>0</v>
      </c>
      <c r="AK131" s="256">
        <v>0</v>
      </c>
      <c r="AL131" s="256">
        <v>0</v>
      </c>
      <c r="AM131" s="256">
        <v>0</v>
      </c>
      <c r="AN131" s="256">
        <v>0</v>
      </c>
      <c r="AO131" s="256">
        <v>0</v>
      </c>
      <c r="AP131" s="256">
        <v>0</v>
      </c>
      <c r="AQ131" s="256">
        <v>0</v>
      </c>
      <c r="AR131" s="256">
        <v>0</v>
      </c>
      <c r="AS131" s="256">
        <v>0</v>
      </c>
      <c r="AT131" s="256">
        <v>0</v>
      </c>
      <c r="AU131" s="256">
        <v>0</v>
      </c>
      <c r="AV131" s="256">
        <v>0</v>
      </c>
      <c r="AW131" s="256">
        <v>0</v>
      </c>
      <c r="AX131" s="256">
        <v>0</v>
      </c>
      <c r="AY131" s="256">
        <v>0</v>
      </c>
      <c r="AZ131" s="256">
        <v>0</v>
      </c>
      <c r="BA131" s="256">
        <v>0</v>
      </c>
      <c r="BB131" s="256">
        <v>0</v>
      </c>
      <c r="BC131" s="256">
        <v>0</v>
      </c>
      <c r="BD131" s="256">
        <v>0</v>
      </c>
      <c r="BE131" s="256">
        <v>0</v>
      </c>
      <c r="BF131" s="256">
        <v>0</v>
      </c>
    </row>
    <row r="132" spans="1:58" x14ac:dyDescent="0.3">
      <c r="A132" s="262" t="s">
        <v>895</v>
      </c>
      <c r="B132" s="253" t="s">
        <v>784</v>
      </c>
      <c r="C132" s="254">
        <v>0</v>
      </c>
      <c r="D132" s="254">
        <v>0</v>
      </c>
      <c r="E132" s="254">
        <v>0</v>
      </c>
      <c r="F132" s="254">
        <v>0</v>
      </c>
      <c r="G132" s="254">
        <v>0</v>
      </c>
      <c r="H132" s="254">
        <v>0</v>
      </c>
      <c r="I132" s="254">
        <v>0</v>
      </c>
      <c r="J132" s="254">
        <v>0</v>
      </c>
      <c r="K132" s="254">
        <v>0</v>
      </c>
      <c r="L132" s="254">
        <v>0</v>
      </c>
      <c r="M132" s="254">
        <v>0</v>
      </c>
      <c r="N132" s="254">
        <v>0</v>
      </c>
      <c r="O132" s="254">
        <v>0</v>
      </c>
      <c r="P132" s="254">
        <v>0</v>
      </c>
      <c r="Q132" s="254">
        <v>0</v>
      </c>
      <c r="R132" s="254">
        <v>0</v>
      </c>
      <c r="S132" s="254">
        <v>0</v>
      </c>
      <c r="T132" s="254">
        <v>0</v>
      </c>
      <c r="U132" s="254">
        <v>0</v>
      </c>
      <c r="V132" s="254">
        <v>0</v>
      </c>
      <c r="W132" s="254">
        <v>0</v>
      </c>
      <c r="X132" s="254">
        <v>0</v>
      </c>
      <c r="Y132" s="254">
        <v>0</v>
      </c>
      <c r="Z132" s="254">
        <v>0</v>
      </c>
      <c r="AA132" s="254">
        <v>0</v>
      </c>
      <c r="AB132" s="254">
        <v>0</v>
      </c>
      <c r="AC132" s="254">
        <v>0</v>
      </c>
      <c r="AD132" s="254">
        <v>0</v>
      </c>
      <c r="AE132" s="254">
        <v>0</v>
      </c>
      <c r="AF132" s="254">
        <v>0</v>
      </c>
      <c r="AG132" s="254">
        <v>0</v>
      </c>
      <c r="AH132" s="254">
        <v>0</v>
      </c>
      <c r="AI132" s="254">
        <v>0</v>
      </c>
      <c r="AJ132" s="254">
        <v>0</v>
      </c>
      <c r="AK132" s="254">
        <v>0</v>
      </c>
      <c r="AL132" s="254">
        <v>0</v>
      </c>
      <c r="AM132" s="254">
        <v>0</v>
      </c>
      <c r="AN132" s="254">
        <v>0</v>
      </c>
      <c r="AO132" s="254">
        <v>0</v>
      </c>
      <c r="AP132" s="254">
        <v>0</v>
      </c>
      <c r="AQ132" s="254">
        <v>0</v>
      </c>
      <c r="AR132" s="254">
        <v>0</v>
      </c>
      <c r="AS132" s="254">
        <v>0</v>
      </c>
      <c r="AT132" s="254">
        <v>0</v>
      </c>
      <c r="AU132" s="254">
        <v>0</v>
      </c>
      <c r="AV132" s="254">
        <v>0</v>
      </c>
      <c r="AW132" s="254">
        <v>0</v>
      </c>
      <c r="AX132" s="254">
        <v>0</v>
      </c>
      <c r="AY132" s="254">
        <v>0</v>
      </c>
      <c r="AZ132" s="254">
        <v>0</v>
      </c>
      <c r="BA132" s="254">
        <v>0</v>
      </c>
      <c r="BB132" s="254">
        <v>0</v>
      </c>
      <c r="BC132" s="254">
        <v>0</v>
      </c>
      <c r="BD132" s="254">
        <v>0</v>
      </c>
      <c r="BE132" s="254">
        <v>0</v>
      </c>
      <c r="BF132" s="254">
        <v>0</v>
      </c>
    </row>
    <row r="133" spans="1:58" x14ac:dyDescent="0.3">
      <c r="A133" s="262" t="s">
        <v>896</v>
      </c>
      <c r="B133" s="253" t="s">
        <v>784</v>
      </c>
      <c r="C133" s="254">
        <v>0</v>
      </c>
      <c r="D133" s="254">
        <v>0</v>
      </c>
      <c r="E133" s="254">
        <v>0</v>
      </c>
      <c r="F133" s="254">
        <v>0</v>
      </c>
      <c r="G133" s="254">
        <v>0</v>
      </c>
      <c r="H133" s="254">
        <v>0</v>
      </c>
      <c r="I133" s="254">
        <v>0</v>
      </c>
      <c r="J133" s="254">
        <v>0</v>
      </c>
      <c r="K133" s="254">
        <v>0</v>
      </c>
      <c r="L133" s="254">
        <v>0</v>
      </c>
      <c r="M133" s="254">
        <v>0</v>
      </c>
      <c r="N133" s="254">
        <v>0</v>
      </c>
      <c r="O133" s="254">
        <v>0</v>
      </c>
      <c r="P133" s="254">
        <v>0</v>
      </c>
      <c r="Q133" s="254">
        <v>0</v>
      </c>
      <c r="R133" s="254">
        <v>0</v>
      </c>
      <c r="S133" s="254">
        <v>0</v>
      </c>
      <c r="T133" s="254">
        <v>0</v>
      </c>
      <c r="U133" s="254">
        <v>0</v>
      </c>
      <c r="V133" s="254">
        <v>0</v>
      </c>
      <c r="W133" s="254">
        <v>0</v>
      </c>
      <c r="X133" s="254">
        <v>0</v>
      </c>
      <c r="Y133" s="254">
        <v>0</v>
      </c>
      <c r="Z133" s="254">
        <v>0</v>
      </c>
      <c r="AA133" s="254">
        <v>0</v>
      </c>
      <c r="AB133" s="254">
        <v>0</v>
      </c>
      <c r="AC133" s="254">
        <v>0</v>
      </c>
      <c r="AD133" s="254">
        <v>0</v>
      </c>
      <c r="AE133" s="254">
        <v>0</v>
      </c>
      <c r="AF133" s="254">
        <v>0</v>
      </c>
      <c r="AG133" s="254">
        <v>0</v>
      </c>
      <c r="AH133" s="254">
        <v>0</v>
      </c>
      <c r="AI133" s="254">
        <v>0</v>
      </c>
      <c r="AJ133" s="254">
        <v>0</v>
      </c>
      <c r="AK133" s="254">
        <v>0</v>
      </c>
      <c r="AL133" s="254">
        <v>0</v>
      </c>
      <c r="AM133" s="254">
        <v>0</v>
      </c>
      <c r="AN133" s="254">
        <v>0</v>
      </c>
      <c r="AO133" s="254">
        <v>0</v>
      </c>
      <c r="AP133" s="254">
        <v>0</v>
      </c>
      <c r="AQ133" s="254">
        <v>0</v>
      </c>
      <c r="AR133" s="254">
        <v>0</v>
      </c>
      <c r="AS133" s="254">
        <v>0</v>
      </c>
      <c r="AT133" s="254">
        <v>0</v>
      </c>
      <c r="AU133" s="254">
        <v>0</v>
      </c>
      <c r="AV133" s="254">
        <v>0</v>
      </c>
      <c r="AW133" s="254">
        <v>0</v>
      </c>
      <c r="AX133" s="254">
        <v>0</v>
      </c>
      <c r="AY133" s="254">
        <v>0</v>
      </c>
      <c r="AZ133" s="254">
        <v>0</v>
      </c>
      <c r="BA133" s="254">
        <v>0</v>
      </c>
      <c r="BB133" s="254">
        <v>0</v>
      </c>
      <c r="BC133" s="254">
        <v>0</v>
      </c>
      <c r="BD133" s="254">
        <v>0</v>
      </c>
      <c r="BE133" s="254">
        <v>0</v>
      </c>
      <c r="BF133" s="254">
        <v>0</v>
      </c>
    </row>
    <row r="134" spans="1:58" x14ac:dyDescent="0.3">
      <c r="A134" s="262" t="s">
        <v>897</v>
      </c>
      <c r="B134" s="253" t="s">
        <v>784</v>
      </c>
      <c r="C134" s="254">
        <v>0</v>
      </c>
      <c r="D134" s="254">
        <v>0</v>
      </c>
      <c r="E134" s="254">
        <v>0</v>
      </c>
      <c r="F134" s="254">
        <v>0</v>
      </c>
      <c r="G134" s="254">
        <v>0</v>
      </c>
      <c r="H134" s="254">
        <v>0</v>
      </c>
      <c r="I134" s="254">
        <v>0</v>
      </c>
      <c r="J134" s="254">
        <v>0</v>
      </c>
      <c r="K134" s="254">
        <v>0</v>
      </c>
      <c r="L134" s="254">
        <v>0</v>
      </c>
      <c r="M134" s="254">
        <v>0</v>
      </c>
      <c r="N134" s="254">
        <v>0</v>
      </c>
      <c r="O134" s="254">
        <v>0</v>
      </c>
      <c r="P134" s="254">
        <v>0</v>
      </c>
      <c r="Q134" s="254">
        <v>0</v>
      </c>
      <c r="R134" s="254">
        <v>0</v>
      </c>
      <c r="S134" s="254">
        <v>0</v>
      </c>
      <c r="T134" s="254">
        <v>0</v>
      </c>
      <c r="U134" s="254">
        <v>0</v>
      </c>
      <c r="V134" s="254">
        <v>0</v>
      </c>
      <c r="W134" s="254">
        <v>0</v>
      </c>
      <c r="X134" s="254">
        <v>0</v>
      </c>
      <c r="Y134" s="254">
        <v>0</v>
      </c>
      <c r="Z134" s="254">
        <v>0</v>
      </c>
      <c r="AA134" s="254">
        <v>0</v>
      </c>
      <c r="AB134" s="254">
        <v>0</v>
      </c>
      <c r="AC134" s="254">
        <v>0</v>
      </c>
      <c r="AD134" s="254">
        <v>0</v>
      </c>
      <c r="AE134" s="254">
        <v>0</v>
      </c>
      <c r="AF134" s="254">
        <v>0</v>
      </c>
      <c r="AG134" s="254">
        <v>0</v>
      </c>
      <c r="AH134" s="254">
        <v>0</v>
      </c>
      <c r="AI134" s="254">
        <v>0</v>
      </c>
      <c r="AJ134" s="254">
        <v>0</v>
      </c>
      <c r="AK134" s="254">
        <v>0</v>
      </c>
      <c r="AL134" s="254">
        <v>0</v>
      </c>
      <c r="AM134" s="254">
        <v>0</v>
      </c>
      <c r="AN134" s="254">
        <v>0</v>
      </c>
      <c r="AO134" s="254">
        <v>0</v>
      </c>
      <c r="AP134" s="254">
        <v>0</v>
      </c>
      <c r="AQ134" s="254">
        <v>0</v>
      </c>
      <c r="AR134" s="254">
        <v>0</v>
      </c>
      <c r="AS134" s="254">
        <v>0</v>
      </c>
      <c r="AT134" s="254">
        <v>0</v>
      </c>
      <c r="AU134" s="254">
        <v>0</v>
      </c>
      <c r="AV134" s="254">
        <v>0</v>
      </c>
      <c r="AW134" s="254">
        <v>0</v>
      </c>
      <c r="AX134" s="254">
        <v>0</v>
      </c>
      <c r="AY134" s="254">
        <v>0</v>
      </c>
      <c r="AZ134" s="254">
        <v>0</v>
      </c>
      <c r="BA134" s="254">
        <v>0</v>
      </c>
      <c r="BB134" s="254">
        <v>0</v>
      </c>
      <c r="BC134" s="254">
        <v>0</v>
      </c>
      <c r="BD134" s="254">
        <v>0</v>
      </c>
      <c r="BE134" s="254">
        <v>0</v>
      </c>
      <c r="BF134" s="254">
        <v>0</v>
      </c>
    </row>
    <row r="135" spans="1:58" x14ac:dyDescent="0.3">
      <c r="A135" s="262" t="s">
        <v>898</v>
      </c>
      <c r="B135" s="253" t="s">
        <v>784</v>
      </c>
      <c r="C135" s="254">
        <v>0</v>
      </c>
      <c r="D135" s="254">
        <v>0</v>
      </c>
      <c r="E135" s="254">
        <v>0</v>
      </c>
      <c r="F135" s="254">
        <v>0</v>
      </c>
      <c r="G135" s="254">
        <v>0</v>
      </c>
      <c r="H135" s="254">
        <v>0</v>
      </c>
      <c r="I135" s="254">
        <v>0</v>
      </c>
      <c r="J135" s="254">
        <v>0</v>
      </c>
      <c r="K135" s="254">
        <v>0</v>
      </c>
      <c r="L135" s="254">
        <v>0</v>
      </c>
      <c r="M135" s="254">
        <v>0</v>
      </c>
      <c r="N135" s="254">
        <v>0</v>
      </c>
      <c r="O135" s="254">
        <v>0</v>
      </c>
      <c r="P135" s="254">
        <v>0</v>
      </c>
      <c r="Q135" s="254">
        <v>0</v>
      </c>
      <c r="R135" s="254">
        <v>0</v>
      </c>
      <c r="S135" s="254">
        <v>0</v>
      </c>
      <c r="T135" s="254">
        <v>0</v>
      </c>
      <c r="U135" s="254">
        <v>0</v>
      </c>
      <c r="V135" s="254">
        <v>0</v>
      </c>
      <c r="W135" s="254">
        <v>0</v>
      </c>
      <c r="X135" s="254">
        <v>0</v>
      </c>
      <c r="Y135" s="254">
        <v>0</v>
      </c>
      <c r="Z135" s="254">
        <v>0</v>
      </c>
      <c r="AA135" s="254">
        <v>0</v>
      </c>
      <c r="AB135" s="254">
        <v>0</v>
      </c>
      <c r="AC135" s="254">
        <v>0</v>
      </c>
      <c r="AD135" s="254">
        <v>0</v>
      </c>
      <c r="AE135" s="254">
        <v>0</v>
      </c>
      <c r="AF135" s="254">
        <v>0</v>
      </c>
      <c r="AG135" s="254">
        <v>0</v>
      </c>
      <c r="AH135" s="254">
        <v>0</v>
      </c>
      <c r="AI135" s="254">
        <v>0</v>
      </c>
      <c r="AJ135" s="254">
        <v>0</v>
      </c>
      <c r="AK135" s="254">
        <v>0</v>
      </c>
      <c r="AL135" s="254">
        <v>0</v>
      </c>
      <c r="AM135" s="254">
        <v>0</v>
      </c>
      <c r="AN135" s="254">
        <v>0</v>
      </c>
      <c r="AO135" s="254">
        <v>0</v>
      </c>
      <c r="AP135" s="254">
        <v>0</v>
      </c>
      <c r="AQ135" s="254">
        <v>0</v>
      </c>
      <c r="AR135" s="254">
        <v>0</v>
      </c>
      <c r="AS135" s="254">
        <v>0</v>
      </c>
      <c r="AT135" s="254">
        <v>0</v>
      </c>
      <c r="AU135" s="254">
        <v>0</v>
      </c>
      <c r="AV135" s="254">
        <v>0</v>
      </c>
      <c r="AW135" s="254">
        <v>0</v>
      </c>
      <c r="AX135" s="254">
        <v>0</v>
      </c>
      <c r="AY135" s="254">
        <v>0</v>
      </c>
      <c r="AZ135" s="254">
        <v>0</v>
      </c>
      <c r="BA135" s="254">
        <v>0</v>
      </c>
      <c r="BB135" s="254">
        <v>0</v>
      </c>
      <c r="BC135" s="254">
        <v>0</v>
      </c>
      <c r="BD135" s="254">
        <v>0</v>
      </c>
      <c r="BE135" s="254">
        <v>0</v>
      </c>
      <c r="BF135" s="254">
        <v>0</v>
      </c>
    </row>
    <row r="136" spans="1:58" x14ac:dyDescent="0.3">
      <c r="A136" s="260" t="s">
        <v>899</v>
      </c>
      <c r="B136" s="261" t="s">
        <v>784</v>
      </c>
      <c r="C136" s="256">
        <v>0</v>
      </c>
      <c r="D136" s="256">
        <v>0</v>
      </c>
      <c r="E136" s="256">
        <v>0</v>
      </c>
      <c r="F136" s="256">
        <v>0</v>
      </c>
      <c r="G136" s="256">
        <v>0</v>
      </c>
      <c r="H136" s="256">
        <v>0</v>
      </c>
      <c r="I136" s="256">
        <v>0</v>
      </c>
      <c r="J136" s="256">
        <v>515470</v>
      </c>
      <c r="K136" s="256">
        <v>646899</v>
      </c>
      <c r="L136" s="256">
        <v>0</v>
      </c>
      <c r="M136" s="256">
        <v>0</v>
      </c>
      <c r="N136" s="256">
        <v>0</v>
      </c>
      <c r="O136" s="256">
        <v>0</v>
      </c>
      <c r="P136" s="256">
        <v>0</v>
      </c>
      <c r="Q136" s="256">
        <v>0</v>
      </c>
      <c r="R136" s="256">
        <v>0</v>
      </c>
      <c r="S136" s="256">
        <v>0</v>
      </c>
      <c r="T136" s="256">
        <v>0</v>
      </c>
      <c r="U136" s="256">
        <v>0</v>
      </c>
      <c r="V136" s="256">
        <v>2152</v>
      </c>
      <c r="W136" s="256">
        <v>2598</v>
      </c>
      <c r="X136" s="256">
        <v>15509</v>
      </c>
      <c r="Y136" s="256">
        <v>16284</v>
      </c>
      <c r="Z136" s="256">
        <v>13049</v>
      </c>
      <c r="AA136" s="256">
        <v>13010</v>
      </c>
      <c r="AB136" s="256">
        <v>12972</v>
      </c>
      <c r="AC136" s="256">
        <v>12966</v>
      </c>
      <c r="AD136" s="256">
        <v>12828</v>
      </c>
      <c r="AE136" s="256">
        <v>13456</v>
      </c>
      <c r="AF136" s="256">
        <v>13456</v>
      </c>
      <c r="AG136" s="256">
        <v>13456</v>
      </c>
      <c r="AH136" s="256">
        <v>13456</v>
      </c>
      <c r="AI136" s="256">
        <v>13161</v>
      </c>
      <c r="AJ136" s="256">
        <v>13161</v>
      </c>
      <c r="AK136" s="256">
        <v>13161</v>
      </c>
      <c r="AL136" s="256">
        <v>14057</v>
      </c>
      <c r="AM136" s="256">
        <v>944170</v>
      </c>
      <c r="AN136" s="256">
        <v>1018806</v>
      </c>
      <c r="AO136" s="256">
        <v>1058481</v>
      </c>
      <c r="AP136" s="256">
        <v>14918</v>
      </c>
      <c r="AQ136" s="256">
        <v>15343</v>
      </c>
      <c r="AR136" s="256">
        <v>16111</v>
      </c>
      <c r="AS136" s="256">
        <v>15362</v>
      </c>
      <c r="AT136" s="256">
        <v>14600</v>
      </c>
      <c r="AU136" s="256">
        <v>14408</v>
      </c>
      <c r="AV136" s="256">
        <v>14754</v>
      </c>
      <c r="AW136" s="256">
        <v>14569</v>
      </c>
      <c r="AX136" s="256">
        <v>762</v>
      </c>
      <c r="AY136" s="256">
        <v>1958</v>
      </c>
      <c r="AZ136" s="256">
        <v>2063</v>
      </c>
      <c r="BA136" s="256">
        <v>1890</v>
      </c>
      <c r="BB136" s="256">
        <v>3346</v>
      </c>
      <c r="BC136" s="256">
        <v>797954</v>
      </c>
      <c r="BD136" s="256">
        <v>729561</v>
      </c>
      <c r="BE136" s="256">
        <v>781690</v>
      </c>
      <c r="BF136" s="256">
        <v>823473</v>
      </c>
    </row>
    <row r="137" spans="1:58" x14ac:dyDescent="0.3">
      <c r="A137" s="262" t="s">
        <v>900</v>
      </c>
      <c r="B137" s="253" t="s">
        <v>784</v>
      </c>
      <c r="C137" s="254">
        <v>0</v>
      </c>
      <c r="D137" s="254">
        <v>0</v>
      </c>
      <c r="E137" s="254">
        <v>0</v>
      </c>
      <c r="F137" s="254">
        <v>0</v>
      </c>
      <c r="G137" s="254">
        <v>0</v>
      </c>
      <c r="H137" s="254">
        <v>0</v>
      </c>
      <c r="I137" s="254">
        <v>0</v>
      </c>
      <c r="J137" s="254">
        <v>0</v>
      </c>
      <c r="K137" s="254">
        <v>0</v>
      </c>
      <c r="L137" s="254">
        <v>0</v>
      </c>
      <c r="M137" s="254">
        <v>0</v>
      </c>
      <c r="N137" s="254">
        <v>0</v>
      </c>
      <c r="O137" s="254">
        <v>0</v>
      </c>
      <c r="P137" s="254">
        <v>0</v>
      </c>
      <c r="Q137" s="254">
        <v>0</v>
      </c>
      <c r="R137" s="254">
        <v>0</v>
      </c>
      <c r="S137" s="254">
        <v>0</v>
      </c>
      <c r="T137" s="254">
        <v>0</v>
      </c>
      <c r="U137" s="254">
        <v>0</v>
      </c>
      <c r="V137" s="254">
        <v>0</v>
      </c>
      <c r="W137" s="254">
        <v>0</v>
      </c>
      <c r="X137" s="254">
        <v>0</v>
      </c>
      <c r="Y137" s="254">
        <v>0</v>
      </c>
      <c r="Z137" s="254">
        <v>0</v>
      </c>
      <c r="AA137" s="254">
        <v>0</v>
      </c>
      <c r="AB137" s="254">
        <v>0</v>
      </c>
      <c r="AC137" s="254">
        <v>0</v>
      </c>
      <c r="AD137" s="254">
        <v>0</v>
      </c>
      <c r="AE137" s="253" t="s">
        <v>784</v>
      </c>
      <c r="AF137" s="253" t="s">
        <v>784</v>
      </c>
      <c r="AG137" s="253" t="s">
        <v>784</v>
      </c>
      <c r="AH137" s="254">
        <v>0</v>
      </c>
      <c r="AI137" s="254">
        <v>0</v>
      </c>
      <c r="AJ137" s="254">
        <v>0</v>
      </c>
      <c r="AK137" s="254">
        <v>0</v>
      </c>
      <c r="AL137" s="254">
        <v>0</v>
      </c>
      <c r="AM137" s="254">
        <v>0</v>
      </c>
      <c r="AN137" s="254">
        <v>0</v>
      </c>
      <c r="AO137" s="254">
        <v>0</v>
      </c>
      <c r="AP137" s="254">
        <v>0</v>
      </c>
      <c r="AQ137" s="254">
        <v>0</v>
      </c>
      <c r="AR137" s="254">
        <v>0</v>
      </c>
      <c r="AS137" s="254">
        <v>0</v>
      </c>
      <c r="AT137" s="254">
        <v>0</v>
      </c>
      <c r="AU137" s="254">
        <v>0</v>
      </c>
      <c r="AV137" s="254">
        <v>0</v>
      </c>
      <c r="AW137" s="254">
        <v>0</v>
      </c>
      <c r="AX137" s="254">
        <v>0</v>
      </c>
      <c r="AY137" s="254">
        <v>0</v>
      </c>
      <c r="AZ137" s="254">
        <v>0</v>
      </c>
      <c r="BA137" s="254">
        <v>0</v>
      </c>
      <c r="BB137" s="254">
        <v>0</v>
      </c>
      <c r="BC137" s="254">
        <v>0</v>
      </c>
      <c r="BD137" s="254">
        <v>0</v>
      </c>
      <c r="BE137" s="254">
        <v>0</v>
      </c>
      <c r="BF137" s="254">
        <v>0</v>
      </c>
    </row>
    <row r="138" spans="1:58" x14ac:dyDescent="0.3">
      <c r="A138" s="262" t="s">
        <v>901</v>
      </c>
      <c r="B138" s="253" t="s">
        <v>784</v>
      </c>
      <c r="C138" s="254">
        <v>0</v>
      </c>
      <c r="D138" s="254">
        <v>0</v>
      </c>
      <c r="E138" s="254">
        <v>0</v>
      </c>
      <c r="F138" s="254">
        <v>0</v>
      </c>
      <c r="G138" s="254">
        <v>0</v>
      </c>
      <c r="H138" s="254">
        <v>0</v>
      </c>
      <c r="I138" s="254">
        <v>0</v>
      </c>
      <c r="J138" s="254">
        <v>0</v>
      </c>
      <c r="K138" s="254">
        <v>0</v>
      </c>
      <c r="L138" s="254">
        <v>0</v>
      </c>
      <c r="M138" s="254">
        <v>0</v>
      </c>
      <c r="N138" s="254">
        <v>0</v>
      </c>
      <c r="O138" s="254">
        <v>0</v>
      </c>
      <c r="P138" s="254">
        <v>0</v>
      </c>
      <c r="Q138" s="254">
        <v>0</v>
      </c>
      <c r="R138" s="254">
        <v>0</v>
      </c>
      <c r="S138" s="254">
        <v>0</v>
      </c>
      <c r="T138" s="254">
        <v>0</v>
      </c>
      <c r="U138" s="254">
        <v>0</v>
      </c>
      <c r="V138" s="254">
        <v>0</v>
      </c>
      <c r="W138" s="254">
        <v>0</v>
      </c>
      <c r="X138" s="254">
        <v>0</v>
      </c>
      <c r="Y138" s="254">
        <v>0</v>
      </c>
      <c r="Z138" s="254">
        <v>0</v>
      </c>
      <c r="AA138" s="254">
        <v>0</v>
      </c>
      <c r="AB138" s="254">
        <v>0</v>
      </c>
      <c r="AC138" s="254">
        <v>0</v>
      </c>
      <c r="AD138" s="254">
        <v>0</v>
      </c>
      <c r="AE138" s="253" t="s">
        <v>784</v>
      </c>
      <c r="AF138" s="253" t="s">
        <v>784</v>
      </c>
      <c r="AG138" s="253" t="s">
        <v>784</v>
      </c>
      <c r="AH138" s="254">
        <v>0</v>
      </c>
      <c r="AI138" s="254">
        <v>0</v>
      </c>
      <c r="AJ138" s="254">
        <v>0</v>
      </c>
      <c r="AK138" s="254">
        <v>0</v>
      </c>
      <c r="AL138" s="254">
        <v>0</v>
      </c>
      <c r="AM138" s="254">
        <v>0</v>
      </c>
      <c r="AN138" s="254">
        <v>0</v>
      </c>
      <c r="AO138" s="254">
        <v>0</v>
      </c>
      <c r="AP138" s="254">
        <v>0</v>
      </c>
      <c r="AQ138" s="254">
        <v>0</v>
      </c>
      <c r="AR138" s="254">
        <v>0</v>
      </c>
      <c r="AS138" s="254">
        <v>0</v>
      </c>
      <c r="AT138" s="254">
        <v>0</v>
      </c>
      <c r="AU138" s="254">
        <v>0</v>
      </c>
      <c r="AV138" s="254">
        <v>0</v>
      </c>
      <c r="AW138" s="254">
        <v>0</v>
      </c>
      <c r="AX138" s="254">
        <v>0</v>
      </c>
      <c r="AY138" s="254">
        <v>0</v>
      </c>
      <c r="AZ138" s="254">
        <v>0</v>
      </c>
      <c r="BA138" s="254">
        <v>0</v>
      </c>
      <c r="BB138" s="254">
        <v>0</v>
      </c>
      <c r="BC138" s="254">
        <v>0</v>
      </c>
      <c r="BD138" s="254">
        <v>0</v>
      </c>
      <c r="BE138" s="254">
        <v>0</v>
      </c>
      <c r="BF138" s="254">
        <v>0</v>
      </c>
    </row>
    <row r="139" spans="1:58" x14ac:dyDescent="0.3">
      <c r="A139" s="262" t="s">
        <v>790</v>
      </c>
      <c r="B139" s="253" t="s">
        <v>784</v>
      </c>
      <c r="C139" s="254">
        <v>0</v>
      </c>
      <c r="D139" s="254">
        <v>0</v>
      </c>
      <c r="E139" s="254">
        <v>0</v>
      </c>
      <c r="F139" s="254">
        <v>0</v>
      </c>
      <c r="G139" s="254">
        <v>0</v>
      </c>
      <c r="H139" s="254">
        <v>0</v>
      </c>
      <c r="I139" s="254">
        <v>0</v>
      </c>
      <c r="J139" s="254">
        <v>515470</v>
      </c>
      <c r="K139" s="254">
        <v>646899</v>
      </c>
      <c r="L139" s="254">
        <v>0</v>
      </c>
      <c r="M139" s="254">
        <v>0</v>
      </c>
      <c r="N139" s="254">
        <v>0</v>
      </c>
      <c r="O139" s="254">
        <v>0</v>
      </c>
      <c r="P139" s="254">
        <v>0</v>
      </c>
      <c r="Q139" s="254">
        <v>0</v>
      </c>
      <c r="R139" s="254">
        <v>0</v>
      </c>
      <c r="S139" s="254">
        <v>0</v>
      </c>
      <c r="T139" s="254">
        <v>0</v>
      </c>
      <c r="U139" s="254">
        <v>0</v>
      </c>
      <c r="V139" s="254">
        <v>2152</v>
      </c>
      <c r="W139" s="254">
        <v>2598</v>
      </c>
      <c r="X139" s="254">
        <v>15509</v>
      </c>
      <c r="Y139" s="254">
        <v>16284</v>
      </c>
      <c r="Z139" s="254">
        <v>13049</v>
      </c>
      <c r="AA139" s="254">
        <v>13010</v>
      </c>
      <c r="AB139" s="254">
        <v>12972</v>
      </c>
      <c r="AC139" s="254">
        <v>12966</v>
      </c>
      <c r="AD139" s="254">
        <v>12828</v>
      </c>
      <c r="AE139" s="253" t="s">
        <v>784</v>
      </c>
      <c r="AF139" s="253" t="s">
        <v>784</v>
      </c>
      <c r="AG139" s="253" t="s">
        <v>784</v>
      </c>
      <c r="AH139" s="254">
        <v>13456</v>
      </c>
      <c r="AI139" s="254">
        <v>13161</v>
      </c>
      <c r="AJ139" s="254">
        <v>13161</v>
      </c>
      <c r="AK139" s="254">
        <v>13161</v>
      </c>
      <c r="AL139" s="254">
        <v>14057</v>
      </c>
      <c r="AM139" s="254">
        <v>944170</v>
      </c>
      <c r="AN139" s="254">
        <v>1018806</v>
      </c>
      <c r="AO139" s="254">
        <v>1058481</v>
      </c>
      <c r="AP139" s="254">
        <v>14918</v>
      </c>
      <c r="AQ139" s="254">
        <v>15343</v>
      </c>
      <c r="AR139" s="254">
        <v>16111</v>
      </c>
      <c r="AS139" s="254">
        <v>15362</v>
      </c>
      <c r="AT139" s="254">
        <v>14600</v>
      </c>
      <c r="AU139" s="254">
        <v>14408</v>
      </c>
      <c r="AV139" s="254">
        <v>14754</v>
      </c>
      <c r="AW139" s="254">
        <v>14569</v>
      </c>
      <c r="AX139" s="254">
        <v>762</v>
      </c>
      <c r="AY139" s="254">
        <v>1958</v>
      </c>
      <c r="AZ139" s="254">
        <v>2063</v>
      </c>
      <c r="BA139" s="254">
        <v>1890</v>
      </c>
      <c r="BB139" s="254">
        <v>3346</v>
      </c>
      <c r="BC139" s="254">
        <v>797954</v>
      </c>
      <c r="BD139" s="254">
        <v>729561</v>
      </c>
      <c r="BE139" s="254">
        <v>781690</v>
      </c>
      <c r="BF139" s="254">
        <v>823473</v>
      </c>
    </row>
    <row r="140" spans="1:58" x14ac:dyDescent="0.3">
      <c r="A140" s="257" t="s">
        <v>902</v>
      </c>
      <c r="B140" s="258" t="s">
        <v>784</v>
      </c>
      <c r="C140" s="259">
        <v>0</v>
      </c>
      <c r="D140" s="259">
        <v>0</v>
      </c>
      <c r="E140" s="259">
        <v>0</v>
      </c>
      <c r="F140" s="259">
        <v>0</v>
      </c>
      <c r="G140" s="259">
        <v>0</v>
      </c>
      <c r="H140" s="259">
        <v>406530</v>
      </c>
      <c r="I140" s="259">
        <v>406530</v>
      </c>
      <c r="J140" s="259">
        <v>407392</v>
      </c>
      <c r="K140" s="259">
        <v>407367</v>
      </c>
      <c r="L140" s="259">
        <v>461828</v>
      </c>
      <c r="M140" s="259">
        <v>407462</v>
      </c>
      <c r="N140" s="259">
        <v>431825</v>
      </c>
      <c r="O140" s="259">
        <v>426308</v>
      </c>
      <c r="P140" s="259">
        <v>528613</v>
      </c>
      <c r="Q140" s="259">
        <v>384397</v>
      </c>
      <c r="R140" s="259">
        <v>126877</v>
      </c>
      <c r="S140" s="259">
        <v>133972</v>
      </c>
      <c r="T140" s="259">
        <v>129294</v>
      </c>
      <c r="U140" s="259">
        <v>149673</v>
      </c>
      <c r="V140" s="259">
        <v>9487</v>
      </c>
      <c r="W140" s="259">
        <v>8222</v>
      </c>
      <c r="X140" s="259">
        <v>6915</v>
      </c>
      <c r="Y140" s="259">
        <v>5960</v>
      </c>
      <c r="Z140" s="259">
        <v>4087</v>
      </c>
      <c r="AA140" s="259">
        <v>4602</v>
      </c>
      <c r="AB140" s="259">
        <v>4122</v>
      </c>
      <c r="AC140" s="259">
        <v>36146</v>
      </c>
      <c r="AD140" s="259">
        <v>19275</v>
      </c>
      <c r="AE140" s="259">
        <v>56290</v>
      </c>
      <c r="AF140" s="259">
        <v>45958</v>
      </c>
      <c r="AG140" s="259">
        <v>68374</v>
      </c>
      <c r="AH140" s="259">
        <v>17697</v>
      </c>
      <c r="AI140" s="259">
        <v>25447</v>
      </c>
      <c r="AJ140" s="259">
        <v>18859</v>
      </c>
      <c r="AK140" s="259">
        <v>2108</v>
      </c>
      <c r="AL140" s="259">
        <v>2311</v>
      </c>
      <c r="AM140" s="259">
        <v>2272</v>
      </c>
      <c r="AN140" s="259">
        <v>0</v>
      </c>
      <c r="AO140" s="259">
        <v>0</v>
      </c>
      <c r="AP140" s="259">
        <v>0</v>
      </c>
      <c r="AQ140" s="259">
        <v>0</v>
      </c>
      <c r="AR140" s="259">
        <v>0</v>
      </c>
      <c r="AS140" s="259">
        <v>0</v>
      </c>
      <c r="AT140" s="259">
        <v>0</v>
      </c>
      <c r="AU140" s="259">
        <v>0</v>
      </c>
      <c r="AV140" s="259">
        <v>0</v>
      </c>
      <c r="AW140" s="259">
        <v>0</v>
      </c>
      <c r="AX140" s="259">
        <v>0</v>
      </c>
      <c r="AY140" s="259">
        <v>0</v>
      </c>
      <c r="AZ140" s="259">
        <v>0</v>
      </c>
      <c r="BA140" s="259">
        <v>0</v>
      </c>
      <c r="BB140" s="259">
        <v>0</v>
      </c>
      <c r="BC140" s="259">
        <v>0</v>
      </c>
      <c r="BD140" s="259">
        <v>0</v>
      </c>
      <c r="BE140" s="259">
        <v>0</v>
      </c>
      <c r="BF140" s="259">
        <v>0</v>
      </c>
    </row>
    <row r="141" spans="1:58" x14ac:dyDescent="0.3">
      <c r="A141" s="260" t="s">
        <v>903</v>
      </c>
      <c r="B141" s="261" t="s">
        <v>784</v>
      </c>
      <c r="C141" s="256">
        <v>0</v>
      </c>
      <c r="D141" s="256">
        <v>0</v>
      </c>
      <c r="E141" s="256">
        <v>0</v>
      </c>
      <c r="F141" s="256">
        <v>0</v>
      </c>
      <c r="G141" s="256">
        <v>0</v>
      </c>
      <c r="H141" s="256">
        <v>406530</v>
      </c>
      <c r="I141" s="256">
        <v>406530</v>
      </c>
      <c r="J141" s="256">
        <v>407392</v>
      </c>
      <c r="K141" s="256">
        <v>407367</v>
      </c>
      <c r="L141" s="256">
        <v>461828</v>
      </c>
      <c r="M141" s="256">
        <v>407462</v>
      </c>
      <c r="N141" s="256">
        <v>431825</v>
      </c>
      <c r="O141" s="261" t="s">
        <v>784</v>
      </c>
      <c r="P141" s="261" t="s">
        <v>784</v>
      </c>
      <c r="Q141" s="261" t="s">
        <v>784</v>
      </c>
      <c r="R141" s="256">
        <v>126877</v>
      </c>
      <c r="S141" s="256">
        <v>133972</v>
      </c>
      <c r="T141" s="256">
        <v>129294</v>
      </c>
      <c r="U141" s="256">
        <v>149673</v>
      </c>
      <c r="V141" s="256">
        <v>9487</v>
      </c>
      <c r="W141" s="256">
        <v>8222</v>
      </c>
      <c r="X141" s="256">
        <v>6915</v>
      </c>
      <c r="Y141" s="256">
        <v>5960</v>
      </c>
      <c r="Z141" s="256">
        <v>4087</v>
      </c>
      <c r="AA141" s="256">
        <v>4602</v>
      </c>
      <c r="AB141" s="256">
        <v>4122</v>
      </c>
      <c r="AC141" s="256">
        <v>36146</v>
      </c>
      <c r="AD141" s="256">
        <v>19275</v>
      </c>
      <c r="AE141" s="256">
        <v>56290</v>
      </c>
      <c r="AF141" s="256">
        <v>45958</v>
      </c>
      <c r="AG141" s="256">
        <v>68374</v>
      </c>
      <c r="AH141" s="256">
        <v>17697</v>
      </c>
      <c r="AI141" s="256">
        <v>25447</v>
      </c>
      <c r="AJ141" s="256">
        <v>18859</v>
      </c>
      <c r="AK141" s="256">
        <v>2108</v>
      </c>
      <c r="AL141" s="256">
        <v>2311</v>
      </c>
      <c r="AM141" s="256">
        <v>2272</v>
      </c>
      <c r="AN141" s="256">
        <v>0</v>
      </c>
      <c r="AO141" s="256">
        <v>0</v>
      </c>
      <c r="AP141" s="256">
        <v>0</v>
      </c>
      <c r="AQ141" s="256">
        <v>0</v>
      </c>
      <c r="AR141" s="256">
        <v>0</v>
      </c>
      <c r="AS141" s="256">
        <v>0</v>
      </c>
      <c r="AT141" s="256">
        <v>0</v>
      </c>
      <c r="AU141" s="256">
        <v>0</v>
      </c>
      <c r="AV141" s="256">
        <v>0</v>
      </c>
      <c r="AW141" s="256">
        <v>0</v>
      </c>
      <c r="AX141" s="256">
        <v>0</v>
      </c>
      <c r="AY141" s="256">
        <v>0</v>
      </c>
      <c r="AZ141" s="256">
        <v>0</v>
      </c>
      <c r="BA141" s="256">
        <v>0</v>
      </c>
      <c r="BB141" s="256">
        <v>0</v>
      </c>
      <c r="BC141" s="256">
        <v>0</v>
      </c>
      <c r="BD141" s="256">
        <v>0</v>
      </c>
      <c r="BE141" s="256">
        <v>0</v>
      </c>
      <c r="BF141" s="256">
        <v>0</v>
      </c>
    </row>
    <row r="142" spans="1:58" x14ac:dyDescent="0.3">
      <c r="A142" s="257" t="s">
        <v>904</v>
      </c>
      <c r="B142" s="259">
        <v>0</v>
      </c>
      <c r="C142" s="259">
        <v>0</v>
      </c>
      <c r="D142" s="259">
        <v>0</v>
      </c>
      <c r="E142" s="259">
        <v>0</v>
      </c>
      <c r="F142" s="259">
        <v>0</v>
      </c>
      <c r="G142" s="259">
        <v>0</v>
      </c>
      <c r="H142" s="259">
        <v>0</v>
      </c>
      <c r="I142" s="259">
        <v>0</v>
      </c>
      <c r="J142" s="259">
        <v>0</v>
      </c>
      <c r="K142" s="259">
        <v>0</v>
      </c>
      <c r="L142" s="259">
        <v>0</v>
      </c>
      <c r="M142" s="259">
        <v>0</v>
      </c>
      <c r="N142" s="259">
        <v>0</v>
      </c>
      <c r="O142" s="259">
        <v>0</v>
      </c>
      <c r="P142" s="259">
        <v>200</v>
      </c>
      <c r="Q142" s="259">
        <v>300</v>
      </c>
      <c r="R142" s="259">
        <v>0</v>
      </c>
      <c r="S142" s="259">
        <v>114139</v>
      </c>
      <c r="T142" s="259">
        <v>82619</v>
      </c>
      <c r="U142" s="259">
        <v>85333</v>
      </c>
      <c r="V142" s="259">
        <v>171877</v>
      </c>
      <c r="W142" s="259">
        <v>207215</v>
      </c>
      <c r="X142" s="259">
        <v>202816</v>
      </c>
      <c r="Y142" s="259">
        <v>259802</v>
      </c>
      <c r="Z142" s="259">
        <v>128912</v>
      </c>
      <c r="AA142" s="259">
        <v>108756</v>
      </c>
      <c r="AB142" s="259">
        <v>100657</v>
      </c>
      <c r="AC142" s="259">
        <v>100694</v>
      </c>
      <c r="AD142" s="259">
        <v>105063</v>
      </c>
      <c r="AE142" s="259">
        <v>141898</v>
      </c>
      <c r="AF142" s="259">
        <v>96077</v>
      </c>
      <c r="AG142" s="259">
        <v>96506</v>
      </c>
      <c r="AH142" s="259">
        <v>89238</v>
      </c>
      <c r="AI142" s="259">
        <v>89941</v>
      </c>
      <c r="AJ142" s="259">
        <v>106416</v>
      </c>
      <c r="AK142" s="259">
        <v>106362</v>
      </c>
      <c r="AL142" s="259">
        <v>86154</v>
      </c>
      <c r="AM142" s="259">
        <v>656202</v>
      </c>
      <c r="AN142" s="259">
        <v>563933</v>
      </c>
      <c r="AO142" s="259">
        <v>625273</v>
      </c>
      <c r="AP142" s="259">
        <v>829246</v>
      </c>
      <c r="AQ142" s="259">
        <v>938838</v>
      </c>
      <c r="AR142" s="259">
        <v>996106</v>
      </c>
      <c r="AS142" s="259">
        <v>1273718</v>
      </c>
      <c r="AT142" s="259">
        <v>714313</v>
      </c>
      <c r="AU142" s="259">
        <v>944654</v>
      </c>
      <c r="AV142" s="259">
        <v>889337</v>
      </c>
      <c r="AW142" s="259">
        <v>835671</v>
      </c>
      <c r="AX142" s="259">
        <v>719573</v>
      </c>
      <c r="AY142" s="259">
        <v>592462</v>
      </c>
      <c r="AZ142" s="259">
        <v>675662</v>
      </c>
      <c r="BA142" s="259">
        <v>702022</v>
      </c>
      <c r="BB142" s="259">
        <v>294981</v>
      </c>
      <c r="BC142" s="259">
        <v>2300388</v>
      </c>
      <c r="BD142" s="259">
        <v>2613821</v>
      </c>
      <c r="BE142" s="259">
        <v>2653271</v>
      </c>
      <c r="BF142" s="259">
        <v>2067530</v>
      </c>
    </row>
    <row r="143" spans="1:58" x14ac:dyDescent="0.3">
      <c r="A143" s="260" t="s">
        <v>905</v>
      </c>
      <c r="B143" s="261" t="s">
        <v>784</v>
      </c>
      <c r="C143" s="256">
        <v>0</v>
      </c>
      <c r="D143" s="256">
        <v>0</v>
      </c>
      <c r="E143" s="256">
        <v>0</v>
      </c>
      <c r="F143" s="256">
        <v>0</v>
      </c>
      <c r="G143" s="256">
        <v>0</v>
      </c>
      <c r="H143" s="256">
        <v>0</v>
      </c>
      <c r="I143" s="256">
        <v>0</v>
      </c>
      <c r="J143" s="256">
        <v>0</v>
      </c>
      <c r="K143" s="256">
        <v>0</v>
      </c>
      <c r="L143" s="256">
        <v>0</v>
      </c>
      <c r="M143" s="256">
        <v>0</v>
      </c>
      <c r="N143" s="256">
        <v>0</v>
      </c>
      <c r="O143" s="256">
        <v>0</v>
      </c>
      <c r="P143" s="261" t="s">
        <v>784</v>
      </c>
      <c r="Q143" s="256">
        <v>300</v>
      </c>
      <c r="R143" s="256">
        <v>0</v>
      </c>
      <c r="S143" s="256">
        <v>0</v>
      </c>
      <c r="T143" s="256">
        <v>0</v>
      </c>
      <c r="U143" s="256">
        <v>0</v>
      </c>
      <c r="V143" s="256">
        <v>33838</v>
      </c>
      <c r="W143" s="256">
        <v>40652</v>
      </c>
      <c r="X143" s="256">
        <v>39618</v>
      </c>
      <c r="Y143" s="256">
        <v>50388</v>
      </c>
      <c r="Z143" s="256">
        <v>60879</v>
      </c>
      <c r="AA143" s="256">
        <v>58524</v>
      </c>
      <c r="AB143" s="256">
        <v>53820</v>
      </c>
      <c r="AC143" s="256">
        <v>53907</v>
      </c>
      <c r="AD143" s="256">
        <v>56393</v>
      </c>
      <c r="AE143" s="256">
        <v>66423</v>
      </c>
      <c r="AF143" s="256">
        <v>25215</v>
      </c>
      <c r="AG143" s="256">
        <v>26881</v>
      </c>
      <c r="AH143" s="256">
        <v>15119</v>
      </c>
      <c r="AI143" s="256">
        <v>14643</v>
      </c>
      <c r="AJ143" s="256">
        <v>17486</v>
      </c>
      <c r="AK143" s="256">
        <v>14882</v>
      </c>
      <c r="AL143" s="256">
        <v>17441</v>
      </c>
      <c r="AM143" s="256">
        <v>25906</v>
      </c>
      <c r="AN143" s="256">
        <v>28675</v>
      </c>
      <c r="AO143" s="256">
        <v>34680</v>
      </c>
      <c r="AP143" s="256">
        <v>65613</v>
      </c>
      <c r="AQ143" s="256">
        <v>76006</v>
      </c>
      <c r="AR143" s="256">
        <v>74091</v>
      </c>
      <c r="AS143" s="256">
        <v>54434</v>
      </c>
      <c r="AT143" s="256">
        <v>75809</v>
      </c>
      <c r="AU143" s="256">
        <v>91295</v>
      </c>
      <c r="AV143" s="256">
        <v>128391</v>
      </c>
      <c r="AW143" s="256">
        <v>126465</v>
      </c>
      <c r="AX143" s="256">
        <v>27284</v>
      </c>
      <c r="AY143" s="256">
        <v>27933</v>
      </c>
      <c r="AZ143" s="256">
        <v>31658</v>
      </c>
      <c r="BA143" s="256">
        <v>19888</v>
      </c>
      <c r="BB143" s="256">
        <v>23350</v>
      </c>
      <c r="BC143" s="256">
        <v>645575</v>
      </c>
      <c r="BD143" s="256">
        <v>999875</v>
      </c>
      <c r="BE143" s="256">
        <v>1015013</v>
      </c>
      <c r="BF143" s="256">
        <v>946101</v>
      </c>
    </row>
    <row r="144" spans="1:58" x14ac:dyDescent="0.3">
      <c r="A144" s="262" t="s">
        <v>906</v>
      </c>
      <c r="B144" s="253" t="s">
        <v>784</v>
      </c>
      <c r="C144" s="254">
        <v>0</v>
      </c>
      <c r="D144" s="254">
        <v>0</v>
      </c>
      <c r="E144" s="254">
        <v>0</v>
      </c>
      <c r="F144" s="254">
        <v>0</v>
      </c>
      <c r="G144" s="254">
        <v>0</v>
      </c>
      <c r="H144" s="254">
        <v>0</v>
      </c>
      <c r="I144" s="254">
        <v>0</v>
      </c>
      <c r="J144" s="254">
        <v>0</v>
      </c>
      <c r="K144" s="254">
        <v>0</v>
      </c>
      <c r="L144" s="254">
        <v>0</v>
      </c>
      <c r="M144" s="254">
        <v>0</v>
      </c>
      <c r="N144" s="254">
        <v>0</v>
      </c>
      <c r="O144" s="254">
        <v>0</v>
      </c>
      <c r="P144" s="253" t="s">
        <v>784</v>
      </c>
      <c r="Q144" s="254">
        <v>0</v>
      </c>
      <c r="R144" s="254">
        <v>0</v>
      </c>
      <c r="S144" s="254">
        <v>0</v>
      </c>
      <c r="T144" s="254">
        <v>0</v>
      </c>
      <c r="U144" s="254">
        <v>0</v>
      </c>
      <c r="V144" s="254">
        <v>0</v>
      </c>
      <c r="W144" s="254">
        <v>0</v>
      </c>
      <c r="X144" s="254">
        <v>244</v>
      </c>
      <c r="Y144" s="254">
        <v>250</v>
      </c>
      <c r="Z144" s="254">
        <v>247</v>
      </c>
      <c r="AA144" s="254">
        <v>249</v>
      </c>
      <c r="AB144" s="254">
        <v>256</v>
      </c>
      <c r="AC144" s="254">
        <v>261</v>
      </c>
      <c r="AD144" s="254">
        <v>268</v>
      </c>
      <c r="AE144" s="254">
        <v>11531</v>
      </c>
      <c r="AF144" s="254">
        <v>11719</v>
      </c>
      <c r="AG144" s="254">
        <v>11731</v>
      </c>
      <c r="AH144" s="254">
        <v>299</v>
      </c>
      <c r="AI144" s="254">
        <v>304</v>
      </c>
      <c r="AJ144" s="254">
        <v>309</v>
      </c>
      <c r="AK144" s="254">
        <v>313</v>
      </c>
      <c r="AL144" s="254">
        <v>318</v>
      </c>
      <c r="AM144" s="254">
        <v>322</v>
      </c>
      <c r="AN144" s="254">
        <v>328</v>
      </c>
      <c r="AO144" s="254">
        <v>12809</v>
      </c>
      <c r="AP144" s="254">
        <v>23154</v>
      </c>
      <c r="AQ144" s="254">
        <v>23378</v>
      </c>
      <c r="AR144" s="254">
        <v>23412</v>
      </c>
      <c r="AS144" s="254">
        <v>13782</v>
      </c>
      <c r="AT144" s="254">
        <v>14243</v>
      </c>
      <c r="AU144" s="254">
        <v>19516</v>
      </c>
      <c r="AV144" s="254">
        <v>15607</v>
      </c>
      <c r="AW144" s="254">
        <v>15973</v>
      </c>
      <c r="AX144" s="254">
        <v>365</v>
      </c>
      <c r="AY144" s="254">
        <v>369</v>
      </c>
      <c r="AZ144" s="254">
        <v>375</v>
      </c>
      <c r="BA144" s="254">
        <v>381</v>
      </c>
      <c r="BB144" s="254">
        <v>388</v>
      </c>
      <c r="BC144" s="254">
        <v>234657</v>
      </c>
      <c r="BD144" s="254">
        <v>78199</v>
      </c>
      <c r="BE144" s="254">
        <v>566152</v>
      </c>
      <c r="BF144" s="254">
        <v>81357</v>
      </c>
    </row>
    <row r="145" spans="1:58" x14ac:dyDescent="0.3">
      <c r="A145" s="262" t="s">
        <v>907</v>
      </c>
      <c r="B145" s="253" t="s">
        <v>784</v>
      </c>
      <c r="C145" s="254">
        <v>0</v>
      </c>
      <c r="D145" s="254">
        <v>0</v>
      </c>
      <c r="E145" s="254">
        <v>0</v>
      </c>
      <c r="F145" s="254">
        <v>0</v>
      </c>
      <c r="G145" s="254">
        <v>0</v>
      </c>
      <c r="H145" s="254">
        <v>0</v>
      </c>
      <c r="I145" s="254">
        <v>0</v>
      </c>
      <c r="J145" s="254">
        <v>0</v>
      </c>
      <c r="K145" s="254">
        <v>0</v>
      </c>
      <c r="L145" s="254">
        <v>0</v>
      </c>
      <c r="M145" s="254">
        <v>0</v>
      </c>
      <c r="N145" s="254">
        <v>0</v>
      </c>
      <c r="O145" s="254">
        <v>0</v>
      </c>
      <c r="P145" s="253" t="s">
        <v>784</v>
      </c>
      <c r="Q145" s="254">
        <v>300</v>
      </c>
      <c r="R145" s="254">
        <v>0</v>
      </c>
      <c r="S145" s="254">
        <v>0</v>
      </c>
      <c r="T145" s="254">
        <v>0</v>
      </c>
      <c r="U145" s="254">
        <v>0</v>
      </c>
      <c r="V145" s="254">
        <v>0</v>
      </c>
      <c r="W145" s="254">
        <v>0</v>
      </c>
      <c r="X145" s="254">
        <v>164</v>
      </c>
      <c r="Y145" s="254">
        <v>283</v>
      </c>
      <c r="Z145" s="254">
        <v>8879</v>
      </c>
      <c r="AA145" s="254">
        <v>11660</v>
      </c>
      <c r="AB145" s="254">
        <v>10799</v>
      </c>
      <c r="AC145" s="254">
        <v>10514</v>
      </c>
      <c r="AD145" s="254">
        <v>11997</v>
      </c>
      <c r="AE145" s="254">
        <v>11989</v>
      </c>
      <c r="AF145" s="254">
        <v>13496</v>
      </c>
      <c r="AG145" s="254">
        <v>15150</v>
      </c>
      <c r="AH145" s="254">
        <v>14820</v>
      </c>
      <c r="AI145" s="254">
        <v>14339</v>
      </c>
      <c r="AJ145" s="254">
        <v>17177</v>
      </c>
      <c r="AK145" s="254">
        <v>14569</v>
      </c>
      <c r="AL145" s="254">
        <v>17123</v>
      </c>
      <c r="AM145" s="254">
        <v>16725</v>
      </c>
      <c r="AN145" s="254">
        <v>19289</v>
      </c>
      <c r="AO145" s="254">
        <v>21750</v>
      </c>
      <c r="AP145" s="254">
        <v>42459</v>
      </c>
      <c r="AQ145" s="254">
        <v>21132</v>
      </c>
      <c r="AR145" s="254">
        <v>17313</v>
      </c>
      <c r="AS145" s="254">
        <v>6297</v>
      </c>
      <c r="AT145" s="254">
        <v>61566</v>
      </c>
      <c r="AU145" s="254">
        <v>12189</v>
      </c>
      <c r="AV145" s="254">
        <v>112784</v>
      </c>
      <c r="AW145" s="254">
        <v>11692</v>
      </c>
      <c r="AX145" s="254">
        <v>15282</v>
      </c>
      <c r="AY145" s="254">
        <v>15205</v>
      </c>
      <c r="AZ145" s="254">
        <v>18803</v>
      </c>
      <c r="BA145" s="254">
        <v>7282</v>
      </c>
      <c r="BB145" s="254">
        <v>10401</v>
      </c>
      <c r="BC145" s="254">
        <v>19728</v>
      </c>
      <c r="BD145" s="254">
        <v>14763</v>
      </c>
      <c r="BE145" s="254">
        <v>14609</v>
      </c>
      <c r="BF145" s="254">
        <v>17407</v>
      </c>
    </row>
    <row r="146" spans="1:58" x14ac:dyDescent="0.3">
      <c r="A146" s="262" t="s">
        <v>908</v>
      </c>
      <c r="B146" s="253" t="s">
        <v>784</v>
      </c>
      <c r="C146" s="254">
        <v>0</v>
      </c>
      <c r="D146" s="254">
        <v>0</v>
      </c>
      <c r="E146" s="254">
        <v>0</v>
      </c>
      <c r="F146" s="254">
        <v>0</v>
      </c>
      <c r="G146" s="254">
        <v>0</v>
      </c>
      <c r="H146" s="254">
        <v>0</v>
      </c>
      <c r="I146" s="254">
        <v>0</v>
      </c>
      <c r="J146" s="254">
        <v>0</v>
      </c>
      <c r="K146" s="254">
        <v>0</v>
      </c>
      <c r="L146" s="254">
        <v>0</v>
      </c>
      <c r="M146" s="254">
        <v>0</v>
      </c>
      <c r="N146" s="254">
        <v>0</v>
      </c>
      <c r="O146" s="254">
        <v>0</v>
      </c>
      <c r="P146" s="253" t="s">
        <v>784</v>
      </c>
      <c r="Q146" s="254">
        <v>0</v>
      </c>
      <c r="R146" s="254">
        <v>0</v>
      </c>
      <c r="S146" s="254">
        <v>0</v>
      </c>
      <c r="T146" s="254">
        <v>0</v>
      </c>
      <c r="U146" s="254">
        <v>0</v>
      </c>
      <c r="V146" s="254">
        <v>43</v>
      </c>
      <c r="W146" s="254">
        <v>164</v>
      </c>
      <c r="X146" s="254">
        <v>0</v>
      </c>
      <c r="Y146" s="254">
        <v>0</v>
      </c>
      <c r="Z146" s="254">
        <v>0</v>
      </c>
      <c r="AA146" s="254">
        <v>0</v>
      </c>
      <c r="AB146" s="254">
        <v>0</v>
      </c>
      <c r="AC146" s="254">
        <v>0</v>
      </c>
      <c r="AD146" s="254">
        <v>0</v>
      </c>
      <c r="AE146" s="254">
        <v>0</v>
      </c>
      <c r="AF146" s="254">
        <v>0</v>
      </c>
      <c r="AG146" s="254">
        <v>0</v>
      </c>
      <c r="AH146" s="254">
        <v>0</v>
      </c>
      <c r="AI146" s="254">
        <v>0</v>
      </c>
      <c r="AJ146" s="254">
        <v>0</v>
      </c>
      <c r="AK146" s="254">
        <v>0</v>
      </c>
      <c r="AL146" s="254">
        <v>0</v>
      </c>
      <c r="AM146" s="254">
        <v>0</v>
      </c>
      <c r="AN146" s="254">
        <v>0</v>
      </c>
      <c r="AO146" s="254">
        <v>0</v>
      </c>
      <c r="AP146" s="254">
        <v>0</v>
      </c>
      <c r="AQ146" s="254">
        <v>0</v>
      </c>
      <c r="AR146" s="254">
        <v>0</v>
      </c>
      <c r="AS146" s="254">
        <v>0</v>
      </c>
      <c r="AT146" s="254">
        <v>0</v>
      </c>
      <c r="AU146" s="254">
        <v>0</v>
      </c>
      <c r="AV146" s="254">
        <v>0</v>
      </c>
      <c r="AW146" s="254">
        <v>0</v>
      </c>
      <c r="AX146" s="254">
        <v>0</v>
      </c>
      <c r="AY146" s="254">
        <v>0</v>
      </c>
      <c r="AZ146" s="254">
        <v>0</v>
      </c>
      <c r="BA146" s="254">
        <v>0</v>
      </c>
      <c r="BB146" s="254">
        <v>0</v>
      </c>
      <c r="BC146" s="254">
        <v>0</v>
      </c>
      <c r="BD146" s="254">
        <v>0</v>
      </c>
      <c r="BE146" s="254">
        <v>0</v>
      </c>
      <c r="BF146" s="254">
        <v>0</v>
      </c>
    </row>
    <row r="147" spans="1:58" x14ac:dyDescent="0.3">
      <c r="A147" s="262" t="s">
        <v>909</v>
      </c>
      <c r="B147" s="253" t="s">
        <v>784</v>
      </c>
      <c r="C147" s="254">
        <v>0</v>
      </c>
      <c r="D147" s="254">
        <v>0</v>
      </c>
      <c r="E147" s="254">
        <v>0</v>
      </c>
      <c r="F147" s="254">
        <v>0</v>
      </c>
      <c r="G147" s="254">
        <v>0</v>
      </c>
      <c r="H147" s="254">
        <v>0</v>
      </c>
      <c r="I147" s="254">
        <v>0</v>
      </c>
      <c r="J147" s="254">
        <v>0</v>
      </c>
      <c r="K147" s="254">
        <v>0</v>
      </c>
      <c r="L147" s="254">
        <v>0</v>
      </c>
      <c r="M147" s="254">
        <v>0</v>
      </c>
      <c r="N147" s="254">
        <v>0</v>
      </c>
      <c r="O147" s="254">
        <v>0</v>
      </c>
      <c r="P147" s="253" t="s">
        <v>784</v>
      </c>
      <c r="Q147" s="254">
        <v>0</v>
      </c>
      <c r="R147" s="254">
        <v>0</v>
      </c>
      <c r="S147" s="254">
        <v>0</v>
      </c>
      <c r="T147" s="254">
        <v>0</v>
      </c>
      <c r="U147" s="254">
        <v>0</v>
      </c>
      <c r="V147" s="254">
        <v>33795</v>
      </c>
      <c r="W147" s="254">
        <v>40488</v>
      </c>
      <c r="X147" s="254">
        <v>39210</v>
      </c>
      <c r="Y147" s="254">
        <v>49855</v>
      </c>
      <c r="Z147" s="254">
        <v>51753</v>
      </c>
      <c r="AA147" s="254">
        <v>46615</v>
      </c>
      <c r="AB147" s="254">
        <v>42765</v>
      </c>
      <c r="AC147" s="254">
        <v>43132</v>
      </c>
      <c r="AD147" s="254">
        <v>44128</v>
      </c>
      <c r="AE147" s="254">
        <v>42903</v>
      </c>
      <c r="AF147" s="254">
        <v>0</v>
      </c>
      <c r="AG147" s="254">
        <v>0</v>
      </c>
      <c r="AH147" s="254">
        <v>0</v>
      </c>
      <c r="AI147" s="254">
        <v>0</v>
      </c>
      <c r="AJ147" s="254">
        <v>0</v>
      </c>
      <c r="AK147" s="254">
        <v>0</v>
      </c>
      <c r="AL147" s="254">
        <v>0</v>
      </c>
      <c r="AM147" s="254">
        <v>8859</v>
      </c>
      <c r="AN147" s="254">
        <v>9058</v>
      </c>
      <c r="AO147" s="254">
        <v>121</v>
      </c>
      <c r="AP147" s="254">
        <v>0</v>
      </c>
      <c r="AQ147" s="254">
        <v>31496</v>
      </c>
      <c r="AR147" s="254">
        <v>33366</v>
      </c>
      <c r="AS147" s="254">
        <v>34355</v>
      </c>
      <c r="AT147" s="254">
        <v>0</v>
      </c>
      <c r="AU147" s="254">
        <v>59590</v>
      </c>
      <c r="AV147" s="254">
        <v>0</v>
      </c>
      <c r="AW147" s="254">
        <v>98800</v>
      </c>
      <c r="AX147" s="254">
        <v>11637</v>
      </c>
      <c r="AY147" s="254">
        <v>12359</v>
      </c>
      <c r="AZ147" s="254">
        <v>12480</v>
      </c>
      <c r="BA147" s="254">
        <v>12225</v>
      </c>
      <c r="BB147" s="254">
        <v>12561</v>
      </c>
      <c r="BC147" s="254">
        <v>391190</v>
      </c>
      <c r="BD147" s="254">
        <v>906913</v>
      </c>
      <c r="BE147" s="254">
        <v>434252</v>
      </c>
      <c r="BF147" s="254">
        <v>847337</v>
      </c>
    </row>
    <row r="148" spans="1:58" x14ac:dyDescent="0.3">
      <c r="A148" s="262" t="s">
        <v>790</v>
      </c>
      <c r="B148" s="253" t="s">
        <v>784</v>
      </c>
      <c r="C148" s="254">
        <v>0</v>
      </c>
      <c r="D148" s="254">
        <v>0</v>
      </c>
      <c r="E148" s="254">
        <v>0</v>
      </c>
      <c r="F148" s="254">
        <v>0</v>
      </c>
      <c r="G148" s="254">
        <v>0</v>
      </c>
      <c r="H148" s="254">
        <v>0</v>
      </c>
      <c r="I148" s="254">
        <v>0</v>
      </c>
      <c r="J148" s="254">
        <v>0</v>
      </c>
      <c r="K148" s="254">
        <v>0</v>
      </c>
      <c r="L148" s="254">
        <v>0</v>
      </c>
      <c r="M148" s="254">
        <v>0</v>
      </c>
      <c r="N148" s="254">
        <v>0</v>
      </c>
      <c r="O148" s="254">
        <v>0</v>
      </c>
      <c r="P148" s="253" t="s">
        <v>784</v>
      </c>
      <c r="Q148" s="254">
        <v>0</v>
      </c>
      <c r="R148" s="254">
        <v>0</v>
      </c>
      <c r="S148" s="254">
        <v>0</v>
      </c>
      <c r="T148" s="254">
        <v>0</v>
      </c>
      <c r="U148" s="254">
        <v>0</v>
      </c>
      <c r="V148" s="254">
        <v>0</v>
      </c>
      <c r="W148" s="254">
        <v>0</v>
      </c>
      <c r="X148" s="254">
        <v>0</v>
      </c>
      <c r="Y148" s="254">
        <v>0</v>
      </c>
      <c r="Z148" s="254">
        <v>0</v>
      </c>
      <c r="AA148" s="254">
        <v>0</v>
      </c>
      <c r="AB148" s="254">
        <v>0</v>
      </c>
      <c r="AC148" s="254">
        <v>0</v>
      </c>
      <c r="AD148" s="254">
        <v>0</v>
      </c>
      <c r="AE148" s="254">
        <v>0</v>
      </c>
      <c r="AF148" s="254">
        <v>0</v>
      </c>
      <c r="AG148" s="254">
        <v>0</v>
      </c>
      <c r="AH148" s="254">
        <v>0</v>
      </c>
      <c r="AI148" s="254">
        <v>0</v>
      </c>
      <c r="AJ148" s="254">
        <v>0</v>
      </c>
      <c r="AK148" s="254">
        <v>0</v>
      </c>
      <c r="AL148" s="254">
        <v>0</v>
      </c>
      <c r="AM148" s="254">
        <v>0</v>
      </c>
      <c r="AN148" s="254">
        <v>0</v>
      </c>
      <c r="AO148" s="254">
        <v>0</v>
      </c>
      <c r="AP148" s="254">
        <v>0</v>
      </c>
      <c r="AQ148" s="254">
        <v>0</v>
      </c>
      <c r="AR148" s="254">
        <v>0</v>
      </c>
      <c r="AS148" s="254">
        <v>0</v>
      </c>
      <c r="AT148" s="254">
        <v>0</v>
      </c>
      <c r="AU148" s="254">
        <v>0</v>
      </c>
      <c r="AV148" s="254">
        <v>0</v>
      </c>
      <c r="AW148" s="254">
        <v>0</v>
      </c>
      <c r="AX148" s="254">
        <v>0</v>
      </c>
      <c r="AY148" s="254">
        <v>0</v>
      </c>
      <c r="AZ148" s="254">
        <v>0</v>
      </c>
      <c r="BA148" s="254">
        <v>0</v>
      </c>
      <c r="BB148" s="254">
        <v>0</v>
      </c>
      <c r="BC148" s="254">
        <v>0</v>
      </c>
      <c r="BD148" s="254">
        <v>0</v>
      </c>
      <c r="BE148" s="254">
        <v>0</v>
      </c>
      <c r="BF148" s="254">
        <v>0</v>
      </c>
    </row>
    <row r="149" spans="1:58" x14ac:dyDescent="0.3">
      <c r="A149" s="260" t="s">
        <v>910</v>
      </c>
      <c r="B149" s="261" t="s">
        <v>784</v>
      </c>
      <c r="C149" s="256">
        <v>0</v>
      </c>
      <c r="D149" s="256">
        <v>0</v>
      </c>
      <c r="E149" s="256">
        <v>0</v>
      </c>
      <c r="F149" s="256">
        <v>0</v>
      </c>
      <c r="G149" s="256">
        <v>0</v>
      </c>
      <c r="H149" s="256">
        <v>0</v>
      </c>
      <c r="I149" s="256">
        <v>0</v>
      </c>
      <c r="J149" s="256">
        <v>0</v>
      </c>
      <c r="K149" s="256">
        <v>0</v>
      </c>
      <c r="L149" s="256">
        <v>0</v>
      </c>
      <c r="M149" s="256">
        <v>0</v>
      </c>
      <c r="N149" s="256">
        <v>0</v>
      </c>
      <c r="O149" s="256">
        <v>0</v>
      </c>
      <c r="P149" s="261" t="s">
        <v>784</v>
      </c>
      <c r="Q149" s="256">
        <v>0</v>
      </c>
      <c r="R149" s="256">
        <v>0</v>
      </c>
      <c r="S149" s="256">
        <v>114139</v>
      </c>
      <c r="T149" s="256">
        <v>82619</v>
      </c>
      <c r="U149" s="256">
        <v>85333</v>
      </c>
      <c r="V149" s="256">
        <v>138039</v>
      </c>
      <c r="W149" s="256">
        <v>166563</v>
      </c>
      <c r="X149" s="256">
        <v>163198</v>
      </c>
      <c r="Y149" s="256">
        <v>209414</v>
      </c>
      <c r="Z149" s="256">
        <v>68033</v>
      </c>
      <c r="AA149" s="256">
        <v>50232</v>
      </c>
      <c r="AB149" s="256">
        <v>46837</v>
      </c>
      <c r="AC149" s="256">
        <v>46787</v>
      </c>
      <c r="AD149" s="256">
        <v>48670</v>
      </c>
      <c r="AE149" s="256">
        <v>75475</v>
      </c>
      <c r="AF149" s="256">
        <v>70862</v>
      </c>
      <c r="AG149" s="256">
        <v>69625</v>
      </c>
      <c r="AH149" s="256">
        <v>74119</v>
      </c>
      <c r="AI149" s="256">
        <v>75298</v>
      </c>
      <c r="AJ149" s="256">
        <v>88930</v>
      </c>
      <c r="AK149" s="256">
        <v>91480</v>
      </c>
      <c r="AL149" s="256">
        <v>68713</v>
      </c>
      <c r="AM149" s="256">
        <v>630296</v>
      </c>
      <c r="AN149" s="256">
        <v>535258</v>
      </c>
      <c r="AO149" s="256">
        <v>590593</v>
      </c>
      <c r="AP149" s="256">
        <v>763633</v>
      </c>
      <c r="AQ149" s="256">
        <v>862832</v>
      </c>
      <c r="AR149" s="256">
        <v>922015</v>
      </c>
      <c r="AS149" s="256">
        <v>1219284</v>
      </c>
      <c r="AT149" s="256">
        <v>638504</v>
      </c>
      <c r="AU149" s="256">
        <v>853359</v>
      </c>
      <c r="AV149" s="256">
        <v>760946</v>
      </c>
      <c r="AW149" s="256">
        <v>709206</v>
      </c>
      <c r="AX149" s="256">
        <v>692289</v>
      </c>
      <c r="AY149" s="256">
        <v>564529</v>
      </c>
      <c r="AZ149" s="256">
        <v>644004</v>
      </c>
      <c r="BA149" s="256">
        <v>682134</v>
      </c>
      <c r="BB149" s="256">
        <v>271631</v>
      </c>
      <c r="BC149" s="256">
        <v>1654813</v>
      </c>
      <c r="BD149" s="256">
        <v>1613946</v>
      </c>
      <c r="BE149" s="256">
        <v>1638258</v>
      </c>
      <c r="BF149" s="256">
        <v>1121429</v>
      </c>
    </row>
    <row r="150" spans="1:58" x14ac:dyDescent="0.3">
      <c r="A150" s="262" t="s">
        <v>911</v>
      </c>
      <c r="B150" s="253" t="s">
        <v>784</v>
      </c>
      <c r="C150" s="254">
        <v>0</v>
      </c>
      <c r="D150" s="254">
        <v>0</v>
      </c>
      <c r="E150" s="254">
        <v>0</v>
      </c>
      <c r="F150" s="254">
        <v>0</v>
      </c>
      <c r="G150" s="254">
        <v>0</v>
      </c>
      <c r="H150" s="254">
        <v>0</v>
      </c>
      <c r="I150" s="254">
        <v>0</v>
      </c>
      <c r="J150" s="254">
        <v>0</v>
      </c>
      <c r="K150" s="254">
        <v>0</v>
      </c>
      <c r="L150" s="254">
        <v>0</v>
      </c>
      <c r="M150" s="254">
        <v>0</v>
      </c>
      <c r="N150" s="254">
        <v>0</v>
      </c>
      <c r="O150" s="254">
        <v>0</v>
      </c>
      <c r="P150" s="253" t="s">
        <v>784</v>
      </c>
      <c r="Q150" s="254">
        <v>0</v>
      </c>
      <c r="R150" s="254">
        <v>0</v>
      </c>
      <c r="S150" s="254">
        <v>0</v>
      </c>
      <c r="T150" s="254">
        <v>0</v>
      </c>
      <c r="U150" s="254">
        <v>0</v>
      </c>
      <c r="V150" s="254">
        <v>0</v>
      </c>
      <c r="W150" s="254">
        <v>0</v>
      </c>
      <c r="X150" s="254">
        <v>0</v>
      </c>
      <c r="Y150" s="254">
        <v>0</v>
      </c>
      <c r="Z150" s="254">
        <v>0</v>
      </c>
      <c r="AA150" s="254">
        <v>0</v>
      </c>
      <c r="AB150" s="254">
        <v>0</v>
      </c>
      <c r="AC150" s="254">
        <v>0</v>
      </c>
      <c r="AD150" s="254">
        <v>0</v>
      </c>
      <c r="AE150" s="254">
        <v>0</v>
      </c>
      <c r="AF150" s="254">
        <v>0</v>
      </c>
      <c r="AG150" s="254">
        <v>0</v>
      </c>
      <c r="AH150" s="254">
        <v>0</v>
      </c>
      <c r="AI150" s="254">
        <v>0</v>
      </c>
      <c r="AJ150" s="254">
        <v>0</v>
      </c>
      <c r="AK150" s="254">
        <v>0</v>
      </c>
      <c r="AL150" s="254">
        <v>0</v>
      </c>
      <c r="AM150" s="254">
        <v>0</v>
      </c>
      <c r="AN150" s="254">
        <v>0</v>
      </c>
      <c r="AO150" s="254">
        <v>0</v>
      </c>
      <c r="AP150" s="254">
        <v>0</v>
      </c>
      <c r="AQ150" s="254">
        <v>0</v>
      </c>
      <c r="AR150" s="254">
        <v>0</v>
      </c>
      <c r="AS150" s="254">
        <v>0</v>
      </c>
      <c r="AT150" s="254">
        <v>0</v>
      </c>
      <c r="AU150" s="254">
        <v>0</v>
      </c>
      <c r="AV150" s="254">
        <v>0</v>
      </c>
      <c r="AW150" s="254">
        <v>0</v>
      </c>
      <c r="AX150" s="254">
        <v>0</v>
      </c>
      <c r="AY150" s="254">
        <v>0</v>
      </c>
      <c r="AZ150" s="254">
        <v>0</v>
      </c>
      <c r="BA150" s="254">
        <v>0</v>
      </c>
      <c r="BB150" s="254">
        <v>0</v>
      </c>
      <c r="BC150" s="254">
        <v>0</v>
      </c>
      <c r="BD150" s="254">
        <v>0</v>
      </c>
      <c r="BE150" s="254">
        <v>0</v>
      </c>
      <c r="BF150" s="254">
        <v>0</v>
      </c>
    </row>
    <row r="151" spans="1:58" x14ac:dyDescent="0.3">
      <c r="A151" s="262" t="s">
        <v>912</v>
      </c>
      <c r="B151" s="253" t="s">
        <v>784</v>
      </c>
      <c r="C151" s="254">
        <v>0</v>
      </c>
      <c r="D151" s="254">
        <v>0</v>
      </c>
      <c r="E151" s="254">
        <v>0</v>
      </c>
      <c r="F151" s="254">
        <v>0</v>
      </c>
      <c r="G151" s="254">
        <v>0</v>
      </c>
      <c r="H151" s="254">
        <v>0</v>
      </c>
      <c r="I151" s="254">
        <v>0</v>
      </c>
      <c r="J151" s="254">
        <v>0</v>
      </c>
      <c r="K151" s="254">
        <v>0</v>
      </c>
      <c r="L151" s="254">
        <v>0</v>
      </c>
      <c r="M151" s="254">
        <v>0</v>
      </c>
      <c r="N151" s="254">
        <v>0</v>
      </c>
      <c r="O151" s="254">
        <v>0</v>
      </c>
      <c r="P151" s="253" t="s">
        <v>784</v>
      </c>
      <c r="Q151" s="254">
        <v>0</v>
      </c>
      <c r="R151" s="254">
        <v>0</v>
      </c>
      <c r="S151" s="254">
        <v>0</v>
      </c>
      <c r="T151" s="254">
        <v>0</v>
      </c>
      <c r="U151" s="254">
        <v>0</v>
      </c>
      <c r="V151" s="254">
        <v>0</v>
      </c>
      <c r="W151" s="254">
        <v>0</v>
      </c>
      <c r="X151" s="254">
        <v>0</v>
      </c>
      <c r="Y151" s="254">
        <v>0</v>
      </c>
      <c r="Z151" s="254">
        <v>0</v>
      </c>
      <c r="AA151" s="254">
        <v>0</v>
      </c>
      <c r="AB151" s="254">
        <v>0</v>
      </c>
      <c r="AC151" s="254">
        <v>0</v>
      </c>
      <c r="AD151" s="254">
        <v>0</v>
      </c>
      <c r="AE151" s="254">
        <v>0</v>
      </c>
      <c r="AF151" s="254">
        <v>0</v>
      </c>
      <c r="AG151" s="254">
        <v>0</v>
      </c>
      <c r="AH151" s="254">
        <v>0</v>
      </c>
      <c r="AI151" s="254">
        <v>0</v>
      </c>
      <c r="AJ151" s="254">
        <v>0</v>
      </c>
      <c r="AK151" s="254">
        <v>0</v>
      </c>
      <c r="AL151" s="254">
        <v>0</v>
      </c>
      <c r="AM151" s="254">
        <v>0</v>
      </c>
      <c r="AN151" s="254">
        <v>0</v>
      </c>
      <c r="AO151" s="254">
        <v>0</v>
      </c>
      <c r="AP151" s="254">
        <v>0</v>
      </c>
      <c r="AQ151" s="254">
        <v>0</v>
      </c>
      <c r="AR151" s="254">
        <v>0</v>
      </c>
      <c r="AS151" s="254">
        <v>0</v>
      </c>
      <c r="AT151" s="254">
        <v>0</v>
      </c>
      <c r="AU151" s="254">
        <v>0</v>
      </c>
      <c r="AV151" s="254">
        <v>0</v>
      </c>
      <c r="AW151" s="254">
        <v>0</v>
      </c>
      <c r="AX151" s="254">
        <v>0</v>
      </c>
      <c r="AY151" s="254">
        <v>0</v>
      </c>
      <c r="AZ151" s="254">
        <v>0</v>
      </c>
      <c r="BA151" s="254">
        <v>0</v>
      </c>
      <c r="BB151" s="254">
        <v>0</v>
      </c>
      <c r="BC151" s="254">
        <v>0</v>
      </c>
      <c r="BD151" s="254">
        <v>0</v>
      </c>
      <c r="BE151" s="254">
        <v>0</v>
      </c>
      <c r="BF151" s="254">
        <v>0</v>
      </c>
    </row>
    <row r="152" spans="1:58" x14ac:dyDescent="0.3">
      <c r="A152" s="262" t="s">
        <v>913</v>
      </c>
      <c r="B152" s="253" t="s">
        <v>784</v>
      </c>
      <c r="C152" s="254">
        <v>0</v>
      </c>
      <c r="D152" s="254">
        <v>0</v>
      </c>
      <c r="E152" s="254">
        <v>0</v>
      </c>
      <c r="F152" s="254">
        <v>0</v>
      </c>
      <c r="G152" s="254">
        <v>0</v>
      </c>
      <c r="H152" s="254">
        <v>0</v>
      </c>
      <c r="I152" s="254">
        <v>0</v>
      </c>
      <c r="J152" s="254">
        <v>0</v>
      </c>
      <c r="K152" s="254">
        <v>0</v>
      </c>
      <c r="L152" s="254">
        <v>0</v>
      </c>
      <c r="M152" s="254">
        <v>0</v>
      </c>
      <c r="N152" s="254">
        <v>0</v>
      </c>
      <c r="O152" s="254">
        <v>0</v>
      </c>
      <c r="P152" s="253" t="s">
        <v>784</v>
      </c>
      <c r="Q152" s="254">
        <v>0</v>
      </c>
      <c r="R152" s="254">
        <v>0</v>
      </c>
      <c r="S152" s="254">
        <v>114139</v>
      </c>
      <c r="T152" s="254">
        <v>82619</v>
      </c>
      <c r="U152" s="254">
        <v>85333</v>
      </c>
      <c r="V152" s="254">
        <v>138039</v>
      </c>
      <c r="W152" s="254">
        <v>166563</v>
      </c>
      <c r="X152" s="254">
        <v>163198</v>
      </c>
      <c r="Y152" s="254">
        <v>209414</v>
      </c>
      <c r="Z152" s="254">
        <v>68033</v>
      </c>
      <c r="AA152" s="254">
        <v>50232</v>
      </c>
      <c r="AB152" s="254">
        <v>46837</v>
      </c>
      <c r="AC152" s="254">
        <v>46787</v>
      </c>
      <c r="AD152" s="254">
        <v>48670</v>
      </c>
      <c r="AE152" s="254">
        <v>75475</v>
      </c>
      <c r="AF152" s="254">
        <v>70862</v>
      </c>
      <c r="AG152" s="254">
        <v>69625</v>
      </c>
      <c r="AH152" s="254">
        <v>74119</v>
      </c>
      <c r="AI152" s="254">
        <v>75298</v>
      </c>
      <c r="AJ152" s="254">
        <v>88930</v>
      </c>
      <c r="AK152" s="254">
        <v>91480</v>
      </c>
      <c r="AL152" s="254">
        <v>68713</v>
      </c>
      <c r="AM152" s="254">
        <v>630296</v>
      </c>
      <c r="AN152" s="254">
        <v>535258</v>
      </c>
      <c r="AO152" s="254">
        <v>590593</v>
      </c>
      <c r="AP152" s="254">
        <v>763633</v>
      </c>
      <c r="AQ152" s="254">
        <v>862832</v>
      </c>
      <c r="AR152" s="254">
        <v>922015</v>
      </c>
      <c r="AS152" s="254">
        <v>1219284</v>
      </c>
      <c r="AT152" s="254">
        <v>638504</v>
      </c>
      <c r="AU152" s="254">
        <v>853359</v>
      </c>
      <c r="AV152" s="254">
        <v>760946</v>
      </c>
      <c r="AW152" s="254">
        <v>709206</v>
      </c>
      <c r="AX152" s="254">
        <v>692289</v>
      </c>
      <c r="AY152" s="254">
        <v>564529</v>
      </c>
      <c r="AZ152" s="254">
        <v>644004</v>
      </c>
      <c r="BA152" s="254">
        <v>682134</v>
      </c>
      <c r="BB152" s="254">
        <v>271631</v>
      </c>
      <c r="BC152" s="254">
        <v>1654813</v>
      </c>
      <c r="BD152" s="254">
        <v>1613946</v>
      </c>
      <c r="BE152" s="254">
        <v>1638258</v>
      </c>
      <c r="BF152" s="254">
        <v>1121429</v>
      </c>
    </row>
    <row r="153" spans="1:58" x14ac:dyDescent="0.3">
      <c r="A153" s="262" t="s">
        <v>790</v>
      </c>
      <c r="B153" s="253" t="s">
        <v>784</v>
      </c>
      <c r="C153" s="254">
        <v>0</v>
      </c>
      <c r="D153" s="254">
        <v>0</v>
      </c>
      <c r="E153" s="254">
        <v>0</v>
      </c>
      <c r="F153" s="254">
        <v>0</v>
      </c>
      <c r="G153" s="254">
        <v>0</v>
      </c>
      <c r="H153" s="254">
        <v>0</v>
      </c>
      <c r="I153" s="254">
        <v>0</v>
      </c>
      <c r="J153" s="254">
        <v>0</v>
      </c>
      <c r="K153" s="254">
        <v>0</v>
      </c>
      <c r="L153" s="254">
        <v>0</v>
      </c>
      <c r="M153" s="254">
        <v>0</v>
      </c>
      <c r="N153" s="254">
        <v>0</v>
      </c>
      <c r="O153" s="254">
        <v>0</v>
      </c>
      <c r="P153" s="253" t="s">
        <v>784</v>
      </c>
      <c r="Q153" s="254">
        <v>0</v>
      </c>
      <c r="R153" s="254">
        <v>0</v>
      </c>
      <c r="S153" s="254">
        <v>0</v>
      </c>
      <c r="T153" s="254">
        <v>0</v>
      </c>
      <c r="U153" s="254">
        <v>0</v>
      </c>
      <c r="V153" s="254">
        <v>0</v>
      </c>
      <c r="W153" s="254">
        <v>0</v>
      </c>
      <c r="X153" s="254">
        <v>0</v>
      </c>
      <c r="Y153" s="254">
        <v>0</v>
      </c>
      <c r="Z153" s="254">
        <v>0</v>
      </c>
      <c r="AA153" s="254">
        <v>0</v>
      </c>
      <c r="AB153" s="254">
        <v>0</v>
      </c>
      <c r="AC153" s="254">
        <v>0</v>
      </c>
      <c r="AD153" s="254">
        <v>0</v>
      </c>
      <c r="AE153" s="254">
        <v>0</v>
      </c>
      <c r="AF153" s="254">
        <v>0</v>
      </c>
      <c r="AG153" s="254">
        <v>0</v>
      </c>
      <c r="AH153" s="254">
        <v>0</v>
      </c>
      <c r="AI153" s="254">
        <v>0</v>
      </c>
      <c r="AJ153" s="254">
        <v>0</v>
      </c>
      <c r="AK153" s="254">
        <v>0</v>
      </c>
      <c r="AL153" s="254">
        <v>0</v>
      </c>
      <c r="AM153" s="254">
        <v>0</v>
      </c>
      <c r="AN153" s="254">
        <v>0</v>
      </c>
      <c r="AO153" s="254">
        <v>0</v>
      </c>
      <c r="AP153" s="254">
        <v>0</v>
      </c>
      <c r="AQ153" s="254">
        <v>0</v>
      </c>
      <c r="AR153" s="254">
        <v>0</v>
      </c>
      <c r="AS153" s="254">
        <v>0</v>
      </c>
      <c r="AT153" s="254">
        <v>0</v>
      </c>
      <c r="AU153" s="254">
        <v>0</v>
      </c>
      <c r="AV153" s="254">
        <v>0</v>
      </c>
      <c r="AW153" s="254">
        <v>0</v>
      </c>
      <c r="AX153" s="254">
        <v>0</v>
      </c>
      <c r="AY153" s="254">
        <v>0</v>
      </c>
      <c r="AZ153" s="254">
        <v>0</v>
      </c>
      <c r="BA153" s="254">
        <v>0</v>
      </c>
      <c r="BB153" s="254">
        <v>0</v>
      </c>
      <c r="BC153" s="254">
        <v>0</v>
      </c>
      <c r="BD153" s="254">
        <v>0</v>
      </c>
      <c r="BE153" s="254">
        <v>0</v>
      </c>
      <c r="BF153" s="254">
        <v>0</v>
      </c>
    </row>
    <row r="154" spans="1:58" x14ac:dyDescent="0.3">
      <c r="A154" s="257" t="s">
        <v>914</v>
      </c>
      <c r="B154" s="258" t="s">
        <v>784</v>
      </c>
      <c r="C154" s="259">
        <v>0</v>
      </c>
      <c r="D154" s="259">
        <v>0</v>
      </c>
      <c r="E154" s="259">
        <v>0</v>
      </c>
      <c r="F154" s="259">
        <v>0</v>
      </c>
      <c r="G154" s="259">
        <v>0</v>
      </c>
      <c r="H154" s="259">
        <v>0</v>
      </c>
      <c r="I154" s="259">
        <v>0</v>
      </c>
      <c r="J154" s="259">
        <v>0</v>
      </c>
      <c r="K154" s="259">
        <v>0</v>
      </c>
      <c r="L154" s="259">
        <v>0</v>
      </c>
      <c r="M154" s="259">
        <v>0</v>
      </c>
      <c r="N154" s="259">
        <v>0</v>
      </c>
      <c r="O154" s="259">
        <v>0</v>
      </c>
      <c r="P154" s="259">
        <v>0</v>
      </c>
      <c r="Q154" s="259">
        <v>0</v>
      </c>
      <c r="R154" s="259">
        <v>0</v>
      </c>
      <c r="S154" s="259">
        <v>0</v>
      </c>
      <c r="T154" s="259">
        <v>0</v>
      </c>
      <c r="U154" s="259">
        <v>0</v>
      </c>
      <c r="V154" s="259">
        <v>0</v>
      </c>
      <c r="W154" s="259">
        <v>0</v>
      </c>
      <c r="X154" s="259">
        <v>0</v>
      </c>
      <c r="Y154" s="259">
        <v>0</v>
      </c>
      <c r="Z154" s="259">
        <v>0</v>
      </c>
      <c r="AA154" s="259">
        <v>0</v>
      </c>
      <c r="AB154" s="259">
        <v>0</v>
      </c>
      <c r="AC154" s="259">
        <v>0</v>
      </c>
      <c r="AD154" s="259">
        <v>0</v>
      </c>
      <c r="AE154" s="259">
        <v>0</v>
      </c>
      <c r="AF154" s="259">
        <v>0</v>
      </c>
      <c r="AG154" s="259">
        <v>0</v>
      </c>
      <c r="AH154" s="259">
        <v>0</v>
      </c>
      <c r="AI154" s="259">
        <v>0</v>
      </c>
      <c r="AJ154" s="259">
        <v>0</v>
      </c>
      <c r="AK154" s="259">
        <v>0</v>
      </c>
      <c r="AL154" s="259">
        <v>0</v>
      </c>
      <c r="AM154" s="259">
        <v>0</v>
      </c>
      <c r="AN154" s="259">
        <v>0</v>
      </c>
      <c r="AO154" s="259">
        <v>0</v>
      </c>
      <c r="AP154" s="259">
        <v>0</v>
      </c>
      <c r="AQ154" s="259">
        <v>0</v>
      </c>
      <c r="AR154" s="259">
        <v>0</v>
      </c>
      <c r="AS154" s="259">
        <v>0</v>
      </c>
      <c r="AT154" s="259">
        <v>0</v>
      </c>
      <c r="AU154" s="259">
        <v>0</v>
      </c>
      <c r="AV154" s="259">
        <v>0</v>
      </c>
      <c r="AW154" s="259">
        <v>0</v>
      </c>
      <c r="AX154" s="259">
        <v>0</v>
      </c>
      <c r="AY154" s="259">
        <v>0</v>
      </c>
      <c r="AZ154" s="259">
        <v>0</v>
      </c>
      <c r="BA154" s="259">
        <v>0</v>
      </c>
      <c r="BB154" s="259">
        <v>0</v>
      </c>
      <c r="BC154" s="259">
        <v>0</v>
      </c>
      <c r="BD154" s="259">
        <v>0</v>
      </c>
      <c r="BE154" s="259">
        <v>0</v>
      </c>
      <c r="BF154" s="259">
        <v>0</v>
      </c>
    </row>
    <row r="155" spans="1:58" x14ac:dyDescent="0.3">
      <c r="A155" s="260" t="s">
        <v>915</v>
      </c>
      <c r="B155" s="261" t="s">
        <v>784</v>
      </c>
      <c r="C155" s="256">
        <v>0</v>
      </c>
      <c r="D155" s="256">
        <v>0</v>
      </c>
      <c r="E155" s="256">
        <v>0</v>
      </c>
      <c r="F155" s="256">
        <v>0</v>
      </c>
      <c r="G155" s="256">
        <v>0</v>
      </c>
      <c r="H155" s="256">
        <v>0</v>
      </c>
      <c r="I155" s="256">
        <v>0</v>
      </c>
      <c r="J155" s="256">
        <v>0</v>
      </c>
      <c r="K155" s="256">
        <v>0</v>
      </c>
      <c r="L155" s="256">
        <v>0</v>
      </c>
      <c r="M155" s="256">
        <v>0</v>
      </c>
      <c r="N155" s="256">
        <v>0</v>
      </c>
      <c r="O155" s="256">
        <v>0</v>
      </c>
      <c r="P155" s="256">
        <v>0</v>
      </c>
      <c r="Q155" s="256">
        <v>0</v>
      </c>
      <c r="R155" s="256">
        <v>0</v>
      </c>
      <c r="S155" s="256">
        <v>0</v>
      </c>
      <c r="T155" s="256">
        <v>0</v>
      </c>
      <c r="U155" s="256">
        <v>0</v>
      </c>
      <c r="V155" s="256">
        <v>0</v>
      </c>
      <c r="W155" s="256">
        <v>0</v>
      </c>
      <c r="X155" s="256">
        <v>0</v>
      </c>
      <c r="Y155" s="256">
        <v>0</v>
      </c>
      <c r="Z155" s="256">
        <v>0</v>
      </c>
      <c r="AA155" s="256">
        <v>0</v>
      </c>
      <c r="AB155" s="256">
        <v>0</v>
      </c>
      <c r="AC155" s="256">
        <v>0</v>
      </c>
      <c r="AD155" s="256">
        <v>0</v>
      </c>
      <c r="AE155" s="256">
        <v>0</v>
      </c>
      <c r="AF155" s="256">
        <v>0</v>
      </c>
      <c r="AG155" s="256">
        <v>0</v>
      </c>
      <c r="AH155" s="256">
        <v>0</v>
      </c>
      <c r="AI155" s="256">
        <v>0</v>
      </c>
      <c r="AJ155" s="256">
        <v>0</v>
      </c>
      <c r="AK155" s="256">
        <v>0</v>
      </c>
      <c r="AL155" s="256">
        <v>0</v>
      </c>
      <c r="AM155" s="256">
        <v>0</v>
      </c>
      <c r="AN155" s="256">
        <v>0</v>
      </c>
      <c r="AO155" s="256">
        <v>0</v>
      </c>
      <c r="AP155" s="256">
        <v>0</v>
      </c>
      <c r="AQ155" s="256">
        <v>0</v>
      </c>
      <c r="AR155" s="256">
        <v>0</v>
      </c>
      <c r="AS155" s="256">
        <v>0</v>
      </c>
      <c r="AT155" s="256">
        <v>0</v>
      </c>
      <c r="AU155" s="256">
        <v>0</v>
      </c>
      <c r="AV155" s="256">
        <v>0</v>
      </c>
      <c r="AW155" s="256">
        <v>0</v>
      </c>
      <c r="AX155" s="256">
        <v>0</v>
      </c>
      <c r="AY155" s="256">
        <v>0</v>
      </c>
      <c r="AZ155" s="256">
        <v>0</v>
      </c>
      <c r="BA155" s="256">
        <v>0</v>
      </c>
      <c r="BB155" s="256">
        <v>0</v>
      </c>
      <c r="BC155" s="256">
        <v>0</v>
      </c>
      <c r="BD155" s="256">
        <v>0</v>
      </c>
      <c r="BE155" s="256">
        <v>0</v>
      </c>
      <c r="BF155" s="256">
        <v>0</v>
      </c>
    </row>
    <row r="156" spans="1:58" x14ac:dyDescent="0.3">
      <c r="A156" s="260" t="s">
        <v>916</v>
      </c>
      <c r="B156" s="261" t="s">
        <v>784</v>
      </c>
      <c r="C156" s="256">
        <v>0</v>
      </c>
      <c r="D156" s="256">
        <v>0</v>
      </c>
      <c r="E156" s="256">
        <v>0</v>
      </c>
      <c r="F156" s="256">
        <v>0</v>
      </c>
      <c r="G156" s="256">
        <v>0</v>
      </c>
      <c r="H156" s="256">
        <v>0</v>
      </c>
      <c r="I156" s="256">
        <v>0</v>
      </c>
      <c r="J156" s="256">
        <v>0</v>
      </c>
      <c r="K156" s="256">
        <v>0</v>
      </c>
      <c r="L156" s="256">
        <v>0</v>
      </c>
      <c r="M156" s="256">
        <v>0</v>
      </c>
      <c r="N156" s="256">
        <v>0</v>
      </c>
      <c r="O156" s="256">
        <v>0</v>
      </c>
      <c r="P156" s="256">
        <v>0</v>
      </c>
      <c r="Q156" s="256">
        <v>0</v>
      </c>
      <c r="R156" s="256">
        <v>0</v>
      </c>
      <c r="S156" s="256">
        <v>0</v>
      </c>
      <c r="T156" s="256">
        <v>0</v>
      </c>
      <c r="U156" s="256">
        <v>0</v>
      </c>
      <c r="V156" s="256">
        <v>0</v>
      </c>
      <c r="W156" s="256">
        <v>0</v>
      </c>
      <c r="X156" s="256">
        <v>0</v>
      </c>
      <c r="Y156" s="256">
        <v>0</v>
      </c>
      <c r="Z156" s="256">
        <v>0</v>
      </c>
      <c r="AA156" s="256">
        <v>0</v>
      </c>
      <c r="AB156" s="256">
        <v>0</v>
      </c>
      <c r="AC156" s="256">
        <v>0</v>
      </c>
      <c r="AD156" s="256">
        <v>0</v>
      </c>
      <c r="AE156" s="256">
        <v>0</v>
      </c>
      <c r="AF156" s="256">
        <v>0</v>
      </c>
      <c r="AG156" s="256">
        <v>0</v>
      </c>
      <c r="AH156" s="256">
        <v>0</v>
      </c>
      <c r="AI156" s="256">
        <v>0</v>
      </c>
      <c r="AJ156" s="256">
        <v>0</v>
      </c>
      <c r="AK156" s="256">
        <v>0</v>
      </c>
      <c r="AL156" s="256">
        <v>0</v>
      </c>
      <c r="AM156" s="256">
        <v>0</v>
      </c>
      <c r="AN156" s="256">
        <v>0</v>
      </c>
      <c r="AO156" s="256">
        <v>0</v>
      </c>
      <c r="AP156" s="256">
        <v>0</v>
      </c>
      <c r="AQ156" s="256">
        <v>0</v>
      </c>
      <c r="AR156" s="256">
        <v>0</v>
      </c>
      <c r="AS156" s="256">
        <v>0</v>
      </c>
      <c r="AT156" s="256">
        <v>0</v>
      </c>
      <c r="AU156" s="256">
        <v>0</v>
      </c>
      <c r="AV156" s="256">
        <v>0</v>
      </c>
      <c r="AW156" s="256">
        <v>0</v>
      </c>
      <c r="AX156" s="256">
        <v>0</v>
      </c>
      <c r="AY156" s="256">
        <v>0</v>
      </c>
      <c r="AZ156" s="256">
        <v>0</v>
      </c>
      <c r="BA156" s="256">
        <v>0</v>
      </c>
      <c r="BB156" s="256">
        <v>0</v>
      </c>
      <c r="BC156" s="256">
        <v>0</v>
      </c>
      <c r="BD156" s="256">
        <v>0</v>
      </c>
      <c r="BE156" s="256">
        <v>0</v>
      </c>
      <c r="BF156" s="256">
        <v>0</v>
      </c>
    </row>
    <row r="157" spans="1:58" x14ac:dyDescent="0.3">
      <c r="A157" s="257" t="s">
        <v>917</v>
      </c>
      <c r="B157" s="258" t="s">
        <v>784</v>
      </c>
      <c r="C157" s="259">
        <v>0</v>
      </c>
      <c r="D157" s="259">
        <v>0</v>
      </c>
      <c r="E157" s="259">
        <v>0</v>
      </c>
      <c r="F157" s="259">
        <v>0</v>
      </c>
      <c r="G157" s="259">
        <v>0</v>
      </c>
      <c r="H157" s="259">
        <v>0</v>
      </c>
      <c r="I157" s="259">
        <v>0</v>
      </c>
      <c r="J157" s="259">
        <v>0</v>
      </c>
      <c r="K157" s="259">
        <v>0</v>
      </c>
      <c r="L157" s="259">
        <v>0</v>
      </c>
      <c r="M157" s="259">
        <v>0</v>
      </c>
      <c r="N157" s="259">
        <v>0</v>
      </c>
      <c r="O157" s="259">
        <v>0</v>
      </c>
      <c r="P157" s="259">
        <v>0</v>
      </c>
      <c r="Q157" s="259">
        <v>0</v>
      </c>
      <c r="R157" s="259">
        <v>0</v>
      </c>
      <c r="S157" s="259">
        <v>0</v>
      </c>
      <c r="T157" s="259">
        <v>0</v>
      </c>
      <c r="U157" s="259">
        <v>0</v>
      </c>
      <c r="V157" s="259">
        <v>0</v>
      </c>
      <c r="W157" s="259">
        <v>0</v>
      </c>
      <c r="X157" s="259">
        <v>0</v>
      </c>
      <c r="Y157" s="259">
        <v>0</v>
      </c>
      <c r="Z157" s="259">
        <v>0</v>
      </c>
      <c r="AA157" s="259">
        <v>0</v>
      </c>
      <c r="AB157" s="259">
        <v>0</v>
      </c>
      <c r="AC157" s="259">
        <v>0</v>
      </c>
      <c r="AD157" s="259">
        <v>0</v>
      </c>
      <c r="AE157" s="259">
        <v>0</v>
      </c>
      <c r="AF157" s="259">
        <v>0</v>
      </c>
      <c r="AG157" s="259">
        <v>0</v>
      </c>
      <c r="AH157" s="259">
        <v>0</v>
      </c>
      <c r="AI157" s="259">
        <v>0</v>
      </c>
      <c r="AJ157" s="259">
        <v>0</v>
      </c>
      <c r="AK157" s="259">
        <v>0</v>
      </c>
      <c r="AL157" s="259">
        <v>0</v>
      </c>
      <c r="AM157" s="259">
        <v>0</v>
      </c>
      <c r="AN157" s="259">
        <v>0</v>
      </c>
      <c r="AO157" s="259">
        <v>0</v>
      </c>
      <c r="AP157" s="259">
        <v>0</v>
      </c>
      <c r="AQ157" s="259">
        <v>0</v>
      </c>
      <c r="AR157" s="259">
        <v>0</v>
      </c>
      <c r="AS157" s="259">
        <v>0</v>
      </c>
      <c r="AT157" s="259">
        <v>0</v>
      </c>
      <c r="AU157" s="259">
        <v>0</v>
      </c>
      <c r="AV157" s="259">
        <v>0</v>
      </c>
      <c r="AW157" s="259">
        <v>0</v>
      </c>
      <c r="AX157" s="259">
        <v>0</v>
      </c>
      <c r="AY157" s="259">
        <v>0</v>
      </c>
      <c r="AZ157" s="259">
        <v>0</v>
      </c>
      <c r="BA157" s="259">
        <v>0</v>
      </c>
      <c r="BB157" s="259">
        <v>0</v>
      </c>
      <c r="BC157" s="259">
        <v>0</v>
      </c>
      <c r="BD157" s="259">
        <v>0</v>
      </c>
      <c r="BE157" s="259">
        <v>0</v>
      </c>
      <c r="BF157" s="259">
        <v>0</v>
      </c>
    </row>
    <row r="158" spans="1:58" x14ac:dyDescent="0.3">
      <c r="A158" s="260" t="s">
        <v>918</v>
      </c>
      <c r="B158" s="261" t="s">
        <v>784</v>
      </c>
      <c r="C158" s="256">
        <v>0</v>
      </c>
      <c r="D158" s="256">
        <v>0</v>
      </c>
      <c r="E158" s="256">
        <v>0</v>
      </c>
      <c r="F158" s="256">
        <v>0</v>
      </c>
      <c r="G158" s="256">
        <v>0</v>
      </c>
      <c r="H158" s="256">
        <v>0</v>
      </c>
      <c r="I158" s="256">
        <v>0</v>
      </c>
      <c r="J158" s="256">
        <v>0</v>
      </c>
      <c r="K158" s="256">
        <v>0</v>
      </c>
      <c r="L158" s="256">
        <v>0</v>
      </c>
      <c r="M158" s="256">
        <v>0</v>
      </c>
      <c r="N158" s="256">
        <v>0</v>
      </c>
      <c r="O158" s="256">
        <v>0</v>
      </c>
      <c r="P158" s="256">
        <v>0</v>
      </c>
      <c r="Q158" s="256">
        <v>0</v>
      </c>
      <c r="R158" s="256">
        <v>0</v>
      </c>
      <c r="S158" s="256">
        <v>0</v>
      </c>
      <c r="T158" s="256">
        <v>0</v>
      </c>
      <c r="U158" s="256">
        <v>0</v>
      </c>
      <c r="V158" s="256">
        <v>0</v>
      </c>
      <c r="W158" s="256">
        <v>0</v>
      </c>
      <c r="X158" s="256">
        <v>0</v>
      </c>
      <c r="Y158" s="256">
        <v>0</v>
      </c>
      <c r="Z158" s="256">
        <v>0</v>
      </c>
      <c r="AA158" s="256">
        <v>0</v>
      </c>
      <c r="AB158" s="256">
        <v>0</v>
      </c>
      <c r="AC158" s="256">
        <v>0</v>
      </c>
      <c r="AD158" s="256">
        <v>0</v>
      </c>
      <c r="AE158" s="256">
        <v>0</v>
      </c>
      <c r="AF158" s="256">
        <v>0</v>
      </c>
      <c r="AG158" s="256">
        <v>0</v>
      </c>
      <c r="AH158" s="256">
        <v>0</v>
      </c>
      <c r="AI158" s="256">
        <v>0</v>
      </c>
      <c r="AJ158" s="256">
        <v>0</v>
      </c>
      <c r="AK158" s="256">
        <v>0</v>
      </c>
      <c r="AL158" s="256">
        <v>0</v>
      </c>
      <c r="AM158" s="256">
        <v>0</v>
      </c>
      <c r="AN158" s="256">
        <v>0</v>
      </c>
      <c r="AO158" s="256">
        <v>0</v>
      </c>
      <c r="AP158" s="256">
        <v>0</v>
      </c>
      <c r="AQ158" s="256">
        <v>0</v>
      </c>
      <c r="AR158" s="256">
        <v>0</v>
      </c>
      <c r="AS158" s="256">
        <v>0</v>
      </c>
      <c r="AT158" s="256">
        <v>0</v>
      </c>
      <c r="AU158" s="256">
        <v>0</v>
      </c>
      <c r="AV158" s="256">
        <v>0</v>
      </c>
      <c r="AW158" s="256">
        <v>0</v>
      </c>
      <c r="AX158" s="256">
        <v>0</v>
      </c>
      <c r="AY158" s="256">
        <v>0</v>
      </c>
      <c r="AZ158" s="256">
        <v>0</v>
      </c>
      <c r="BA158" s="256">
        <v>0</v>
      </c>
      <c r="BB158" s="256">
        <v>0</v>
      </c>
      <c r="BC158" s="256">
        <v>0</v>
      </c>
      <c r="BD158" s="256">
        <v>0</v>
      </c>
      <c r="BE158" s="256">
        <v>0</v>
      </c>
      <c r="BF158" s="256">
        <v>0</v>
      </c>
    </row>
    <row r="159" spans="1:58" x14ac:dyDescent="0.3">
      <c r="A159" s="260" t="s">
        <v>919</v>
      </c>
      <c r="B159" s="261" t="s">
        <v>784</v>
      </c>
      <c r="C159" s="256">
        <v>0</v>
      </c>
      <c r="D159" s="256">
        <v>0</v>
      </c>
      <c r="E159" s="256">
        <v>0</v>
      </c>
      <c r="F159" s="256">
        <v>0</v>
      </c>
      <c r="G159" s="256">
        <v>0</v>
      </c>
      <c r="H159" s="256">
        <v>0</v>
      </c>
      <c r="I159" s="256">
        <v>0</v>
      </c>
      <c r="J159" s="256">
        <v>0</v>
      </c>
      <c r="K159" s="256">
        <v>0</v>
      </c>
      <c r="L159" s="256">
        <v>0</v>
      </c>
      <c r="M159" s="256">
        <v>0</v>
      </c>
      <c r="N159" s="256">
        <v>0</v>
      </c>
      <c r="O159" s="256">
        <v>0</v>
      </c>
      <c r="P159" s="256">
        <v>0</v>
      </c>
      <c r="Q159" s="256">
        <v>0</v>
      </c>
      <c r="R159" s="256">
        <v>0</v>
      </c>
      <c r="S159" s="256">
        <v>0</v>
      </c>
      <c r="T159" s="256">
        <v>0</v>
      </c>
      <c r="U159" s="256">
        <v>0</v>
      </c>
      <c r="V159" s="256">
        <v>0</v>
      </c>
      <c r="W159" s="256">
        <v>0</v>
      </c>
      <c r="X159" s="256">
        <v>0</v>
      </c>
      <c r="Y159" s="256">
        <v>0</v>
      </c>
      <c r="Z159" s="256">
        <v>0</v>
      </c>
      <c r="AA159" s="256">
        <v>0</v>
      </c>
      <c r="AB159" s="256">
        <v>0</v>
      </c>
      <c r="AC159" s="256">
        <v>0</v>
      </c>
      <c r="AD159" s="256">
        <v>0</v>
      </c>
      <c r="AE159" s="256">
        <v>0</v>
      </c>
      <c r="AF159" s="256">
        <v>0</v>
      </c>
      <c r="AG159" s="256">
        <v>0</v>
      </c>
      <c r="AH159" s="256">
        <v>0</v>
      </c>
      <c r="AI159" s="256">
        <v>0</v>
      </c>
      <c r="AJ159" s="256">
        <v>0</v>
      </c>
      <c r="AK159" s="256">
        <v>0</v>
      </c>
      <c r="AL159" s="256">
        <v>0</v>
      </c>
      <c r="AM159" s="256">
        <v>0</v>
      </c>
      <c r="AN159" s="256">
        <v>0</v>
      </c>
      <c r="AO159" s="256">
        <v>0</v>
      </c>
      <c r="AP159" s="256">
        <v>0</v>
      </c>
      <c r="AQ159" s="256">
        <v>0</v>
      </c>
      <c r="AR159" s="256">
        <v>0</v>
      </c>
      <c r="AS159" s="256">
        <v>0</v>
      </c>
      <c r="AT159" s="256">
        <v>0</v>
      </c>
      <c r="AU159" s="256">
        <v>0</v>
      </c>
      <c r="AV159" s="256">
        <v>0</v>
      </c>
      <c r="AW159" s="256">
        <v>0</v>
      </c>
      <c r="AX159" s="256">
        <v>0</v>
      </c>
      <c r="AY159" s="256">
        <v>0</v>
      </c>
      <c r="AZ159" s="256">
        <v>0</v>
      </c>
      <c r="BA159" s="256">
        <v>0</v>
      </c>
      <c r="BB159" s="256">
        <v>0</v>
      </c>
      <c r="BC159" s="256">
        <v>0</v>
      </c>
      <c r="BD159" s="256">
        <v>0</v>
      </c>
      <c r="BE159" s="256">
        <v>0</v>
      </c>
      <c r="BF159" s="256">
        <v>0</v>
      </c>
    </row>
    <row r="160" spans="1:58" x14ac:dyDescent="0.3">
      <c r="A160" s="260" t="s">
        <v>920</v>
      </c>
      <c r="B160" s="261" t="s">
        <v>784</v>
      </c>
      <c r="C160" s="256">
        <v>0</v>
      </c>
      <c r="D160" s="256">
        <v>0</v>
      </c>
      <c r="E160" s="256">
        <v>0</v>
      </c>
      <c r="F160" s="256">
        <v>0</v>
      </c>
      <c r="G160" s="256">
        <v>0</v>
      </c>
      <c r="H160" s="256">
        <v>0</v>
      </c>
      <c r="I160" s="256">
        <v>0</v>
      </c>
      <c r="J160" s="256">
        <v>0</v>
      </c>
      <c r="K160" s="256">
        <v>0</v>
      </c>
      <c r="L160" s="256">
        <v>0</v>
      </c>
      <c r="M160" s="256">
        <v>0</v>
      </c>
      <c r="N160" s="256">
        <v>0</v>
      </c>
      <c r="O160" s="256">
        <v>0</v>
      </c>
      <c r="P160" s="256">
        <v>0</v>
      </c>
      <c r="Q160" s="256">
        <v>0</v>
      </c>
      <c r="R160" s="256">
        <v>0</v>
      </c>
      <c r="S160" s="256">
        <v>0</v>
      </c>
      <c r="T160" s="256">
        <v>0</v>
      </c>
      <c r="U160" s="256">
        <v>0</v>
      </c>
      <c r="V160" s="256">
        <v>0</v>
      </c>
      <c r="W160" s="256">
        <v>0</v>
      </c>
      <c r="X160" s="256">
        <v>0</v>
      </c>
      <c r="Y160" s="256">
        <v>0</v>
      </c>
      <c r="Z160" s="256">
        <v>0</v>
      </c>
      <c r="AA160" s="256">
        <v>0</v>
      </c>
      <c r="AB160" s="256">
        <v>0</v>
      </c>
      <c r="AC160" s="256">
        <v>0</v>
      </c>
      <c r="AD160" s="256">
        <v>0</v>
      </c>
      <c r="AE160" s="256">
        <v>0</v>
      </c>
      <c r="AF160" s="256">
        <v>0</v>
      </c>
      <c r="AG160" s="256">
        <v>0</v>
      </c>
      <c r="AH160" s="256">
        <v>0</v>
      </c>
      <c r="AI160" s="256">
        <v>0</v>
      </c>
      <c r="AJ160" s="256">
        <v>0</v>
      </c>
      <c r="AK160" s="256">
        <v>0</v>
      </c>
      <c r="AL160" s="256">
        <v>0</v>
      </c>
      <c r="AM160" s="256">
        <v>0</v>
      </c>
      <c r="AN160" s="256">
        <v>0</v>
      </c>
      <c r="AO160" s="256">
        <v>0</v>
      </c>
      <c r="AP160" s="256">
        <v>0</v>
      </c>
      <c r="AQ160" s="256">
        <v>0</v>
      </c>
      <c r="AR160" s="256">
        <v>0</v>
      </c>
      <c r="AS160" s="256">
        <v>0</v>
      </c>
      <c r="AT160" s="256">
        <v>0</v>
      </c>
      <c r="AU160" s="256">
        <v>0</v>
      </c>
      <c r="AV160" s="256">
        <v>0</v>
      </c>
      <c r="AW160" s="256">
        <v>0</v>
      </c>
      <c r="AX160" s="256">
        <v>0</v>
      </c>
      <c r="AY160" s="256">
        <v>0</v>
      </c>
      <c r="AZ160" s="256">
        <v>0</v>
      </c>
      <c r="BA160" s="256">
        <v>0</v>
      </c>
      <c r="BB160" s="256">
        <v>0</v>
      </c>
      <c r="BC160" s="256">
        <v>0</v>
      </c>
      <c r="BD160" s="256">
        <v>0</v>
      </c>
      <c r="BE160" s="256">
        <v>0</v>
      </c>
      <c r="BF160" s="256">
        <v>0</v>
      </c>
    </row>
    <row r="161" spans="1:58" x14ac:dyDescent="0.3">
      <c r="A161" s="255" t="s">
        <v>921</v>
      </c>
      <c r="B161" s="256">
        <v>406866</v>
      </c>
      <c r="C161" s="256">
        <v>395564</v>
      </c>
      <c r="D161" s="256">
        <v>402320</v>
      </c>
      <c r="E161" s="256">
        <v>384494</v>
      </c>
      <c r="F161" s="256">
        <v>2660457</v>
      </c>
      <c r="G161" s="256">
        <v>2653050</v>
      </c>
      <c r="H161" s="256">
        <v>3929551</v>
      </c>
      <c r="I161" s="256">
        <v>3949242</v>
      </c>
      <c r="J161" s="256">
        <v>3871719</v>
      </c>
      <c r="K161" s="256">
        <v>3913844</v>
      </c>
      <c r="L161" s="256">
        <v>3844494</v>
      </c>
      <c r="M161" s="256">
        <v>3722348</v>
      </c>
      <c r="N161" s="256">
        <v>3659377</v>
      </c>
      <c r="O161" s="256">
        <v>3574096</v>
      </c>
      <c r="P161" s="256">
        <v>3231086</v>
      </c>
      <c r="Q161" s="256">
        <v>2364625</v>
      </c>
      <c r="R161" s="256">
        <v>1454598</v>
      </c>
      <c r="S161" s="256">
        <v>1470098</v>
      </c>
      <c r="T161" s="256">
        <v>1470858</v>
      </c>
      <c r="U161" s="256">
        <v>1515186</v>
      </c>
      <c r="V161" s="256">
        <v>621733</v>
      </c>
      <c r="W161" s="256">
        <v>627568</v>
      </c>
      <c r="X161" s="256">
        <v>606134</v>
      </c>
      <c r="Y161" s="256">
        <v>678864</v>
      </c>
      <c r="Z161" s="256">
        <v>914105</v>
      </c>
      <c r="AA161" s="256">
        <v>834993</v>
      </c>
      <c r="AB161" s="256">
        <v>774526</v>
      </c>
      <c r="AC161" s="256">
        <v>847552</v>
      </c>
      <c r="AD161" s="256">
        <v>834152</v>
      </c>
      <c r="AE161" s="256">
        <v>904659</v>
      </c>
      <c r="AF161" s="256">
        <v>930824</v>
      </c>
      <c r="AG161" s="256">
        <v>970108</v>
      </c>
      <c r="AH161" s="256">
        <v>860483</v>
      </c>
      <c r="AI161" s="256">
        <v>881116</v>
      </c>
      <c r="AJ161" s="256">
        <v>941004</v>
      </c>
      <c r="AK161" s="256">
        <v>959645</v>
      </c>
      <c r="AL161" s="256">
        <v>1006596</v>
      </c>
      <c r="AM161" s="256">
        <v>1032595</v>
      </c>
      <c r="AN161" s="256">
        <v>1199765</v>
      </c>
      <c r="AO161" s="256">
        <v>1315232</v>
      </c>
      <c r="AP161" s="256">
        <v>2165101</v>
      </c>
      <c r="AQ161" s="256">
        <v>2562657</v>
      </c>
      <c r="AR161" s="256">
        <v>2581166</v>
      </c>
      <c r="AS161" s="256">
        <v>2542845</v>
      </c>
      <c r="AT161" s="256">
        <v>3151263</v>
      </c>
      <c r="AU161" s="256">
        <v>5335225</v>
      </c>
      <c r="AV161" s="256">
        <v>5421757</v>
      </c>
      <c r="AW161" s="256">
        <v>5686920</v>
      </c>
      <c r="AX161" s="256">
        <v>6620249</v>
      </c>
      <c r="AY161" s="256">
        <v>6722946</v>
      </c>
      <c r="AZ161" s="256">
        <v>8171627</v>
      </c>
      <c r="BA161" s="256">
        <v>9237921</v>
      </c>
      <c r="BB161" s="256">
        <v>9892017</v>
      </c>
      <c r="BC161" s="256">
        <v>10628965</v>
      </c>
      <c r="BD161" s="256">
        <v>10753888</v>
      </c>
      <c r="BE161" s="256">
        <v>12901104</v>
      </c>
      <c r="BF161" s="256">
        <v>13878280</v>
      </c>
    </row>
    <row r="162" spans="1:58" x14ac:dyDescent="0.3">
      <c r="A162" s="257" t="s">
        <v>922</v>
      </c>
      <c r="B162" s="259">
        <v>0</v>
      </c>
      <c r="C162" s="259">
        <v>0</v>
      </c>
      <c r="D162" s="259">
        <v>-946</v>
      </c>
      <c r="E162" s="259">
        <v>32</v>
      </c>
      <c r="F162" s="259">
        <v>0</v>
      </c>
      <c r="G162" s="259">
        <v>0</v>
      </c>
      <c r="H162" s="259">
        <v>0</v>
      </c>
      <c r="I162" s="259">
        <v>0</v>
      </c>
      <c r="J162" s="259">
        <v>0</v>
      </c>
      <c r="K162" s="259">
        <v>0</v>
      </c>
      <c r="L162" s="259">
        <v>0</v>
      </c>
      <c r="M162" s="259">
        <v>0</v>
      </c>
      <c r="N162" s="259">
        <v>0</v>
      </c>
      <c r="O162" s="259">
        <v>0</v>
      </c>
      <c r="P162" s="259">
        <v>0</v>
      </c>
      <c r="Q162" s="259">
        <v>0</v>
      </c>
      <c r="R162" s="259">
        <v>0</v>
      </c>
      <c r="S162" s="259">
        <v>0</v>
      </c>
      <c r="T162" s="259">
        <v>0</v>
      </c>
      <c r="U162" s="259">
        <v>0</v>
      </c>
      <c r="V162" s="259">
        <v>0</v>
      </c>
      <c r="W162" s="259">
        <v>0</v>
      </c>
      <c r="X162" s="259">
        <v>0</v>
      </c>
      <c r="Y162" s="259">
        <v>-24208</v>
      </c>
      <c r="Z162" s="259">
        <v>0</v>
      </c>
      <c r="AA162" s="259">
        <v>0</v>
      </c>
      <c r="AB162" s="259">
        <v>0</v>
      </c>
      <c r="AC162" s="259">
        <v>0</v>
      </c>
      <c r="AD162" s="259">
        <v>0</v>
      </c>
      <c r="AE162" s="259">
        <v>0</v>
      </c>
      <c r="AF162" s="259">
        <v>0</v>
      </c>
      <c r="AG162" s="259">
        <v>0</v>
      </c>
      <c r="AH162" s="259">
        <v>0</v>
      </c>
      <c r="AI162" s="259">
        <v>0</v>
      </c>
      <c r="AJ162" s="259">
        <v>0</v>
      </c>
      <c r="AK162" s="259">
        <v>0</v>
      </c>
      <c r="AL162" s="259">
        <v>0</v>
      </c>
      <c r="AM162" s="259">
        <v>833</v>
      </c>
      <c r="AN162" s="259">
        <v>1161</v>
      </c>
      <c r="AO162" s="259">
        <v>1519</v>
      </c>
      <c r="AP162" s="259">
        <v>759</v>
      </c>
      <c r="AQ162" s="259">
        <v>979</v>
      </c>
      <c r="AR162" s="259">
        <v>993</v>
      </c>
      <c r="AS162" s="259">
        <v>1031</v>
      </c>
      <c r="AT162" s="259">
        <v>849</v>
      </c>
      <c r="AU162" s="259">
        <v>0</v>
      </c>
      <c r="AV162" s="259">
        <v>0</v>
      </c>
      <c r="AW162" s="259">
        <v>0</v>
      </c>
      <c r="AX162" s="259">
        <v>0</v>
      </c>
      <c r="AY162" s="259">
        <v>0</v>
      </c>
      <c r="AZ162" s="259">
        <v>0</v>
      </c>
      <c r="BA162" s="259">
        <v>0</v>
      </c>
      <c r="BB162" s="259">
        <v>0</v>
      </c>
      <c r="BC162" s="259">
        <v>0</v>
      </c>
      <c r="BD162" s="259">
        <v>0</v>
      </c>
      <c r="BE162" s="259">
        <v>0</v>
      </c>
      <c r="BF162" s="259">
        <v>0</v>
      </c>
    </row>
    <row r="163" spans="1:58" x14ac:dyDescent="0.3">
      <c r="A163" s="257" t="s">
        <v>923</v>
      </c>
      <c r="B163" s="259">
        <v>406866</v>
      </c>
      <c r="C163" s="259">
        <v>395564</v>
      </c>
      <c r="D163" s="259">
        <v>403266</v>
      </c>
      <c r="E163" s="259">
        <v>384462</v>
      </c>
      <c r="F163" s="259">
        <v>2660457</v>
      </c>
      <c r="G163" s="259">
        <v>2653050</v>
      </c>
      <c r="H163" s="259">
        <v>3929551</v>
      </c>
      <c r="I163" s="259">
        <v>3949242</v>
      </c>
      <c r="J163" s="259">
        <v>3871719</v>
      </c>
      <c r="K163" s="259">
        <v>3913844</v>
      </c>
      <c r="L163" s="259">
        <v>3844494</v>
      </c>
      <c r="M163" s="259">
        <v>3722348</v>
      </c>
      <c r="N163" s="259">
        <v>3659377</v>
      </c>
      <c r="O163" s="259">
        <v>3574096</v>
      </c>
      <c r="P163" s="259">
        <v>3231086</v>
      </c>
      <c r="Q163" s="259">
        <v>2364625</v>
      </c>
      <c r="R163" s="259">
        <v>1454598</v>
      </c>
      <c r="S163" s="259">
        <v>1470098</v>
      </c>
      <c r="T163" s="259">
        <v>1470858</v>
      </c>
      <c r="U163" s="259">
        <v>1515186</v>
      </c>
      <c r="V163" s="259">
        <v>621733</v>
      </c>
      <c r="W163" s="259">
        <v>627568</v>
      </c>
      <c r="X163" s="259">
        <v>606134</v>
      </c>
      <c r="Y163" s="259">
        <v>703072</v>
      </c>
      <c r="Z163" s="259">
        <v>914105</v>
      </c>
      <c r="AA163" s="259">
        <v>834993</v>
      </c>
      <c r="AB163" s="259">
        <v>774526</v>
      </c>
      <c r="AC163" s="259">
        <v>847552</v>
      </c>
      <c r="AD163" s="259">
        <v>834152</v>
      </c>
      <c r="AE163" s="259">
        <v>904659</v>
      </c>
      <c r="AF163" s="259">
        <v>930824</v>
      </c>
      <c r="AG163" s="259">
        <v>970108</v>
      </c>
      <c r="AH163" s="259">
        <v>860483</v>
      </c>
      <c r="AI163" s="259">
        <v>881116</v>
      </c>
      <c r="AJ163" s="259">
        <v>941004</v>
      </c>
      <c r="AK163" s="259">
        <v>959645</v>
      </c>
      <c r="AL163" s="259">
        <v>1006596</v>
      </c>
      <c r="AM163" s="259">
        <v>1031762</v>
      </c>
      <c r="AN163" s="259">
        <v>1198604</v>
      </c>
      <c r="AO163" s="259">
        <v>1313713</v>
      </c>
      <c r="AP163" s="259">
        <v>2164342</v>
      </c>
      <c r="AQ163" s="259">
        <v>2561678</v>
      </c>
      <c r="AR163" s="259">
        <v>2580173</v>
      </c>
      <c r="AS163" s="259">
        <v>2541814</v>
      </c>
      <c r="AT163" s="259">
        <v>3150414</v>
      </c>
      <c r="AU163" s="259">
        <v>5335225</v>
      </c>
      <c r="AV163" s="259">
        <v>5421757</v>
      </c>
      <c r="AW163" s="259">
        <v>5686920</v>
      </c>
      <c r="AX163" s="259">
        <v>6620249</v>
      </c>
      <c r="AY163" s="259">
        <v>6722946</v>
      </c>
      <c r="AZ163" s="259">
        <v>8171627</v>
      </c>
      <c r="BA163" s="259">
        <v>9237921</v>
      </c>
      <c r="BB163" s="259">
        <v>9892017</v>
      </c>
      <c r="BC163" s="259">
        <v>10628965</v>
      </c>
      <c r="BD163" s="259">
        <v>10753888</v>
      </c>
      <c r="BE163" s="259">
        <v>12901104</v>
      </c>
      <c r="BF163" s="259">
        <v>13878280</v>
      </c>
    </row>
    <row r="164" spans="1:58" x14ac:dyDescent="0.3">
      <c r="A164" s="260" t="s">
        <v>924</v>
      </c>
      <c r="B164" s="256">
        <v>4720</v>
      </c>
      <c r="C164" s="256">
        <v>4720</v>
      </c>
      <c r="D164" s="256">
        <v>4720</v>
      </c>
      <c r="E164" s="256">
        <v>4733</v>
      </c>
      <c r="F164" s="256">
        <v>2348623</v>
      </c>
      <c r="G164" s="256">
        <v>2361674</v>
      </c>
      <c r="H164" s="256">
        <v>3695109</v>
      </c>
      <c r="I164" s="256">
        <v>3767053</v>
      </c>
      <c r="J164" s="256">
        <v>3809535</v>
      </c>
      <c r="K164" s="256">
        <v>3815879</v>
      </c>
      <c r="L164" s="256">
        <v>3815997</v>
      </c>
      <c r="M164" s="256">
        <v>3816006</v>
      </c>
      <c r="N164" s="256">
        <v>3817130</v>
      </c>
      <c r="O164" s="256">
        <v>3818665</v>
      </c>
      <c r="P164" s="256">
        <v>3821205</v>
      </c>
      <c r="Q164" s="256">
        <v>3821205</v>
      </c>
      <c r="R164" s="256">
        <v>3821205</v>
      </c>
      <c r="S164" s="256">
        <v>3821205</v>
      </c>
      <c r="T164" s="256">
        <v>3821206</v>
      </c>
      <c r="U164" s="256">
        <v>3821206</v>
      </c>
      <c r="V164" s="256">
        <v>3821206</v>
      </c>
      <c r="W164" s="256">
        <v>3821206</v>
      </c>
      <c r="X164" s="256">
        <v>3209454</v>
      </c>
      <c r="Y164" s="256">
        <v>3209454</v>
      </c>
      <c r="Z164" s="256">
        <v>3265185</v>
      </c>
      <c r="AA164" s="256">
        <v>3265192</v>
      </c>
      <c r="AB164" s="256">
        <v>3265216</v>
      </c>
      <c r="AC164" s="256">
        <v>3265216</v>
      </c>
      <c r="AD164" s="256">
        <v>3265216</v>
      </c>
      <c r="AE164" s="256">
        <v>3265216</v>
      </c>
      <c r="AF164" s="256">
        <v>3265216</v>
      </c>
      <c r="AG164" s="256">
        <v>3265253</v>
      </c>
      <c r="AH164" s="256">
        <v>3265256</v>
      </c>
      <c r="AI164" s="256">
        <v>3273110</v>
      </c>
      <c r="AJ164" s="256">
        <v>3273114</v>
      </c>
      <c r="AK164" s="256">
        <v>3273114</v>
      </c>
      <c r="AL164" s="256">
        <v>3273114</v>
      </c>
      <c r="AM164" s="256">
        <v>3292211</v>
      </c>
      <c r="AN164" s="256">
        <v>3307246</v>
      </c>
      <c r="AO164" s="256">
        <v>3307246</v>
      </c>
      <c r="AP164" s="256">
        <v>3316411</v>
      </c>
      <c r="AQ164" s="256">
        <v>3326998</v>
      </c>
      <c r="AR164" s="256">
        <v>3326998</v>
      </c>
      <c r="AS164" s="256">
        <v>3326998</v>
      </c>
      <c r="AT164" s="256">
        <v>3326900</v>
      </c>
      <c r="AU164" s="256">
        <v>5305772</v>
      </c>
      <c r="AV164" s="256">
        <v>5303644</v>
      </c>
      <c r="AW164" s="256">
        <v>5303644</v>
      </c>
      <c r="AX164" s="256">
        <v>5303644</v>
      </c>
      <c r="AY164" s="256">
        <v>5320231</v>
      </c>
      <c r="AZ164" s="256">
        <v>5320231</v>
      </c>
      <c r="BA164" s="256">
        <v>5319674</v>
      </c>
      <c r="BB164" s="256">
        <v>5319674</v>
      </c>
      <c r="BC164" s="256">
        <v>5352792</v>
      </c>
      <c r="BD164" s="256">
        <v>5352792</v>
      </c>
      <c r="BE164" s="256">
        <v>5352792</v>
      </c>
      <c r="BF164" s="256">
        <v>5352792</v>
      </c>
    </row>
    <row r="165" spans="1:58" x14ac:dyDescent="0.3">
      <c r="A165" s="260" t="s">
        <v>925</v>
      </c>
      <c r="B165" s="256">
        <v>415084</v>
      </c>
      <c r="C165" s="256">
        <v>415084</v>
      </c>
      <c r="D165" s="256">
        <v>415084</v>
      </c>
      <c r="E165" s="256">
        <v>416915</v>
      </c>
      <c r="F165" s="256">
        <v>416914</v>
      </c>
      <c r="G165" s="256">
        <v>416914</v>
      </c>
      <c r="H165" s="256">
        <v>417964</v>
      </c>
      <c r="I165" s="256">
        <v>417964</v>
      </c>
      <c r="J165" s="256">
        <v>416914</v>
      </c>
      <c r="K165" s="256">
        <v>416914</v>
      </c>
      <c r="L165" s="256">
        <v>416914</v>
      </c>
      <c r="M165" s="256">
        <v>416914</v>
      </c>
      <c r="N165" s="256">
        <v>416914</v>
      </c>
      <c r="O165" s="256">
        <v>416914</v>
      </c>
      <c r="P165" s="256">
        <v>416914</v>
      </c>
      <c r="Q165" s="256">
        <v>416914</v>
      </c>
      <c r="R165" s="256">
        <v>416914</v>
      </c>
      <c r="S165" s="256">
        <v>416914</v>
      </c>
      <c r="T165" s="256">
        <v>416914</v>
      </c>
      <c r="U165" s="256">
        <v>416914</v>
      </c>
      <c r="V165" s="256">
        <v>416914</v>
      </c>
      <c r="W165" s="256">
        <v>416914</v>
      </c>
      <c r="X165" s="256">
        <v>101720</v>
      </c>
      <c r="Y165" s="256">
        <v>101720</v>
      </c>
      <c r="Z165" s="256">
        <v>101720</v>
      </c>
      <c r="AA165" s="256">
        <v>101720</v>
      </c>
      <c r="AB165" s="256">
        <v>101720</v>
      </c>
      <c r="AC165" s="256">
        <v>101720</v>
      </c>
      <c r="AD165" s="256">
        <v>100875</v>
      </c>
      <c r="AE165" s="256">
        <v>96549</v>
      </c>
      <c r="AF165" s="256">
        <v>93619</v>
      </c>
      <c r="AG165" s="256">
        <v>81099</v>
      </c>
      <c r="AH165" s="256">
        <v>82500</v>
      </c>
      <c r="AI165" s="256">
        <v>72997</v>
      </c>
      <c r="AJ165" s="256">
        <v>49067</v>
      </c>
      <c r="AK165" s="256">
        <v>50510</v>
      </c>
      <c r="AL165" s="256">
        <v>58183</v>
      </c>
      <c r="AM165" s="256">
        <v>82240</v>
      </c>
      <c r="AN165" s="256">
        <v>193448</v>
      </c>
      <c r="AO165" s="256">
        <v>198284</v>
      </c>
      <c r="AP165" s="256">
        <v>228027</v>
      </c>
      <c r="AQ165" s="256">
        <v>229312</v>
      </c>
      <c r="AR165" s="256">
        <v>231245</v>
      </c>
      <c r="AS165" s="256">
        <v>233362</v>
      </c>
      <c r="AT165" s="256">
        <v>321359</v>
      </c>
      <c r="AU165" s="256">
        <v>321483</v>
      </c>
      <c r="AV165" s="256">
        <v>322294</v>
      </c>
      <c r="AW165" s="256">
        <v>338879</v>
      </c>
      <c r="AX165" s="256">
        <v>348886</v>
      </c>
      <c r="AY165" s="256">
        <v>354036</v>
      </c>
      <c r="AZ165" s="256">
        <v>370351</v>
      </c>
      <c r="BA165" s="256">
        <v>381665</v>
      </c>
      <c r="BB165" s="256">
        <v>377427</v>
      </c>
      <c r="BC165" s="256">
        <v>199890</v>
      </c>
      <c r="BD165" s="256">
        <v>278597</v>
      </c>
      <c r="BE165" s="256">
        <v>295848</v>
      </c>
      <c r="BF165" s="256">
        <v>-171877</v>
      </c>
    </row>
    <row r="166" spans="1:58" x14ac:dyDescent="0.3">
      <c r="A166" s="262" t="s">
        <v>926</v>
      </c>
      <c r="B166" s="253" t="s">
        <v>784</v>
      </c>
      <c r="C166" s="253" t="s">
        <v>784</v>
      </c>
      <c r="D166" s="253" t="s">
        <v>784</v>
      </c>
      <c r="E166" s="253" t="s">
        <v>784</v>
      </c>
      <c r="F166" s="254">
        <v>416914</v>
      </c>
      <c r="G166" s="253" t="s">
        <v>784</v>
      </c>
      <c r="H166" s="254">
        <v>0</v>
      </c>
      <c r="I166" s="254">
        <v>416914</v>
      </c>
      <c r="J166" s="254">
        <v>416914</v>
      </c>
      <c r="K166" s="254">
        <v>416914</v>
      </c>
      <c r="L166" s="254">
        <v>416914</v>
      </c>
      <c r="M166" s="254">
        <v>416914</v>
      </c>
      <c r="N166" s="254">
        <v>416914</v>
      </c>
      <c r="O166" s="253" t="s">
        <v>784</v>
      </c>
      <c r="P166" s="253" t="s">
        <v>784</v>
      </c>
      <c r="Q166" s="253" t="s">
        <v>784</v>
      </c>
      <c r="R166" s="254">
        <v>416914</v>
      </c>
      <c r="S166" s="254">
        <v>416914</v>
      </c>
      <c r="T166" s="254">
        <v>416914</v>
      </c>
      <c r="U166" s="254">
        <v>416914</v>
      </c>
      <c r="V166" s="254">
        <v>416914</v>
      </c>
      <c r="W166" s="254">
        <v>416914</v>
      </c>
      <c r="X166" s="254">
        <v>101720</v>
      </c>
      <c r="Y166" s="254">
        <v>101720</v>
      </c>
      <c r="Z166" s="254">
        <v>101720</v>
      </c>
      <c r="AA166" s="254">
        <v>101720</v>
      </c>
      <c r="AB166" s="254">
        <v>101720</v>
      </c>
      <c r="AC166" s="254">
        <v>101720</v>
      </c>
      <c r="AD166" s="254">
        <v>100875</v>
      </c>
      <c r="AE166" s="254">
        <v>96549</v>
      </c>
      <c r="AF166" s="254">
        <v>93619</v>
      </c>
      <c r="AG166" s="254">
        <v>81099</v>
      </c>
      <c r="AH166" s="254">
        <v>82500</v>
      </c>
      <c r="AI166" s="254">
        <v>72997</v>
      </c>
      <c r="AJ166" s="254">
        <v>101720</v>
      </c>
      <c r="AK166" s="254">
        <v>101720</v>
      </c>
      <c r="AL166" s="254">
        <v>58183</v>
      </c>
      <c r="AM166" s="254">
        <v>16050</v>
      </c>
      <c r="AN166" s="253" t="s">
        <v>784</v>
      </c>
      <c r="AO166" s="254">
        <v>0</v>
      </c>
      <c r="AP166" s="254">
        <v>228027</v>
      </c>
      <c r="AQ166" s="254">
        <v>229312</v>
      </c>
      <c r="AR166" s="254">
        <v>231245</v>
      </c>
      <c r="AS166" s="254">
        <v>0</v>
      </c>
      <c r="AT166" s="254">
        <v>108991</v>
      </c>
      <c r="AU166" s="254">
        <v>108991</v>
      </c>
      <c r="AV166" s="254">
        <v>108991</v>
      </c>
      <c r="AW166" s="254">
        <v>108991</v>
      </c>
      <c r="AX166" s="254">
        <v>108991</v>
      </c>
      <c r="AY166" s="254">
        <v>108991</v>
      </c>
      <c r="AZ166" s="254">
        <v>119718</v>
      </c>
      <c r="BA166" s="254">
        <v>131031</v>
      </c>
      <c r="BB166" s="254">
        <v>119718</v>
      </c>
      <c r="BC166" s="254">
        <v>119718</v>
      </c>
      <c r="BD166" s="254">
        <v>119718</v>
      </c>
      <c r="BE166" s="254">
        <v>119718</v>
      </c>
      <c r="BF166" s="254">
        <v>-32809</v>
      </c>
    </row>
    <row r="167" spans="1:58" x14ac:dyDescent="0.3">
      <c r="A167" s="262" t="s">
        <v>927</v>
      </c>
      <c r="B167" s="253" t="s">
        <v>784</v>
      </c>
      <c r="C167" s="253" t="s">
        <v>784</v>
      </c>
      <c r="D167" s="253" t="s">
        <v>784</v>
      </c>
      <c r="E167" s="253" t="s">
        <v>784</v>
      </c>
      <c r="F167" s="254">
        <v>0</v>
      </c>
      <c r="G167" s="253" t="s">
        <v>784</v>
      </c>
      <c r="H167" s="254">
        <v>0</v>
      </c>
      <c r="I167" s="254">
        <v>0</v>
      </c>
      <c r="J167" s="254">
        <v>0</v>
      </c>
      <c r="K167" s="254">
        <v>0</v>
      </c>
      <c r="L167" s="254">
        <v>0</v>
      </c>
      <c r="M167" s="254">
        <v>0</v>
      </c>
      <c r="N167" s="254">
        <v>0</v>
      </c>
      <c r="O167" s="253" t="s">
        <v>784</v>
      </c>
      <c r="P167" s="253" t="s">
        <v>784</v>
      </c>
      <c r="Q167" s="253" t="s">
        <v>784</v>
      </c>
      <c r="R167" s="254">
        <v>0</v>
      </c>
      <c r="S167" s="254">
        <v>0</v>
      </c>
      <c r="T167" s="254">
        <v>0</v>
      </c>
      <c r="U167" s="254">
        <v>0</v>
      </c>
      <c r="V167" s="254">
        <v>0</v>
      </c>
      <c r="W167" s="254">
        <v>0</v>
      </c>
      <c r="X167" s="254">
        <v>0</v>
      </c>
      <c r="Y167" s="254">
        <v>0</v>
      </c>
      <c r="Z167" s="254">
        <v>0</v>
      </c>
      <c r="AA167" s="254">
        <v>0</v>
      </c>
      <c r="AB167" s="254">
        <v>0</v>
      </c>
      <c r="AC167" s="254">
        <v>0</v>
      </c>
      <c r="AD167" s="254">
        <v>0</v>
      </c>
      <c r="AE167" s="254">
        <v>0</v>
      </c>
      <c r="AF167" s="254">
        <v>0</v>
      </c>
      <c r="AG167" s="254">
        <v>0</v>
      </c>
      <c r="AH167" s="254">
        <v>0</v>
      </c>
      <c r="AI167" s="254">
        <v>0</v>
      </c>
      <c r="AJ167" s="254">
        <v>0</v>
      </c>
      <c r="AK167" s="254">
        <v>0</v>
      </c>
      <c r="AL167" s="254">
        <v>0</v>
      </c>
      <c r="AM167" s="254">
        <v>0</v>
      </c>
      <c r="AN167" s="253" t="s">
        <v>784</v>
      </c>
      <c r="AO167" s="254">
        <v>0</v>
      </c>
      <c r="AP167" s="254">
        <v>0</v>
      </c>
      <c r="AQ167" s="254">
        <v>0</v>
      </c>
      <c r="AR167" s="254">
        <v>0</v>
      </c>
      <c r="AS167" s="254">
        <v>0</v>
      </c>
      <c r="AT167" s="254">
        <v>0</v>
      </c>
      <c r="AU167" s="254">
        <v>0</v>
      </c>
      <c r="AV167" s="254">
        <v>0</v>
      </c>
      <c r="AW167" s="254">
        <v>0</v>
      </c>
      <c r="AX167" s="254">
        <v>0</v>
      </c>
      <c r="AY167" s="254">
        <v>0</v>
      </c>
      <c r="AZ167" s="254">
        <v>0</v>
      </c>
      <c r="BA167" s="254">
        <v>0</v>
      </c>
      <c r="BB167" s="254">
        <v>0</v>
      </c>
      <c r="BC167" s="254">
        <v>0</v>
      </c>
      <c r="BD167" s="254">
        <v>0</v>
      </c>
      <c r="BE167" s="254">
        <v>0</v>
      </c>
      <c r="BF167" s="254">
        <v>0</v>
      </c>
    </row>
    <row r="168" spans="1:58" x14ac:dyDescent="0.3">
      <c r="A168" s="262" t="s">
        <v>928</v>
      </c>
      <c r="B168" s="253" t="s">
        <v>784</v>
      </c>
      <c r="C168" s="253" t="s">
        <v>784</v>
      </c>
      <c r="D168" s="253" t="s">
        <v>784</v>
      </c>
      <c r="E168" s="253" t="s">
        <v>784</v>
      </c>
      <c r="F168" s="254">
        <v>0</v>
      </c>
      <c r="G168" s="253" t="s">
        <v>784</v>
      </c>
      <c r="H168" s="254">
        <v>0</v>
      </c>
      <c r="I168" s="254">
        <v>0</v>
      </c>
      <c r="J168" s="254">
        <v>0</v>
      </c>
      <c r="K168" s="254">
        <v>0</v>
      </c>
      <c r="L168" s="254">
        <v>0</v>
      </c>
      <c r="M168" s="254">
        <v>0</v>
      </c>
      <c r="N168" s="254">
        <v>0</v>
      </c>
      <c r="O168" s="253" t="s">
        <v>784</v>
      </c>
      <c r="P168" s="253" t="s">
        <v>784</v>
      </c>
      <c r="Q168" s="253" t="s">
        <v>784</v>
      </c>
      <c r="R168" s="254">
        <v>0</v>
      </c>
      <c r="S168" s="254">
        <v>0</v>
      </c>
      <c r="T168" s="254">
        <v>0</v>
      </c>
      <c r="U168" s="254">
        <v>0</v>
      </c>
      <c r="V168" s="254">
        <v>0</v>
      </c>
      <c r="W168" s="254">
        <v>0</v>
      </c>
      <c r="X168" s="254">
        <v>0</v>
      </c>
      <c r="Y168" s="254">
        <v>0</v>
      </c>
      <c r="Z168" s="254">
        <v>0</v>
      </c>
      <c r="AA168" s="254">
        <v>0</v>
      </c>
      <c r="AB168" s="254">
        <v>0</v>
      </c>
      <c r="AC168" s="254">
        <v>0</v>
      </c>
      <c r="AD168" s="254">
        <v>0</v>
      </c>
      <c r="AE168" s="254">
        <v>0</v>
      </c>
      <c r="AF168" s="254">
        <v>0</v>
      </c>
      <c r="AG168" s="254">
        <v>0</v>
      </c>
      <c r="AH168" s="254">
        <v>0</v>
      </c>
      <c r="AI168" s="254">
        <v>0</v>
      </c>
      <c r="AJ168" s="254">
        <v>0</v>
      </c>
      <c r="AK168" s="254">
        <v>0</v>
      </c>
      <c r="AL168" s="254">
        <v>0</v>
      </c>
      <c r="AM168" s="254">
        <v>0</v>
      </c>
      <c r="AN168" s="253" t="s">
        <v>784</v>
      </c>
      <c r="AO168" s="254">
        <v>0</v>
      </c>
      <c r="AP168" s="254">
        <v>0</v>
      </c>
      <c r="AQ168" s="254">
        <v>0</v>
      </c>
      <c r="AR168" s="254">
        <v>0</v>
      </c>
      <c r="AS168" s="254">
        <v>0</v>
      </c>
      <c r="AT168" s="254">
        <v>0</v>
      </c>
      <c r="AU168" s="254">
        <v>0</v>
      </c>
      <c r="AV168" s="254">
        <v>0</v>
      </c>
      <c r="AW168" s="254">
        <v>0</v>
      </c>
      <c r="AX168" s="254">
        <v>0</v>
      </c>
      <c r="AY168" s="254">
        <v>0</v>
      </c>
      <c r="AZ168" s="254">
        <v>0</v>
      </c>
      <c r="BA168" s="254">
        <v>0</v>
      </c>
      <c r="BB168" s="254">
        <v>0</v>
      </c>
      <c r="BC168" s="254">
        <v>0</v>
      </c>
      <c r="BD168" s="254">
        <v>0</v>
      </c>
      <c r="BE168" s="254">
        <v>0</v>
      </c>
      <c r="BF168" s="254">
        <v>0</v>
      </c>
    </row>
    <row r="169" spans="1:58" x14ac:dyDescent="0.3">
      <c r="A169" s="262" t="s">
        <v>929</v>
      </c>
      <c r="B169" s="253" t="s">
        <v>784</v>
      </c>
      <c r="C169" s="253" t="s">
        <v>784</v>
      </c>
      <c r="D169" s="253" t="s">
        <v>784</v>
      </c>
      <c r="E169" s="253" t="s">
        <v>784</v>
      </c>
      <c r="F169" s="254">
        <v>0</v>
      </c>
      <c r="G169" s="253" t="s">
        <v>784</v>
      </c>
      <c r="H169" s="254">
        <v>0</v>
      </c>
      <c r="I169" s="254">
        <v>0</v>
      </c>
      <c r="J169" s="254">
        <v>0</v>
      </c>
      <c r="K169" s="254">
        <v>0</v>
      </c>
      <c r="L169" s="254">
        <v>0</v>
      </c>
      <c r="M169" s="254">
        <v>0</v>
      </c>
      <c r="N169" s="254">
        <v>0</v>
      </c>
      <c r="O169" s="253" t="s">
        <v>784</v>
      </c>
      <c r="P169" s="253" t="s">
        <v>784</v>
      </c>
      <c r="Q169" s="253" t="s">
        <v>784</v>
      </c>
      <c r="R169" s="254">
        <v>0</v>
      </c>
      <c r="S169" s="254">
        <v>0</v>
      </c>
      <c r="T169" s="254">
        <v>0</v>
      </c>
      <c r="U169" s="254">
        <v>0</v>
      </c>
      <c r="V169" s="254">
        <v>0</v>
      </c>
      <c r="W169" s="254">
        <v>0</v>
      </c>
      <c r="X169" s="254">
        <v>0</v>
      </c>
      <c r="Y169" s="254">
        <v>0</v>
      </c>
      <c r="Z169" s="254">
        <v>0</v>
      </c>
      <c r="AA169" s="254">
        <v>0</v>
      </c>
      <c r="AB169" s="254">
        <v>0</v>
      </c>
      <c r="AC169" s="254">
        <v>0</v>
      </c>
      <c r="AD169" s="254">
        <v>0</v>
      </c>
      <c r="AE169" s="254">
        <v>0</v>
      </c>
      <c r="AF169" s="254">
        <v>0</v>
      </c>
      <c r="AG169" s="254">
        <v>0</v>
      </c>
      <c r="AH169" s="254">
        <v>0</v>
      </c>
      <c r="AI169" s="254">
        <v>0</v>
      </c>
      <c r="AJ169" s="254">
        <v>8385</v>
      </c>
      <c r="AK169" s="254">
        <v>10290</v>
      </c>
      <c r="AL169" s="254">
        <v>0</v>
      </c>
      <c r="AM169" s="254">
        <v>122151</v>
      </c>
      <c r="AN169" s="253" t="s">
        <v>784</v>
      </c>
      <c r="AO169" s="254">
        <v>215954</v>
      </c>
      <c r="AP169" s="254">
        <v>0</v>
      </c>
      <c r="AQ169" s="254">
        <v>0</v>
      </c>
      <c r="AR169" s="254">
        <v>0</v>
      </c>
      <c r="AS169" s="254">
        <v>189882</v>
      </c>
      <c r="AT169" s="254">
        <v>253242</v>
      </c>
      <c r="AU169" s="254">
        <v>253366</v>
      </c>
      <c r="AV169" s="254">
        <v>254177</v>
      </c>
      <c r="AW169" s="254">
        <v>270762</v>
      </c>
      <c r="AX169" s="254">
        <v>280769</v>
      </c>
      <c r="AY169" s="254">
        <v>285919</v>
      </c>
      <c r="AZ169" s="254">
        <v>291068</v>
      </c>
      <c r="BA169" s="254">
        <v>291068</v>
      </c>
      <c r="BB169" s="254">
        <v>316776</v>
      </c>
      <c r="BC169" s="254">
        <v>335350</v>
      </c>
      <c r="BD169" s="254">
        <v>359852</v>
      </c>
      <c r="BE169" s="254">
        <v>382645</v>
      </c>
      <c r="BF169" s="254">
        <v>406778</v>
      </c>
    </row>
    <row r="170" spans="1:58" x14ac:dyDescent="0.3">
      <c r="A170" s="262" t="s">
        <v>930</v>
      </c>
      <c r="B170" s="253" t="s">
        <v>784</v>
      </c>
      <c r="C170" s="253" t="s">
        <v>784</v>
      </c>
      <c r="D170" s="253" t="s">
        <v>784</v>
      </c>
      <c r="E170" s="253" t="s">
        <v>784</v>
      </c>
      <c r="F170" s="254">
        <v>0</v>
      </c>
      <c r="G170" s="253" t="s">
        <v>784</v>
      </c>
      <c r="H170" s="254">
        <v>0</v>
      </c>
      <c r="I170" s="254">
        <v>0</v>
      </c>
      <c r="J170" s="254">
        <v>0</v>
      </c>
      <c r="K170" s="254">
        <v>0</v>
      </c>
      <c r="L170" s="254">
        <v>0</v>
      </c>
      <c r="M170" s="254">
        <v>0</v>
      </c>
      <c r="N170" s="254">
        <v>0</v>
      </c>
      <c r="O170" s="253" t="s">
        <v>784</v>
      </c>
      <c r="P170" s="253" t="s">
        <v>784</v>
      </c>
      <c r="Q170" s="253" t="s">
        <v>784</v>
      </c>
      <c r="R170" s="254">
        <v>0</v>
      </c>
      <c r="S170" s="254">
        <v>0</v>
      </c>
      <c r="T170" s="254">
        <v>0</v>
      </c>
      <c r="U170" s="254">
        <v>0</v>
      </c>
      <c r="V170" s="254">
        <v>0</v>
      </c>
      <c r="W170" s="254">
        <v>0</v>
      </c>
      <c r="X170" s="254">
        <v>0</v>
      </c>
      <c r="Y170" s="254">
        <v>0</v>
      </c>
      <c r="Z170" s="254">
        <v>0</v>
      </c>
      <c r="AA170" s="254">
        <v>0</v>
      </c>
      <c r="AB170" s="254">
        <v>0</v>
      </c>
      <c r="AC170" s="254">
        <v>0</v>
      </c>
      <c r="AD170" s="254">
        <v>0</v>
      </c>
      <c r="AE170" s="254">
        <v>0</v>
      </c>
      <c r="AF170" s="254">
        <v>0</v>
      </c>
      <c r="AG170" s="254">
        <v>0</v>
      </c>
      <c r="AH170" s="254">
        <v>0</v>
      </c>
      <c r="AI170" s="254">
        <v>0</v>
      </c>
      <c r="AJ170" s="254">
        <v>-61038</v>
      </c>
      <c r="AK170" s="254">
        <v>-61500</v>
      </c>
      <c r="AL170" s="254">
        <v>0</v>
      </c>
      <c r="AM170" s="254">
        <v>-55961</v>
      </c>
      <c r="AN170" s="253" t="s">
        <v>784</v>
      </c>
      <c r="AO170" s="254">
        <v>-49463</v>
      </c>
      <c r="AP170" s="254">
        <v>0</v>
      </c>
      <c r="AQ170" s="254">
        <v>0</v>
      </c>
      <c r="AR170" s="254">
        <v>0</v>
      </c>
      <c r="AS170" s="254">
        <v>11687</v>
      </c>
      <c r="AT170" s="254">
        <v>-40874</v>
      </c>
      <c r="AU170" s="254">
        <v>-40874</v>
      </c>
      <c r="AV170" s="254">
        <v>-40874</v>
      </c>
      <c r="AW170" s="254">
        <v>-40874</v>
      </c>
      <c r="AX170" s="254">
        <v>-40874</v>
      </c>
      <c r="AY170" s="254">
        <v>-40874</v>
      </c>
      <c r="AZ170" s="254">
        <v>-40435</v>
      </c>
      <c r="BA170" s="254">
        <v>-40434</v>
      </c>
      <c r="BB170" s="254">
        <v>-59067</v>
      </c>
      <c r="BC170" s="254">
        <v>-109001</v>
      </c>
      <c r="BD170" s="254">
        <v>-59067</v>
      </c>
      <c r="BE170" s="254">
        <v>-59067</v>
      </c>
      <c r="BF170" s="254">
        <v>-545846</v>
      </c>
    </row>
    <row r="171" spans="1:58" x14ac:dyDescent="0.3">
      <c r="A171" s="262" t="s">
        <v>931</v>
      </c>
      <c r="B171" s="254">
        <v>0</v>
      </c>
      <c r="C171" s="254">
        <v>0</v>
      </c>
      <c r="D171" s="254">
        <v>0</v>
      </c>
      <c r="E171" s="254">
        <v>0</v>
      </c>
      <c r="F171" s="254">
        <v>0</v>
      </c>
      <c r="G171" s="253" t="s">
        <v>784</v>
      </c>
      <c r="H171" s="254">
        <v>1050</v>
      </c>
      <c r="I171" s="254">
        <v>1050</v>
      </c>
      <c r="J171" s="254">
        <v>0</v>
      </c>
      <c r="K171" s="254">
        <v>0</v>
      </c>
      <c r="L171" s="254">
        <v>0</v>
      </c>
      <c r="M171" s="254">
        <v>0</v>
      </c>
      <c r="N171" s="254">
        <v>0</v>
      </c>
      <c r="O171" s="253" t="s">
        <v>784</v>
      </c>
      <c r="P171" s="253" t="s">
        <v>784</v>
      </c>
      <c r="Q171" s="253" t="s">
        <v>784</v>
      </c>
      <c r="R171" s="254">
        <v>0</v>
      </c>
      <c r="S171" s="254">
        <v>0</v>
      </c>
      <c r="T171" s="254">
        <v>0</v>
      </c>
      <c r="U171" s="254">
        <v>0</v>
      </c>
      <c r="V171" s="254">
        <v>0</v>
      </c>
      <c r="W171" s="254">
        <v>0</v>
      </c>
      <c r="X171" s="254">
        <v>0</v>
      </c>
      <c r="Y171" s="254">
        <v>0</v>
      </c>
      <c r="Z171" s="254">
        <v>0</v>
      </c>
      <c r="AA171" s="254">
        <v>0</v>
      </c>
      <c r="AB171" s="254">
        <v>0</v>
      </c>
      <c r="AC171" s="254">
        <v>0</v>
      </c>
      <c r="AD171" s="254">
        <v>0</v>
      </c>
      <c r="AE171" s="254">
        <v>0</v>
      </c>
      <c r="AF171" s="254">
        <v>0</v>
      </c>
      <c r="AG171" s="254">
        <v>0</v>
      </c>
      <c r="AH171" s="254">
        <v>0</v>
      </c>
      <c r="AI171" s="254">
        <v>0</v>
      </c>
      <c r="AJ171" s="254">
        <v>0</v>
      </c>
      <c r="AK171" s="254">
        <v>0</v>
      </c>
      <c r="AL171" s="254">
        <v>0</v>
      </c>
      <c r="AM171" s="254">
        <v>0</v>
      </c>
      <c r="AN171" s="253" t="s">
        <v>784</v>
      </c>
      <c r="AO171" s="254">
        <v>0</v>
      </c>
      <c r="AP171" s="254">
        <v>0</v>
      </c>
      <c r="AQ171" s="254">
        <v>0</v>
      </c>
      <c r="AR171" s="254">
        <v>0</v>
      </c>
      <c r="AS171" s="254">
        <v>0</v>
      </c>
      <c r="AT171" s="254">
        <v>0</v>
      </c>
      <c r="AU171" s="254">
        <v>0</v>
      </c>
      <c r="AV171" s="254">
        <v>0</v>
      </c>
      <c r="AW171" s="254">
        <v>0</v>
      </c>
      <c r="AX171" s="254">
        <v>0</v>
      </c>
      <c r="AY171" s="254">
        <v>0</v>
      </c>
      <c r="AZ171" s="254">
        <v>0</v>
      </c>
      <c r="BA171" s="254">
        <v>0</v>
      </c>
      <c r="BB171" s="254">
        <v>0</v>
      </c>
      <c r="BC171" s="254">
        <v>-146177</v>
      </c>
      <c r="BD171" s="254">
        <v>0</v>
      </c>
      <c r="BE171" s="254">
        <v>-147448</v>
      </c>
      <c r="BF171" s="254">
        <v>0</v>
      </c>
    </row>
    <row r="172" spans="1:58" x14ac:dyDescent="0.3">
      <c r="A172" s="262" t="s">
        <v>790</v>
      </c>
      <c r="B172" s="253" t="s">
        <v>784</v>
      </c>
      <c r="C172" s="253" t="s">
        <v>784</v>
      </c>
      <c r="D172" s="253" t="s">
        <v>784</v>
      </c>
      <c r="E172" s="253" t="s">
        <v>784</v>
      </c>
      <c r="F172" s="254">
        <v>0</v>
      </c>
      <c r="G172" s="253" t="s">
        <v>784</v>
      </c>
      <c r="H172" s="254">
        <v>416914</v>
      </c>
      <c r="I172" s="254">
        <v>0</v>
      </c>
      <c r="J172" s="254">
        <v>0</v>
      </c>
      <c r="K172" s="254">
        <v>0</v>
      </c>
      <c r="L172" s="254">
        <v>0</v>
      </c>
      <c r="M172" s="254">
        <v>0</v>
      </c>
      <c r="N172" s="254">
        <v>0</v>
      </c>
      <c r="O172" s="253" t="s">
        <v>784</v>
      </c>
      <c r="P172" s="253" t="s">
        <v>784</v>
      </c>
      <c r="Q172" s="253" t="s">
        <v>784</v>
      </c>
      <c r="R172" s="254">
        <v>0</v>
      </c>
      <c r="S172" s="254">
        <v>0</v>
      </c>
      <c r="T172" s="254">
        <v>0</v>
      </c>
      <c r="U172" s="254">
        <v>0</v>
      </c>
      <c r="V172" s="254">
        <v>0</v>
      </c>
      <c r="W172" s="254">
        <v>0</v>
      </c>
      <c r="X172" s="254">
        <v>0</v>
      </c>
      <c r="Y172" s="254">
        <v>0</v>
      </c>
      <c r="Z172" s="254">
        <v>0</v>
      </c>
      <c r="AA172" s="254">
        <v>0</v>
      </c>
      <c r="AB172" s="254">
        <v>0</v>
      </c>
      <c r="AC172" s="254">
        <v>0</v>
      </c>
      <c r="AD172" s="254">
        <v>0</v>
      </c>
      <c r="AE172" s="254">
        <v>0</v>
      </c>
      <c r="AF172" s="254">
        <v>0</v>
      </c>
      <c r="AG172" s="254">
        <v>0</v>
      </c>
      <c r="AH172" s="254">
        <v>0</v>
      </c>
      <c r="AI172" s="254">
        <v>0</v>
      </c>
      <c r="AJ172" s="254">
        <v>0</v>
      </c>
      <c r="AK172" s="254">
        <v>0</v>
      </c>
      <c r="AL172" s="254">
        <v>0</v>
      </c>
      <c r="AM172" s="254">
        <v>0</v>
      </c>
      <c r="AN172" s="253" t="s">
        <v>784</v>
      </c>
      <c r="AO172" s="254">
        <v>31793</v>
      </c>
      <c r="AP172" s="254">
        <v>0</v>
      </c>
      <c r="AQ172" s="254">
        <v>0</v>
      </c>
      <c r="AR172" s="254">
        <v>0</v>
      </c>
      <c r="AS172" s="254">
        <v>31793</v>
      </c>
      <c r="AT172" s="254">
        <v>0</v>
      </c>
      <c r="AU172" s="254">
        <v>0</v>
      </c>
      <c r="AV172" s="254">
        <v>0</v>
      </c>
      <c r="AW172" s="254">
        <v>0</v>
      </c>
      <c r="AX172" s="254">
        <v>0</v>
      </c>
      <c r="AY172" s="254">
        <v>0</v>
      </c>
      <c r="AZ172" s="254">
        <v>0</v>
      </c>
      <c r="BA172" s="254">
        <v>0</v>
      </c>
      <c r="BB172" s="254">
        <v>0</v>
      </c>
      <c r="BC172" s="254">
        <v>0</v>
      </c>
      <c r="BD172" s="254">
        <v>-141906</v>
      </c>
      <c r="BE172" s="254">
        <v>0</v>
      </c>
      <c r="BF172" s="254">
        <v>0</v>
      </c>
    </row>
    <row r="173" spans="1:58" x14ac:dyDescent="0.3">
      <c r="A173" s="260" t="s">
        <v>932</v>
      </c>
      <c r="B173" s="256">
        <v>0</v>
      </c>
      <c r="C173" s="256">
        <v>0</v>
      </c>
      <c r="D173" s="256">
        <v>0</v>
      </c>
      <c r="E173" s="256">
        <v>0</v>
      </c>
      <c r="F173" s="256">
        <v>0</v>
      </c>
      <c r="G173" s="256">
        <v>0</v>
      </c>
      <c r="H173" s="256">
        <v>0</v>
      </c>
      <c r="I173" s="256">
        <v>0</v>
      </c>
      <c r="J173" s="256">
        <v>0</v>
      </c>
      <c r="K173" s="256">
        <v>0</v>
      </c>
      <c r="L173" s="256">
        <v>0</v>
      </c>
      <c r="M173" s="256">
        <v>0</v>
      </c>
      <c r="N173" s="256">
        <v>0</v>
      </c>
      <c r="O173" s="256">
        <v>0</v>
      </c>
      <c r="P173" s="256">
        <v>0</v>
      </c>
      <c r="Q173" s="256">
        <v>0</v>
      </c>
      <c r="R173" s="256">
        <v>0</v>
      </c>
      <c r="S173" s="256">
        <v>0</v>
      </c>
      <c r="T173" s="256">
        <v>0</v>
      </c>
      <c r="U173" s="256">
        <v>0</v>
      </c>
      <c r="V173" s="256">
        <v>0</v>
      </c>
      <c r="W173" s="256">
        <v>0</v>
      </c>
      <c r="X173" s="256">
        <v>0</v>
      </c>
      <c r="Y173" s="256">
        <v>0</v>
      </c>
      <c r="Z173" s="256">
        <v>0</v>
      </c>
      <c r="AA173" s="256">
        <v>0</v>
      </c>
      <c r="AB173" s="256">
        <v>0</v>
      </c>
      <c r="AC173" s="256">
        <v>0</v>
      </c>
      <c r="AD173" s="256">
        <v>0</v>
      </c>
      <c r="AE173" s="256">
        <v>0</v>
      </c>
      <c r="AF173" s="256">
        <v>0</v>
      </c>
      <c r="AG173" s="256">
        <v>0</v>
      </c>
      <c r="AH173" s="256">
        <v>0</v>
      </c>
      <c r="AI173" s="256">
        <v>0</v>
      </c>
      <c r="AJ173" s="256">
        <v>0</v>
      </c>
      <c r="AK173" s="256">
        <v>0</v>
      </c>
      <c r="AL173" s="256">
        <v>0</v>
      </c>
      <c r="AM173" s="256">
        <v>0</v>
      </c>
      <c r="AN173" s="256">
        <v>0</v>
      </c>
      <c r="AO173" s="256">
        <v>0</v>
      </c>
      <c r="AP173" s="256">
        <v>0</v>
      </c>
      <c r="AQ173" s="256">
        <v>0</v>
      </c>
      <c r="AR173" s="256">
        <v>0</v>
      </c>
      <c r="AS173" s="256">
        <v>0</v>
      </c>
      <c r="AT173" s="256">
        <v>0</v>
      </c>
      <c r="AU173" s="256">
        <v>0</v>
      </c>
      <c r="AV173" s="256">
        <v>0</v>
      </c>
      <c r="AW173" s="256">
        <v>0</v>
      </c>
      <c r="AX173" s="256">
        <v>0</v>
      </c>
      <c r="AY173" s="256">
        <v>0</v>
      </c>
      <c r="AZ173" s="256">
        <v>0</v>
      </c>
      <c r="BA173" s="256">
        <v>0</v>
      </c>
      <c r="BB173" s="256">
        <v>0</v>
      </c>
      <c r="BC173" s="256">
        <v>0</v>
      </c>
      <c r="BD173" s="256">
        <v>0</v>
      </c>
      <c r="BE173" s="256">
        <v>0</v>
      </c>
      <c r="BF173" s="256">
        <v>0</v>
      </c>
    </row>
    <row r="174" spans="1:58" x14ac:dyDescent="0.3">
      <c r="A174" s="260" t="s">
        <v>933</v>
      </c>
      <c r="B174" s="256">
        <v>-303</v>
      </c>
      <c r="C174" s="256">
        <v>-210</v>
      </c>
      <c r="D174" s="256">
        <v>0</v>
      </c>
      <c r="E174" s="256">
        <v>0</v>
      </c>
      <c r="F174" s="256">
        <v>0</v>
      </c>
      <c r="G174" s="256">
        <v>0</v>
      </c>
      <c r="H174" s="256">
        <v>0</v>
      </c>
      <c r="I174" s="256">
        <v>0</v>
      </c>
      <c r="J174" s="256">
        <v>0</v>
      </c>
      <c r="K174" s="256">
        <v>0</v>
      </c>
      <c r="L174" s="256">
        <v>0</v>
      </c>
      <c r="M174" s="256">
        <v>0</v>
      </c>
      <c r="N174" s="256">
        <v>0</v>
      </c>
      <c r="O174" s="256">
        <v>0</v>
      </c>
      <c r="P174" s="256">
        <v>0</v>
      </c>
      <c r="Q174" s="256">
        <v>0</v>
      </c>
      <c r="R174" s="256">
        <v>0</v>
      </c>
      <c r="S174" s="256">
        <v>0</v>
      </c>
      <c r="T174" s="256">
        <v>0</v>
      </c>
      <c r="U174" s="256">
        <v>0</v>
      </c>
      <c r="V174" s="256">
        <v>0</v>
      </c>
      <c r="W174" s="256">
        <v>0</v>
      </c>
      <c r="X174" s="256">
        <v>0</v>
      </c>
      <c r="Y174" s="256">
        <v>0</v>
      </c>
      <c r="Z174" s="256">
        <v>0</v>
      </c>
      <c r="AA174" s="256">
        <v>0</v>
      </c>
      <c r="AB174" s="256">
        <v>0</v>
      </c>
      <c r="AC174" s="256">
        <v>0</v>
      </c>
      <c r="AD174" s="256">
        <v>0</v>
      </c>
      <c r="AE174" s="256">
        <v>0</v>
      </c>
      <c r="AF174" s="256">
        <v>0</v>
      </c>
      <c r="AG174" s="256">
        <v>0</v>
      </c>
      <c r="AH174" s="256">
        <v>0</v>
      </c>
      <c r="AI174" s="256">
        <v>0</v>
      </c>
      <c r="AJ174" s="256">
        <v>0</v>
      </c>
      <c r="AK174" s="256">
        <v>0</v>
      </c>
      <c r="AL174" s="256">
        <v>0</v>
      </c>
      <c r="AM174" s="256">
        <v>0</v>
      </c>
      <c r="AN174" s="256">
        <v>0</v>
      </c>
      <c r="AO174" s="256">
        <v>0</v>
      </c>
      <c r="AP174" s="256">
        <v>0</v>
      </c>
      <c r="AQ174" s="256">
        <v>0</v>
      </c>
      <c r="AR174" s="256">
        <v>0</v>
      </c>
      <c r="AS174" s="256">
        <v>0</v>
      </c>
      <c r="AT174" s="256">
        <v>0</v>
      </c>
      <c r="AU174" s="256">
        <v>0</v>
      </c>
      <c r="AV174" s="256">
        <v>0</v>
      </c>
      <c r="AW174" s="256">
        <v>0</v>
      </c>
      <c r="AX174" s="256">
        <v>255381</v>
      </c>
      <c r="AY174" s="256">
        <v>255381</v>
      </c>
      <c r="AZ174" s="256">
        <v>255381</v>
      </c>
      <c r="BA174" s="256">
        <v>255381</v>
      </c>
      <c r="BB174" s="256">
        <v>3682453</v>
      </c>
      <c r="BC174" s="256">
        <v>3682453</v>
      </c>
      <c r="BD174" s="256">
        <v>3256052</v>
      </c>
      <c r="BE174" s="256">
        <v>3256052</v>
      </c>
      <c r="BF174" s="256">
        <v>8801741</v>
      </c>
    </row>
    <row r="175" spans="1:58" x14ac:dyDescent="0.3">
      <c r="A175" s="262" t="s">
        <v>934</v>
      </c>
      <c r="B175" s="254">
        <v>0</v>
      </c>
      <c r="C175" s="254">
        <v>0</v>
      </c>
      <c r="D175" s="254">
        <v>0</v>
      </c>
      <c r="E175" s="254">
        <v>0</v>
      </c>
      <c r="F175" s="254">
        <v>0</v>
      </c>
      <c r="G175" s="254">
        <v>0</v>
      </c>
      <c r="H175" s="254">
        <v>0</v>
      </c>
      <c r="I175" s="254">
        <v>0</v>
      </c>
      <c r="J175" s="254">
        <v>0</v>
      </c>
      <c r="K175" s="254">
        <v>0</v>
      </c>
      <c r="L175" s="254">
        <v>0</v>
      </c>
      <c r="M175" s="254">
        <v>0</v>
      </c>
      <c r="N175" s="254">
        <v>0</v>
      </c>
      <c r="O175" s="254">
        <v>0</v>
      </c>
      <c r="P175" s="254">
        <v>0</v>
      </c>
      <c r="Q175" s="254">
        <v>0</v>
      </c>
      <c r="R175" s="254">
        <v>0</v>
      </c>
      <c r="S175" s="254">
        <v>0</v>
      </c>
      <c r="T175" s="254">
        <v>0</v>
      </c>
      <c r="U175" s="254">
        <v>0</v>
      </c>
      <c r="V175" s="254">
        <v>0</v>
      </c>
      <c r="W175" s="254">
        <v>0</v>
      </c>
      <c r="X175" s="254">
        <v>0</v>
      </c>
      <c r="Y175" s="254">
        <v>0</v>
      </c>
      <c r="Z175" s="254">
        <v>0</v>
      </c>
      <c r="AA175" s="254">
        <v>0</v>
      </c>
      <c r="AB175" s="254">
        <v>0</v>
      </c>
      <c r="AC175" s="254">
        <v>0</v>
      </c>
      <c r="AD175" s="254">
        <v>0</v>
      </c>
      <c r="AE175" s="254">
        <v>0</v>
      </c>
      <c r="AF175" s="254">
        <v>0</v>
      </c>
      <c r="AG175" s="254">
        <v>0</v>
      </c>
      <c r="AH175" s="254">
        <v>0</v>
      </c>
      <c r="AI175" s="254">
        <v>0</v>
      </c>
      <c r="AJ175" s="254">
        <v>0</v>
      </c>
      <c r="AK175" s="254">
        <v>0</v>
      </c>
      <c r="AL175" s="254">
        <v>0</v>
      </c>
      <c r="AM175" s="254">
        <v>0</v>
      </c>
      <c r="AN175" s="254">
        <v>0</v>
      </c>
      <c r="AO175" s="254">
        <v>0</v>
      </c>
      <c r="AP175" s="254">
        <v>0</v>
      </c>
      <c r="AQ175" s="254">
        <v>0</v>
      </c>
      <c r="AR175" s="254">
        <v>0</v>
      </c>
      <c r="AS175" s="254">
        <v>0</v>
      </c>
      <c r="AT175" s="254">
        <v>0</v>
      </c>
      <c r="AU175" s="254">
        <v>0</v>
      </c>
      <c r="AV175" s="254">
        <v>0</v>
      </c>
      <c r="AW175" s="254">
        <v>0</v>
      </c>
      <c r="AX175" s="254">
        <v>12769</v>
      </c>
      <c r="AY175" s="254">
        <v>12769</v>
      </c>
      <c r="AZ175" s="254">
        <v>12769</v>
      </c>
      <c r="BA175" s="254">
        <v>12769</v>
      </c>
      <c r="BB175" s="254">
        <v>184123</v>
      </c>
      <c r="BC175" s="254">
        <v>12769</v>
      </c>
      <c r="BD175" s="254">
        <v>12769</v>
      </c>
      <c r="BE175" s="254">
        <v>12769</v>
      </c>
      <c r="BF175" s="254">
        <v>443118</v>
      </c>
    </row>
    <row r="176" spans="1:58" x14ac:dyDescent="0.3">
      <c r="A176" s="262" t="s">
        <v>935</v>
      </c>
      <c r="B176" s="254">
        <v>0</v>
      </c>
      <c r="C176" s="254">
        <v>0</v>
      </c>
      <c r="D176" s="254">
        <v>0</v>
      </c>
      <c r="E176" s="254">
        <v>0</v>
      </c>
      <c r="F176" s="254">
        <v>0</v>
      </c>
      <c r="G176" s="254">
        <v>0</v>
      </c>
      <c r="H176" s="254">
        <v>0</v>
      </c>
      <c r="I176" s="254">
        <v>0</v>
      </c>
      <c r="J176" s="254">
        <v>0</v>
      </c>
      <c r="K176" s="254">
        <v>0</v>
      </c>
      <c r="L176" s="254">
        <v>0</v>
      </c>
      <c r="M176" s="254">
        <v>0</v>
      </c>
      <c r="N176" s="254">
        <v>0</v>
      </c>
      <c r="O176" s="254">
        <v>0</v>
      </c>
      <c r="P176" s="254">
        <v>0</v>
      </c>
      <c r="Q176" s="254">
        <v>0</v>
      </c>
      <c r="R176" s="254">
        <v>0</v>
      </c>
      <c r="S176" s="254">
        <v>0</v>
      </c>
      <c r="T176" s="254">
        <v>0</v>
      </c>
      <c r="U176" s="254">
        <v>0</v>
      </c>
      <c r="V176" s="254">
        <v>0</v>
      </c>
      <c r="W176" s="254">
        <v>0</v>
      </c>
      <c r="X176" s="254">
        <v>0</v>
      </c>
      <c r="Y176" s="254">
        <v>0</v>
      </c>
      <c r="Z176" s="254">
        <v>0</v>
      </c>
      <c r="AA176" s="254">
        <v>0</v>
      </c>
      <c r="AB176" s="254">
        <v>0</v>
      </c>
      <c r="AC176" s="254">
        <v>0</v>
      </c>
      <c r="AD176" s="254">
        <v>0</v>
      </c>
      <c r="AE176" s="254">
        <v>0</v>
      </c>
      <c r="AF176" s="254">
        <v>0</v>
      </c>
      <c r="AG176" s="254">
        <v>0</v>
      </c>
      <c r="AH176" s="254">
        <v>0</v>
      </c>
      <c r="AI176" s="254">
        <v>0</v>
      </c>
      <c r="AJ176" s="254">
        <v>0</v>
      </c>
      <c r="AK176" s="254">
        <v>0</v>
      </c>
      <c r="AL176" s="254">
        <v>0</v>
      </c>
      <c r="AM176" s="254">
        <v>0</v>
      </c>
      <c r="AN176" s="254">
        <v>0</v>
      </c>
      <c r="AO176" s="254">
        <v>0</v>
      </c>
      <c r="AP176" s="254">
        <v>0</v>
      </c>
      <c r="AQ176" s="254">
        <v>0</v>
      </c>
      <c r="AR176" s="254">
        <v>0</v>
      </c>
      <c r="AS176" s="254">
        <v>0</v>
      </c>
      <c r="AT176" s="254">
        <v>0</v>
      </c>
      <c r="AU176" s="254">
        <v>0</v>
      </c>
      <c r="AV176" s="254">
        <v>0</v>
      </c>
      <c r="AW176" s="254">
        <v>0</v>
      </c>
      <c r="AX176" s="254">
        <v>0</v>
      </c>
      <c r="AY176" s="254">
        <v>0</v>
      </c>
      <c r="AZ176" s="254">
        <v>0</v>
      </c>
      <c r="BA176" s="254">
        <v>0</v>
      </c>
      <c r="BB176" s="254">
        <v>0</v>
      </c>
      <c r="BC176" s="254">
        <v>181958</v>
      </c>
      <c r="BD176" s="254">
        <v>181958</v>
      </c>
      <c r="BE176" s="254">
        <v>181958</v>
      </c>
      <c r="BF176" s="254">
        <v>0</v>
      </c>
    </row>
    <row r="177" spans="1:58" x14ac:dyDescent="0.3">
      <c r="A177" s="262" t="s">
        <v>936</v>
      </c>
      <c r="B177" s="254">
        <v>0</v>
      </c>
      <c r="C177" s="254">
        <v>0</v>
      </c>
      <c r="D177" s="254">
        <v>0</v>
      </c>
      <c r="E177" s="254">
        <v>0</v>
      </c>
      <c r="F177" s="254">
        <v>0</v>
      </c>
      <c r="G177" s="254">
        <v>0</v>
      </c>
      <c r="H177" s="254">
        <v>0</v>
      </c>
      <c r="I177" s="254">
        <v>0</v>
      </c>
      <c r="J177" s="254">
        <v>0</v>
      </c>
      <c r="K177" s="254">
        <v>0</v>
      </c>
      <c r="L177" s="254">
        <v>0</v>
      </c>
      <c r="M177" s="254">
        <v>0</v>
      </c>
      <c r="N177" s="254">
        <v>0</v>
      </c>
      <c r="O177" s="254">
        <v>0</v>
      </c>
      <c r="P177" s="254">
        <v>0</v>
      </c>
      <c r="Q177" s="254">
        <v>0</v>
      </c>
      <c r="R177" s="254">
        <v>0</v>
      </c>
      <c r="S177" s="254">
        <v>0</v>
      </c>
      <c r="T177" s="254">
        <v>0</v>
      </c>
      <c r="U177" s="254">
        <v>0</v>
      </c>
      <c r="V177" s="254">
        <v>0</v>
      </c>
      <c r="W177" s="254">
        <v>0</v>
      </c>
      <c r="X177" s="254">
        <v>0</v>
      </c>
      <c r="Y177" s="254">
        <v>0</v>
      </c>
      <c r="Z177" s="254">
        <v>0</v>
      </c>
      <c r="AA177" s="254">
        <v>0</v>
      </c>
      <c r="AB177" s="254">
        <v>0</v>
      </c>
      <c r="AC177" s="254">
        <v>0</v>
      </c>
      <c r="AD177" s="254">
        <v>0</v>
      </c>
      <c r="AE177" s="254">
        <v>0</v>
      </c>
      <c r="AF177" s="254">
        <v>0</v>
      </c>
      <c r="AG177" s="254">
        <v>0</v>
      </c>
      <c r="AH177" s="254">
        <v>0</v>
      </c>
      <c r="AI177" s="254">
        <v>0</v>
      </c>
      <c r="AJ177" s="254">
        <v>0</v>
      </c>
      <c r="AK177" s="254">
        <v>0</v>
      </c>
      <c r="AL177" s="254">
        <v>0</v>
      </c>
      <c r="AM177" s="254">
        <v>0</v>
      </c>
      <c r="AN177" s="254">
        <v>0</v>
      </c>
      <c r="AO177" s="254">
        <v>0</v>
      </c>
      <c r="AP177" s="254">
        <v>0</v>
      </c>
      <c r="AQ177" s="254">
        <v>0</v>
      </c>
      <c r="AR177" s="254">
        <v>0</v>
      </c>
      <c r="AS177" s="254">
        <v>0</v>
      </c>
      <c r="AT177" s="254">
        <v>0</v>
      </c>
      <c r="AU177" s="254">
        <v>0</v>
      </c>
      <c r="AV177" s="254">
        <v>0</v>
      </c>
      <c r="AW177" s="254">
        <v>0</v>
      </c>
      <c r="AX177" s="254">
        <v>0</v>
      </c>
      <c r="AY177" s="254">
        <v>0</v>
      </c>
      <c r="AZ177" s="254">
        <v>0</v>
      </c>
      <c r="BA177" s="254">
        <v>0</v>
      </c>
      <c r="BB177" s="254">
        <v>0</v>
      </c>
      <c r="BC177" s="254">
        <v>0</v>
      </c>
      <c r="BD177" s="254">
        <v>0</v>
      </c>
      <c r="BE177" s="254">
        <v>0</v>
      </c>
      <c r="BF177" s="254">
        <v>0</v>
      </c>
    </row>
    <row r="178" spans="1:58" x14ac:dyDescent="0.3">
      <c r="A178" s="262" t="s">
        <v>937</v>
      </c>
      <c r="B178" s="254">
        <v>0</v>
      </c>
      <c r="C178" s="254">
        <v>0</v>
      </c>
      <c r="D178" s="254">
        <v>0</v>
      </c>
      <c r="E178" s="254">
        <v>0</v>
      </c>
      <c r="F178" s="254">
        <v>0</v>
      </c>
      <c r="G178" s="254">
        <v>0</v>
      </c>
      <c r="H178" s="254">
        <v>0</v>
      </c>
      <c r="I178" s="254">
        <v>0</v>
      </c>
      <c r="J178" s="254">
        <v>0</v>
      </c>
      <c r="K178" s="254">
        <v>0</v>
      </c>
      <c r="L178" s="254">
        <v>0</v>
      </c>
      <c r="M178" s="254">
        <v>0</v>
      </c>
      <c r="N178" s="254">
        <v>0</v>
      </c>
      <c r="O178" s="254">
        <v>0</v>
      </c>
      <c r="P178" s="254">
        <v>0</v>
      </c>
      <c r="Q178" s="254">
        <v>0</v>
      </c>
      <c r="R178" s="254">
        <v>0</v>
      </c>
      <c r="S178" s="254">
        <v>0</v>
      </c>
      <c r="T178" s="254">
        <v>0</v>
      </c>
      <c r="U178" s="254">
        <v>0</v>
      </c>
      <c r="V178" s="254">
        <v>0</v>
      </c>
      <c r="W178" s="254">
        <v>0</v>
      </c>
      <c r="X178" s="254">
        <v>0</v>
      </c>
      <c r="Y178" s="254">
        <v>0</v>
      </c>
      <c r="Z178" s="254">
        <v>0</v>
      </c>
      <c r="AA178" s="254">
        <v>0</v>
      </c>
      <c r="AB178" s="254">
        <v>0</v>
      </c>
      <c r="AC178" s="254">
        <v>0</v>
      </c>
      <c r="AD178" s="254">
        <v>0</v>
      </c>
      <c r="AE178" s="254">
        <v>0</v>
      </c>
      <c r="AF178" s="254">
        <v>0</v>
      </c>
      <c r="AG178" s="254">
        <v>0</v>
      </c>
      <c r="AH178" s="254">
        <v>0</v>
      </c>
      <c r="AI178" s="254">
        <v>0</v>
      </c>
      <c r="AJ178" s="254">
        <v>0</v>
      </c>
      <c r="AK178" s="254">
        <v>0</v>
      </c>
      <c r="AL178" s="254">
        <v>0</v>
      </c>
      <c r="AM178" s="254">
        <v>0</v>
      </c>
      <c r="AN178" s="254">
        <v>0</v>
      </c>
      <c r="AO178" s="254">
        <v>0</v>
      </c>
      <c r="AP178" s="254">
        <v>0</v>
      </c>
      <c r="AQ178" s="254">
        <v>0</v>
      </c>
      <c r="AR178" s="254">
        <v>0</v>
      </c>
      <c r="AS178" s="254">
        <v>0</v>
      </c>
      <c r="AT178" s="254">
        <v>0</v>
      </c>
      <c r="AU178" s="254">
        <v>0</v>
      </c>
      <c r="AV178" s="254">
        <v>0</v>
      </c>
      <c r="AW178" s="254">
        <v>0</v>
      </c>
      <c r="AX178" s="254">
        <v>60655</v>
      </c>
      <c r="AY178" s="254">
        <v>60655</v>
      </c>
      <c r="AZ178" s="254">
        <v>60655</v>
      </c>
      <c r="BA178" s="254">
        <v>60655</v>
      </c>
      <c r="BB178" s="254">
        <v>60688</v>
      </c>
      <c r="BC178" s="254">
        <v>60655</v>
      </c>
      <c r="BD178" s="254">
        <v>60655</v>
      </c>
      <c r="BE178" s="254">
        <v>60655</v>
      </c>
      <c r="BF178" s="254">
        <v>120</v>
      </c>
    </row>
    <row r="179" spans="1:58" x14ac:dyDescent="0.3">
      <c r="A179" s="262" t="s">
        <v>938</v>
      </c>
      <c r="B179" s="254">
        <v>0</v>
      </c>
      <c r="C179" s="254">
        <v>0</v>
      </c>
      <c r="D179" s="254">
        <v>0</v>
      </c>
      <c r="E179" s="254">
        <v>0</v>
      </c>
      <c r="F179" s="254">
        <v>0</v>
      </c>
      <c r="G179" s="254">
        <v>0</v>
      </c>
      <c r="H179" s="254">
        <v>0</v>
      </c>
      <c r="I179" s="254">
        <v>0</v>
      </c>
      <c r="J179" s="254">
        <v>0</v>
      </c>
      <c r="K179" s="254">
        <v>0</v>
      </c>
      <c r="L179" s="254">
        <v>0</v>
      </c>
      <c r="M179" s="254">
        <v>0</v>
      </c>
      <c r="N179" s="254">
        <v>0</v>
      </c>
      <c r="O179" s="254">
        <v>0</v>
      </c>
      <c r="P179" s="254">
        <v>0</v>
      </c>
      <c r="Q179" s="254">
        <v>0</v>
      </c>
      <c r="R179" s="254">
        <v>0</v>
      </c>
      <c r="S179" s="254">
        <v>0</v>
      </c>
      <c r="T179" s="254">
        <v>0</v>
      </c>
      <c r="U179" s="254">
        <v>0</v>
      </c>
      <c r="V179" s="254">
        <v>0</v>
      </c>
      <c r="W179" s="254">
        <v>0</v>
      </c>
      <c r="X179" s="254">
        <v>0</v>
      </c>
      <c r="Y179" s="254">
        <v>0</v>
      </c>
      <c r="Z179" s="254">
        <v>0</v>
      </c>
      <c r="AA179" s="254">
        <v>0</v>
      </c>
      <c r="AB179" s="254">
        <v>0</v>
      </c>
      <c r="AC179" s="254">
        <v>0</v>
      </c>
      <c r="AD179" s="254">
        <v>0</v>
      </c>
      <c r="AE179" s="254">
        <v>0</v>
      </c>
      <c r="AF179" s="254">
        <v>0</v>
      </c>
      <c r="AG179" s="254">
        <v>0</v>
      </c>
      <c r="AH179" s="254">
        <v>0</v>
      </c>
      <c r="AI179" s="254">
        <v>0</v>
      </c>
      <c r="AJ179" s="254">
        <v>0</v>
      </c>
      <c r="AK179" s="254">
        <v>0</v>
      </c>
      <c r="AL179" s="254">
        <v>0</v>
      </c>
      <c r="AM179" s="254">
        <v>0</v>
      </c>
      <c r="AN179" s="254">
        <v>0</v>
      </c>
      <c r="AO179" s="254">
        <v>0</v>
      </c>
      <c r="AP179" s="254">
        <v>0</v>
      </c>
      <c r="AQ179" s="254">
        <v>0</v>
      </c>
      <c r="AR179" s="254">
        <v>0</v>
      </c>
      <c r="AS179" s="254">
        <v>0</v>
      </c>
      <c r="AT179" s="254">
        <v>0</v>
      </c>
      <c r="AU179" s="254">
        <v>0</v>
      </c>
      <c r="AV179" s="254">
        <v>0</v>
      </c>
      <c r="AW179" s="254">
        <v>0</v>
      </c>
      <c r="AX179" s="254">
        <v>0</v>
      </c>
      <c r="AY179" s="254">
        <v>0</v>
      </c>
      <c r="AZ179" s="254">
        <v>0</v>
      </c>
      <c r="BA179" s="254">
        <v>0</v>
      </c>
      <c r="BB179" s="254">
        <v>0</v>
      </c>
      <c r="BC179" s="254">
        <v>0</v>
      </c>
      <c r="BD179" s="254">
        <v>0</v>
      </c>
      <c r="BE179" s="254">
        <v>0</v>
      </c>
      <c r="BF179" s="254">
        <v>0</v>
      </c>
    </row>
    <row r="180" spans="1:58" x14ac:dyDescent="0.3">
      <c r="A180" s="262" t="s">
        <v>939</v>
      </c>
      <c r="B180" s="254">
        <v>0</v>
      </c>
      <c r="C180" s="254">
        <v>0</v>
      </c>
      <c r="D180" s="254">
        <v>0</v>
      </c>
      <c r="E180" s="254">
        <v>0</v>
      </c>
      <c r="F180" s="254">
        <v>0</v>
      </c>
      <c r="G180" s="254">
        <v>0</v>
      </c>
      <c r="H180" s="254">
        <v>0</v>
      </c>
      <c r="I180" s="254">
        <v>0</v>
      </c>
      <c r="J180" s="254">
        <v>0</v>
      </c>
      <c r="K180" s="254">
        <v>0</v>
      </c>
      <c r="L180" s="254">
        <v>0</v>
      </c>
      <c r="M180" s="254">
        <v>0</v>
      </c>
      <c r="N180" s="254">
        <v>0</v>
      </c>
      <c r="O180" s="254">
        <v>0</v>
      </c>
      <c r="P180" s="254">
        <v>0</v>
      </c>
      <c r="Q180" s="254">
        <v>0</v>
      </c>
      <c r="R180" s="254">
        <v>0</v>
      </c>
      <c r="S180" s="254">
        <v>0</v>
      </c>
      <c r="T180" s="254">
        <v>0</v>
      </c>
      <c r="U180" s="254">
        <v>0</v>
      </c>
      <c r="V180" s="254">
        <v>0</v>
      </c>
      <c r="W180" s="254">
        <v>0</v>
      </c>
      <c r="X180" s="254">
        <v>0</v>
      </c>
      <c r="Y180" s="254">
        <v>0</v>
      </c>
      <c r="Z180" s="254">
        <v>0</v>
      </c>
      <c r="AA180" s="254">
        <v>0</v>
      </c>
      <c r="AB180" s="254">
        <v>0</v>
      </c>
      <c r="AC180" s="254">
        <v>0</v>
      </c>
      <c r="AD180" s="254">
        <v>0</v>
      </c>
      <c r="AE180" s="254">
        <v>0</v>
      </c>
      <c r="AF180" s="254">
        <v>0</v>
      </c>
      <c r="AG180" s="254">
        <v>0</v>
      </c>
      <c r="AH180" s="254">
        <v>0</v>
      </c>
      <c r="AI180" s="254">
        <v>0</v>
      </c>
      <c r="AJ180" s="254">
        <v>0</v>
      </c>
      <c r="AK180" s="254">
        <v>0</v>
      </c>
      <c r="AL180" s="254">
        <v>0</v>
      </c>
      <c r="AM180" s="254">
        <v>0</v>
      </c>
      <c r="AN180" s="254">
        <v>0</v>
      </c>
      <c r="AO180" s="254">
        <v>0</v>
      </c>
      <c r="AP180" s="254">
        <v>0</v>
      </c>
      <c r="AQ180" s="254">
        <v>0</v>
      </c>
      <c r="AR180" s="254">
        <v>0</v>
      </c>
      <c r="AS180" s="254">
        <v>0</v>
      </c>
      <c r="AT180" s="254">
        <v>0</v>
      </c>
      <c r="AU180" s="254">
        <v>0</v>
      </c>
      <c r="AV180" s="254">
        <v>0</v>
      </c>
      <c r="AW180" s="254">
        <v>0</v>
      </c>
      <c r="AX180" s="254">
        <v>0</v>
      </c>
      <c r="AY180" s="254">
        <v>0</v>
      </c>
      <c r="AZ180" s="254">
        <v>0</v>
      </c>
      <c r="BA180" s="254">
        <v>0</v>
      </c>
      <c r="BB180" s="254">
        <v>0</v>
      </c>
      <c r="BC180" s="254">
        <v>0</v>
      </c>
      <c r="BD180" s="254">
        <v>0</v>
      </c>
      <c r="BE180" s="254">
        <v>0</v>
      </c>
      <c r="BF180" s="254">
        <v>0</v>
      </c>
    </row>
    <row r="181" spans="1:58" x14ac:dyDescent="0.3">
      <c r="A181" s="262" t="s">
        <v>940</v>
      </c>
      <c r="B181" s="253" t="s">
        <v>784</v>
      </c>
      <c r="C181" s="253" t="s">
        <v>784</v>
      </c>
      <c r="D181" s="254">
        <v>0</v>
      </c>
      <c r="E181" s="254">
        <v>0</v>
      </c>
      <c r="F181" s="254">
        <v>0</v>
      </c>
      <c r="G181" s="254">
        <v>0</v>
      </c>
      <c r="H181" s="254">
        <v>0</v>
      </c>
      <c r="I181" s="254">
        <v>0</v>
      </c>
      <c r="J181" s="254">
        <v>0</v>
      </c>
      <c r="K181" s="254">
        <v>0</v>
      </c>
      <c r="L181" s="254">
        <v>0</v>
      </c>
      <c r="M181" s="254">
        <v>0</v>
      </c>
      <c r="N181" s="254">
        <v>0</v>
      </c>
      <c r="O181" s="254">
        <v>0</v>
      </c>
      <c r="P181" s="254">
        <v>0</v>
      </c>
      <c r="Q181" s="254">
        <v>0</v>
      </c>
      <c r="R181" s="254">
        <v>0</v>
      </c>
      <c r="S181" s="254">
        <v>0</v>
      </c>
      <c r="T181" s="254">
        <v>0</v>
      </c>
      <c r="U181" s="254">
        <v>0</v>
      </c>
      <c r="V181" s="254">
        <v>0</v>
      </c>
      <c r="W181" s="254">
        <v>0</v>
      </c>
      <c r="X181" s="254">
        <v>0</v>
      </c>
      <c r="Y181" s="254">
        <v>0</v>
      </c>
      <c r="Z181" s="254">
        <v>0</v>
      </c>
      <c r="AA181" s="254">
        <v>0</v>
      </c>
      <c r="AB181" s="254">
        <v>0</v>
      </c>
      <c r="AC181" s="254">
        <v>0</v>
      </c>
      <c r="AD181" s="254">
        <v>0</v>
      </c>
      <c r="AE181" s="254">
        <v>0</v>
      </c>
      <c r="AF181" s="254">
        <v>0</v>
      </c>
      <c r="AG181" s="254">
        <v>0</v>
      </c>
      <c r="AH181" s="254">
        <v>0</v>
      </c>
      <c r="AI181" s="254">
        <v>0</v>
      </c>
      <c r="AJ181" s="254">
        <v>0</v>
      </c>
      <c r="AK181" s="254">
        <v>0</v>
      </c>
      <c r="AL181" s="254">
        <v>0</v>
      </c>
      <c r="AM181" s="254">
        <v>0</v>
      </c>
      <c r="AN181" s="254">
        <v>0</v>
      </c>
      <c r="AO181" s="254">
        <v>0</v>
      </c>
      <c r="AP181" s="254">
        <v>0</v>
      </c>
      <c r="AQ181" s="254">
        <v>0</v>
      </c>
      <c r="AR181" s="254">
        <v>0</v>
      </c>
      <c r="AS181" s="254">
        <v>0</v>
      </c>
      <c r="AT181" s="254">
        <v>0</v>
      </c>
      <c r="AU181" s="254">
        <v>0</v>
      </c>
      <c r="AV181" s="254">
        <v>0</v>
      </c>
      <c r="AW181" s="254">
        <v>0</v>
      </c>
      <c r="AX181" s="254">
        <v>0</v>
      </c>
      <c r="AY181" s="254">
        <v>0</v>
      </c>
      <c r="AZ181" s="254">
        <v>0</v>
      </c>
      <c r="BA181" s="254">
        <v>0</v>
      </c>
      <c r="BB181" s="254">
        <v>0</v>
      </c>
      <c r="BC181" s="254">
        <v>0</v>
      </c>
      <c r="BD181" s="254">
        <v>0</v>
      </c>
      <c r="BE181" s="254">
        <v>0</v>
      </c>
      <c r="BF181" s="254">
        <v>0</v>
      </c>
    </row>
    <row r="182" spans="1:58" x14ac:dyDescent="0.3">
      <c r="A182" s="262" t="s">
        <v>941</v>
      </c>
      <c r="B182" s="253" t="s">
        <v>784</v>
      </c>
      <c r="C182" s="253" t="s">
        <v>784</v>
      </c>
      <c r="D182" s="254">
        <v>0</v>
      </c>
      <c r="E182" s="254">
        <v>0</v>
      </c>
      <c r="F182" s="254">
        <v>0</v>
      </c>
      <c r="G182" s="254">
        <v>0</v>
      </c>
      <c r="H182" s="254">
        <v>0</v>
      </c>
      <c r="I182" s="254">
        <v>0</v>
      </c>
      <c r="J182" s="254">
        <v>0</v>
      </c>
      <c r="K182" s="254">
        <v>0</v>
      </c>
      <c r="L182" s="254">
        <v>0</v>
      </c>
      <c r="M182" s="254">
        <v>0</v>
      </c>
      <c r="N182" s="254">
        <v>0</v>
      </c>
      <c r="O182" s="254">
        <v>0</v>
      </c>
      <c r="P182" s="254">
        <v>0</v>
      </c>
      <c r="Q182" s="254">
        <v>0</v>
      </c>
      <c r="R182" s="254">
        <v>0</v>
      </c>
      <c r="S182" s="254">
        <v>0</v>
      </c>
      <c r="T182" s="254">
        <v>0</v>
      </c>
      <c r="U182" s="254">
        <v>0</v>
      </c>
      <c r="V182" s="254">
        <v>0</v>
      </c>
      <c r="W182" s="254">
        <v>0</v>
      </c>
      <c r="X182" s="254">
        <v>0</v>
      </c>
      <c r="Y182" s="254">
        <v>0</v>
      </c>
      <c r="Z182" s="254">
        <v>0</v>
      </c>
      <c r="AA182" s="254">
        <v>0</v>
      </c>
      <c r="AB182" s="254">
        <v>0</v>
      </c>
      <c r="AC182" s="254">
        <v>0</v>
      </c>
      <c r="AD182" s="254">
        <v>0</v>
      </c>
      <c r="AE182" s="254">
        <v>0</v>
      </c>
      <c r="AF182" s="254">
        <v>0</v>
      </c>
      <c r="AG182" s="254">
        <v>0</v>
      </c>
      <c r="AH182" s="254">
        <v>0</v>
      </c>
      <c r="AI182" s="254">
        <v>0</v>
      </c>
      <c r="AJ182" s="254">
        <v>0</v>
      </c>
      <c r="AK182" s="254">
        <v>0</v>
      </c>
      <c r="AL182" s="254">
        <v>0</v>
      </c>
      <c r="AM182" s="254">
        <v>0</v>
      </c>
      <c r="AN182" s="254">
        <v>0</v>
      </c>
      <c r="AO182" s="254">
        <v>0</v>
      </c>
      <c r="AP182" s="254">
        <v>0</v>
      </c>
      <c r="AQ182" s="254">
        <v>0</v>
      </c>
      <c r="AR182" s="254">
        <v>0</v>
      </c>
      <c r="AS182" s="254">
        <v>0</v>
      </c>
      <c r="AT182" s="254">
        <v>0</v>
      </c>
      <c r="AU182" s="254">
        <v>0</v>
      </c>
      <c r="AV182" s="254">
        <v>0</v>
      </c>
      <c r="AW182" s="254">
        <v>0</v>
      </c>
      <c r="AX182" s="254">
        <v>0</v>
      </c>
      <c r="AY182" s="254">
        <v>0</v>
      </c>
      <c r="AZ182" s="254">
        <v>0</v>
      </c>
      <c r="BA182" s="254">
        <v>0</v>
      </c>
      <c r="BB182" s="254">
        <v>0</v>
      </c>
      <c r="BC182" s="254">
        <v>0</v>
      </c>
      <c r="BD182" s="254">
        <v>0</v>
      </c>
      <c r="BE182" s="254">
        <v>0</v>
      </c>
      <c r="BF182" s="254">
        <v>0</v>
      </c>
    </row>
    <row r="183" spans="1:58" x14ac:dyDescent="0.3">
      <c r="A183" s="262" t="s">
        <v>942</v>
      </c>
      <c r="B183" s="253" t="s">
        <v>784</v>
      </c>
      <c r="C183" s="253" t="s">
        <v>784</v>
      </c>
      <c r="D183" s="254">
        <v>0</v>
      </c>
      <c r="E183" s="254">
        <v>0</v>
      </c>
      <c r="F183" s="254">
        <v>0</v>
      </c>
      <c r="G183" s="254">
        <v>0</v>
      </c>
      <c r="H183" s="254">
        <v>0</v>
      </c>
      <c r="I183" s="254">
        <v>0</v>
      </c>
      <c r="J183" s="254">
        <v>0</v>
      </c>
      <c r="K183" s="254">
        <v>0</v>
      </c>
      <c r="L183" s="254">
        <v>0</v>
      </c>
      <c r="M183" s="254">
        <v>0</v>
      </c>
      <c r="N183" s="254">
        <v>0</v>
      </c>
      <c r="O183" s="254">
        <v>0</v>
      </c>
      <c r="P183" s="254">
        <v>0</v>
      </c>
      <c r="Q183" s="254">
        <v>0</v>
      </c>
      <c r="R183" s="254">
        <v>0</v>
      </c>
      <c r="S183" s="254">
        <v>0</v>
      </c>
      <c r="T183" s="254">
        <v>0</v>
      </c>
      <c r="U183" s="254">
        <v>0</v>
      </c>
      <c r="V183" s="254">
        <v>0</v>
      </c>
      <c r="W183" s="254">
        <v>0</v>
      </c>
      <c r="X183" s="254">
        <v>0</v>
      </c>
      <c r="Y183" s="254">
        <v>0</v>
      </c>
      <c r="Z183" s="254">
        <v>0</v>
      </c>
      <c r="AA183" s="254">
        <v>0</v>
      </c>
      <c r="AB183" s="254">
        <v>0</v>
      </c>
      <c r="AC183" s="254">
        <v>0</v>
      </c>
      <c r="AD183" s="254">
        <v>0</v>
      </c>
      <c r="AE183" s="254">
        <v>0</v>
      </c>
      <c r="AF183" s="254">
        <v>0</v>
      </c>
      <c r="AG183" s="254">
        <v>0</v>
      </c>
      <c r="AH183" s="254">
        <v>0</v>
      </c>
      <c r="AI183" s="254">
        <v>0</v>
      </c>
      <c r="AJ183" s="254">
        <v>0</v>
      </c>
      <c r="AK183" s="254">
        <v>0</v>
      </c>
      <c r="AL183" s="254">
        <v>0</v>
      </c>
      <c r="AM183" s="254">
        <v>0</v>
      </c>
      <c r="AN183" s="254">
        <v>0</v>
      </c>
      <c r="AO183" s="254">
        <v>0</v>
      </c>
      <c r="AP183" s="254">
        <v>0</v>
      </c>
      <c r="AQ183" s="254">
        <v>0</v>
      </c>
      <c r="AR183" s="254">
        <v>0</v>
      </c>
      <c r="AS183" s="254">
        <v>0</v>
      </c>
      <c r="AT183" s="254">
        <v>0</v>
      </c>
      <c r="AU183" s="254">
        <v>0</v>
      </c>
      <c r="AV183" s="254">
        <v>0</v>
      </c>
      <c r="AW183" s="254">
        <v>0</v>
      </c>
      <c r="AX183" s="254">
        <v>0</v>
      </c>
      <c r="AY183" s="254">
        <v>0</v>
      </c>
      <c r="AZ183" s="254">
        <v>0</v>
      </c>
      <c r="BA183" s="254">
        <v>0</v>
      </c>
      <c r="BB183" s="254">
        <v>0</v>
      </c>
      <c r="BC183" s="254">
        <v>0</v>
      </c>
      <c r="BD183" s="254">
        <v>-426401</v>
      </c>
      <c r="BE183" s="254">
        <v>-426401</v>
      </c>
      <c r="BF183" s="254">
        <v>0</v>
      </c>
    </row>
    <row r="184" spans="1:58" x14ac:dyDescent="0.3">
      <c r="A184" s="262" t="s">
        <v>790</v>
      </c>
      <c r="B184" s="253" t="s">
        <v>784</v>
      </c>
      <c r="C184" s="253" t="s">
        <v>784</v>
      </c>
      <c r="D184" s="254">
        <v>0</v>
      </c>
      <c r="E184" s="254">
        <v>0</v>
      </c>
      <c r="F184" s="254">
        <v>0</v>
      </c>
      <c r="G184" s="254">
        <v>0</v>
      </c>
      <c r="H184" s="254">
        <v>0</v>
      </c>
      <c r="I184" s="254">
        <v>0</v>
      </c>
      <c r="J184" s="254">
        <v>0</v>
      </c>
      <c r="K184" s="254">
        <v>0</v>
      </c>
      <c r="L184" s="254">
        <v>0</v>
      </c>
      <c r="M184" s="254">
        <v>0</v>
      </c>
      <c r="N184" s="254">
        <v>0</v>
      </c>
      <c r="O184" s="254">
        <v>0</v>
      </c>
      <c r="P184" s="254">
        <v>0</v>
      </c>
      <c r="Q184" s="254">
        <v>0</v>
      </c>
      <c r="R184" s="254">
        <v>0</v>
      </c>
      <c r="S184" s="254">
        <v>0</v>
      </c>
      <c r="T184" s="254">
        <v>0</v>
      </c>
      <c r="U184" s="254">
        <v>0</v>
      </c>
      <c r="V184" s="254">
        <v>0</v>
      </c>
      <c r="W184" s="254">
        <v>0</v>
      </c>
      <c r="X184" s="254">
        <v>0</v>
      </c>
      <c r="Y184" s="254">
        <v>0</v>
      </c>
      <c r="Z184" s="254">
        <v>0</v>
      </c>
      <c r="AA184" s="254">
        <v>0</v>
      </c>
      <c r="AB184" s="254">
        <v>0</v>
      </c>
      <c r="AC184" s="254">
        <v>0</v>
      </c>
      <c r="AD184" s="254">
        <v>0</v>
      </c>
      <c r="AE184" s="254">
        <v>0</v>
      </c>
      <c r="AF184" s="254">
        <v>0</v>
      </c>
      <c r="AG184" s="254">
        <v>0</v>
      </c>
      <c r="AH184" s="254">
        <v>0</v>
      </c>
      <c r="AI184" s="254">
        <v>0</v>
      </c>
      <c r="AJ184" s="254">
        <v>0</v>
      </c>
      <c r="AK184" s="254">
        <v>0</v>
      </c>
      <c r="AL184" s="254">
        <v>0</v>
      </c>
      <c r="AM184" s="254">
        <v>0</v>
      </c>
      <c r="AN184" s="254">
        <v>0</v>
      </c>
      <c r="AO184" s="254">
        <v>0</v>
      </c>
      <c r="AP184" s="254">
        <v>0</v>
      </c>
      <c r="AQ184" s="254">
        <v>0</v>
      </c>
      <c r="AR184" s="254">
        <v>0</v>
      </c>
      <c r="AS184" s="254">
        <v>0</v>
      </c>
      <c r="AT184" s="254">
        <v>0</v>
      </c>
      <c r="AU184" s="254">
        <v>0</v>
      </c>
      <c r="AV184" s="254">
        <v>0</v>
      </c>
      <c r="AW184" s="254">
        <v>0</v>
      </c>
      <c r="AX184" s="254">
        <v>181957</v>
      </c>
      <c r="AY184" s="254">
        <v>181957</v>
      </c>
      <c r="AZ184" s="254">
        <v>181957</v>
      </c>
      <c r="BA184" s="254">
        <v>181957</v>
      </c>
      <c r="BB184" s="254">
        <v>3437642</v>
      </c>
      <c r="BC184" s="254">
        <v>3427071</v>
      </c>
      <c r="BD184" s="254">
        <v>3427071</v>
      </c>
      <c r="BE184" s="254">
        <v>3427071</v>
      </c>
      <c r="BF184" s="254">
        <v>8358503</v>
      </c>
    </row>
    <row r="185" spans="1:58" x14ac:dyDescent="0.3">
      <c r="A185" s="260" t="s">
        <v>943</v>
      </c>
      <c r="B185" s="256">
        <v>-12635</v>
      </c>
      <c r="C185" s="256">
        <v>-31974</v>
      </c>
      <c r="D185" s="256">
        <v>-51195</v>
      </c>
      <c r="E185" s="256">
        <v>-82231</v>
      </c>
      <c r="F185" s="256">
        <v>-155005</v>
      </c>
      <c r="G185" s="256">
        <v>-168857</v>
      </c>
      <c r="H185" s="256">
        <v>-222026</v>
      </c>
      <c r="I185" s="256">
        <v>-323352</v>
      </c>
      <c r="J185" s="256">
        <v>-459040</v>
      </c>
      <c r="K185" s="256">
        <v>-405755</v>
      </c>
      <c r="L185" s="256">
        <v>-456358</v>
      </c>
      <c r="M185" s="256">
        <v>-596559</v>
      </c>
      <c r="N185" s="256">
        <v>-736606</v>
      </c>
      <c r="O185" s="256">
        <v>-835787</v>
      </c>
      <c r="P185" s="256">
        <v>-1381845</v>
      </c>
      <c r="Q185" s="256">
        <v>-2106089</v>
      </c>
      <c r="R185" s="256">
        <v>-2974476</v>
      </c>
      <c r="S185" s="256">
        <v>-2972777</v>
      </c>
      <c r="T185" s="256">
        <v>-2963034</v>
      </c>
      <c r="U185" s="256">
        <v>-2953498</v>
      </c>
      <c r="V185" s="256">
        <v>-3977549</v>
      </c>
      <c r="W185" s="256">
        <v>-4031088</v>
      </c>
      <c r="X185" s="256">
        <v>-3020446</v>
      </c>
      <c r="Y185" s="256">
        <v>-3020411</v>
      </c>
      <c r="Z185" s="256">
        <v>-2840251</v>
      </c>
      <c r="AA185" s="256">
        <v>-2905637</v>
      </c>
      <c r="AB185" s="256">
        <v>-2956659</v>
      </c>
      <c r="AC185" s="256">
        <v>-2885189</v>
      </c>
      <c r="AD185" s="256">
        <v>-2598628</v>
      </c>
      <c r="AE185" s="256">
        <v>-2594610</v>
      </c>
      <c r="AF185" s="256">
        <v>-2547504</v>
      </c>
      <c r="AG185" s="256">
        <v>-2531122</v>
      </c>
      <c r="AH185" s="256">
        <v>-2579073</v>
      </c>
      <c r="AI185" s="256">
        <v>-2545083</v>
      </c>
      <c r="AJ185" s="256">
        <v>-2474524</v>
      </c>
      <c r="AK185" s="256">
        <v>-2403065</v>
      </c>
      <c r="AL185" s="256">
        <v>-2342902</v>
      </c>
      <c r="AM185" s="256">
        <v>-2396581</v>
      </c>
      <c r="AN185" s="256">
        <v>-2330919</v>
      </c>
      <c r="AO185" s="256">
        <v>-2324981</v>
      </c>
      <c r="AP185" s="256">
        <v>-1530431</v>
      </c>
      <c r="AQ185" s="256">
        <v>-1591892</v>
      </c>
      <c r="AR185" s="256">
        <v>-1691694</v>
      </c>
      <c r="AS185" s="256">
        <v>-1802292</v>
      </c>
      <c r="AT185" s="256">
        <v>-1077665</v>
      </c>
      <c r="AU185" s="256">
        <v>-1143456</v>
      </c>
      <c r="AV185" s="256">
        <v>-722554</v>
      </c>
      <c r="AW185" s="256">
        <v>-625450</v>
      </c>
      <c r="AX185" s="256">
        <v>0</v>
      </c>
      <c r="AY185" s="256">
        <v>1068970</v>
      </c>
      <c r="AZ185" s="256">
        <v>1708050</v>
      </c>
      <c r="BA185" s="256">
        <v>2500364</v>
      </c>
      <c r="BB185" s="256">
        <v>0</v>
      </c>
      <c r="BC185" s="256">
        <v>1162065</v>
      </c>
      <c r="BD185" s="256">
        <v>2003034</v>
      </c>
      <c r="BE185" s="256">
        <v>3631858</v>
      </c>
      <c r="BF185" s="256">
        <v>0</v>
      </c>
    </row>
    <row r="186" spans="1:58" x14ac:dyDescent="0.3">
      <c r="A186" s="260" t="s">
        <v>944</v>
      </c>
      <c r="B186" s="261" t="s">
        <v>784</v>
      </c>
      <c r="C186" s="261" t="s">
        <v>784</v>
      </c>
      <c r="D186" s="261" t="s">
        <v>784</v>
      </c>
      <c r="E186" s="261" t="s">
        <v>784</v>
      </c>
      <c r="F186" s="256">
        <v>49925</v>
      </c>
      <c r="G186" s="256">
        <v>43319</v>
      </c>
      <c r="H186" s="256">
        <v>38504</v>
      </c>
      <c r="I186" s="256">
        <v>87577</v>
      </c>
      <c r="J186" s="256">
        <v>104310</v>
      </c>
      <c r="K186" s="256">
        <v>86806</v>
      </c>
      <c r="L186" s="256">
        <v>67941</v>
      </c>
      <c r="M186" s="256">
        <v>85987</v>
      </c>
      <c r="N186" s="256">
        <v>161939</v>
      </c>
      <c r="O186" s="256">
        <v>174304</v>
      </c>
      <c r="P186" s="256">
        <v>374812</v>
      </c>
      <c r="Q186" s="256">
        <v>232595</v>
      </c>
      <c r="R186" s="256">
        <v>190955</v>
      </c>
      <c r="S186" s="256">
        <v>204756</v>
      </c>
      <c r="T186" s="256">
        <v>195772</v>
      </c>
      <c r="U186" s="256">
        <v>230564</v>
      </c>
      <c r="V186" s="256">
        <v>361162</v>
      </c>
      <c r="W186" s="256">
        <v>420536</v>
      </c>
      <c r="X186" s="256">
        <v>315406</v>
      </c>
      <c r="Y186" s="256">
        <v>412309</v>
      </c>
      <c r="Z186" s="256">
        <v>0</v>
      </c>
      <c r="AA186" s="256">
        <v>11490</v>
      </c>
      <c r="AB186" s="256">
        <v>19115</v>
      </c>
      <c r="AC186" s="256">
        <v>19103</v>
      </c>
      <c r="AD186" s="256">
        <v>4985</v>
      </c>
      <c r="AE186" s="256">
        <v>80421</v>
      </c>
      <c r="AF186" s="256">
        <v>54858</v>
      </c>
      <c r="AG186" s="256">
        <v>96222</v>
      </c>
      <c r="AH186" s="256">
        <v>26698</v>
      </c>
      <c r="AI186" s="256">
        <v>15141</v>
      </c>
      <c r="AJ186" s="256">
        <v>-2838</v>
      </c>
      <c r="AK186" s="256">
        <v>-64408</v>
      </c>
      <c r="AL186" s="256">
        <v>-75856</v>
      </c>
      <c r="AM186" s="256">
        <v>-57735</v>
      </c>
      <c r="AN186" s="256">
        <v>-71873</v>
      </c>
      <c r="AO186" s="256">
        <v>-63275</v>
      </c>
      <c r="AP186" s="256">
        <v>0</v>
      </c>
      <c r="AQ186" s="256">
        <v>0</v>
      </c>
      <c r="AR186" s="256">
        <v>0</v>
      </c>
      <c r="AS186" s="256">
        <v>0</v>
      </c>
      <c r="AT186" s="256">
        <v>0</v>
      </c>
      <c r="AU186" s="256">
        <v>0</v>
      </c>
      <c r="AV186" s="256">
        <v>0</v>
      </c>
      <c r="AW186" s="256">
        <v>0</v>
      </c>
      <c r="AX186" s="256">
        <v>0</v>
      </c>
      <c r="AY186" s="256">
        <v>0</v>
      </c>
      <c r="AZ186" s="256">
        <v>0</v>
      </c>
      <c r="BA186" s="256">
        <v>-39329</v>
      </c>
      <c r="BB186" s="256">
        <v>-89310</v>
      </c>
      <c r="BC186" s="256">
        <v>-49500</v>
      </c>
      <c r="BD186" s="256">
        <v>101088</v>
      </c>
      <c r="BE186" s="256">
        <v>92221</v>
      </c>
      <c r="BF186" s="256">
        <v>80284</v>
      </c>
    </row>
    <row r="187" spans="1:58" x14ac:dyDescent="0.3">
      <c r="A187" s="260" t="s">
        <v>945</v>
      </c>
      <c r="B187" s="261" t="s">
        <v>784</v>
      </c>
      <c r="C187" s="261" t="s">
        <v>784</v>
      </c>
      <c r="D187" s="261" t="s">
        <v>784</v>
      </c>
      <c r="E187" s="261" t="s">
        <v>784</v>
      </c>
      <c r="F187" s="256">
        <v>0</v>
      </c>
      <c r="G187" s="256">
        <v>0</v>
      </c>
      <c r="H187" s="256">
        <v>0</v>
      </c>
      <c r="I187" s="256">
        <v>0</v>
      </c>
      <c r="J187" s="256">
        <v>0</v>
      </c>
      <c r="K187" s="256">
        <v>0</v>
      </c>
      <c r="L187" s="256">
        <v>0</v>
      </c>
      <c r="M187" s="256">
        <v>0</v>
      </c>
      <c r="N187" s="256">
        <v>0</v>
      </c>
      <c r="O187" s="256">
        <v>0</v>
      </c>
      <c r="P187" s="256">
        <v>0</v>
      </c>
      <c r="Q187" s="256">
        <v>0</v>
      </c>
      <c r="R187" s="256">
        <v>0</v>
      </c>
      <c r="S187" s="256">
        <v>0</v>
      </c>
      <c r="T187" s="256">
        <v>0</v>
      </c>
      <c r="U187" s="256">
        <v>0</v>
      </c>
      <c r="V187" s="256">
        <v>0</v>
      </c>
      <c r="W187" s="256">
        <v>0</v>
      </c>
      <c r="X187" s="256">
        <v>0</v>
      </c>
      <c r="Y187" s="256">
        <v>0</v>
      </c>
      <c r="Z187" s="256">
        <v>387451</v>
      </c>
      <c r="AA187" s="256">
        <v>362228</v>
      </c>
      <c r="AB187" s="256">
        <v>345134</v>
      </c>
      <c r="AC187" s="256">
        <v>346702</v>
      </c>
      <c r="AD187" s="256">
        <v>61704</v>
      </c>
      <c r="AE187" s="256">
        <v>57083</v>
      </c>
      <c r="AF187" s="256">
        <v>64635</v>
      </c>
      <c r="AG187" s="256">
        <v>58656</v>
      </c>
      <c r="AH187" s="256">
        <v>65102</v>
      </c>
      <c r="AI187" s="256">
        <v>64951</v>
      </c>
      <c r="AJ187" s="256">
        <v>96185</v>
      </c>
      <c r="AK187" s="256">
        <v>103494</v>
      </c>
      <c r="AL187" s="256">
        <v>94057</v>
      </c>
      <c r="AM187" s="256">
        <v>111627</v>
      </c>
      <c r="AN187" s="256">
        <v>100702</v>
      </c>
      <c r="AO187" s="256">
        <v>196439</v>
      </c>
      <c r="AP187" s="256">
        <v>150335</v>
      </c>
      <c r="AQ187" s="256">
        <v>597260</v>
      </c>
      <c r="AR187" s="256">
        <v>713624</v>
      </c>
      <c r="AS187" s="256">
        <v>783746</v>
      </c>
      <c r="AT187" s="256">
        <v>579820</v>
      </c>
      <c r="AU187" s="256">
        <v>851426</v>
      </c>
      <c r="AV187" s="256">
        <v>518373</v>
      </c>
      <c r="AW187" s="256">
        <v>669847</v>
      </c>
      <c r="AX187" s="256">
        <v>712338</v>
      </c>
      <c r="AY187" s="256">
        <v>-275672</v>
      </c>
      <c r="AZ187" s="256">
        <v>517614</v>
      </c>
      <c r="BA187" s="256">
        <v>820166</v>
      </c>
      <c r="BB187" s="256">
        <v>601773</v>
      </c>
      <c r="BC187" s="256">
        <v>281265</v>
      </c>
      <c r="BD187" s="256">
        <v>-237675</v>
      </c>
      <c r="BE187" s="256">
        <v>272333</v>
      </c>
      <c r="BF187" s="256">
        <v>-184660</v>
      </c>
    </row>
    <row r="188" spans="1:58" x14ac:dyDescent="0.3">
      <c r="A188" s="260" t="s">
        <v>946</v>
      </c>
      <c r="B188" s="261" t="s">
        <v>784</v>
      </c>
      <c r="C188" s="261" t="s">
        <v>784</v>
      </c>
      <c r="D188" s="261" t="s">
        <v>784</v>
      </c>
      <c r="E188" s="261" t="s">
        <v>784</v>
      </c>
      <c r="F188" s="256">
        <v>0</v>
      </c>
      <c r="G188" s="256">
        <v>0</v>
      </c>
      <c r="H188" s="256">
        <v>0</v>
      </c>
      <c r="I188" s="256">
        <v>0</v>
      </c>
      <c r="J188" s="256">
        <v>0</v>
      </c>
      <c r="K188" s="256">
        <v>0</v>
      </c>
      <c r="L188" s="256">
        <v>0</v>
      </c>
      <c r="M188" s="256">
        <v>0</v>
      </c>
      <c r="N188" s="256">
        <v>0</v>
      </c>
      <c r="O188" s="256">
        <v>0</v>
      </c>
      <c r="P188" s="256">
        <v>0</v>
      </c>
      <c r="Q188" s="256">
        <v>0</v>
      </c>
      <c r="R188" s="256">
        <v>0</v>
      </c>
      <c r="S188" s="256">
        <v>0</v>
      </c>
      <c r="T188" s="256">
        <v>0</v>
      </c>
      <c r="U188" s="256">
        <v>0</v>
      </c>
      <c r="V188" s="256">
        <v>0</v>
      </c>
      <c r="W188" s="256">
        <v>0</v>
      </c>
      <c r="X188" s="256">
        <v>0</v>
      </c>
      <c r="Y188" s="256">
        <v>0</v>
      </c>
      <c r="Z188" s="256">
        <v>0</v>
      </c>
      <c r="AA188" s="256">
        <v>0</v>
      </c>
      <c r="AB188" s="256">
        <v>0</v>
      </c>
      <c r="AC188" s="256">
        <v>0</v>
      </c>
      <c r="AD188" s="256">
        <v>0</v>
      </c>
      <c r="AE188" s="256">
        <v>0</v>
      </c>
      <c r="AF188" s="256">
        <v>0</v>
      </c>
      <c r="AG188" s="256">
        <v>0</v>
      </c>
      <c r="AH188" s="256">
        <v>0</v>
      </c>
      <c r="AI188" s="256">
        <v>0</v>
      </c>
      <c r="AJ188" s="256">
        <v>0</v>
      </c>
      <c r="AK188" s="256">
        <v>0</v>
      </c>
      <c r="AL188" s="256">
        <v>0</v>
      </c>
      <c r="AM188" s="256">
        <v>0</v>
      </c>
      <c r="AN188" s="256">
        <v>0</v>
      </c>
      <c r="AO188" s="256">
        <v>0</v>
      </c>
      <c r="AP188" s="256">
        <v>0</v>
      </c>
      <c r="AQ188" s="256">
        <v>0</v>
      </c>
      <c r="AR188" s="256">
        <v>0</v>
      </c>
      <c r="AS188" s="256">
        <v>0</v>
      </c>
      <c r="AT188" s="256">
        <v>0</v>
      </c>
      <c r="AU188" s="256">
        <v>0</v>
      </c>
      <c r="AV188" s="256">
        <v>0</v>
      </c>
      <c r="AW188" s="256">
        <v>0</v>
      </c>
      <c r="AX188" s="256">
        <v>0</v>
      </c>
      <c r="AY188" s="256">
        <v>0</v>
      </c>
      <c r="AZ188" s="256">
        <v>0</v>
      </c>
      <c r="BA188" s="256">
        <v>0</v>
      </c>
      <c r="BB188" s="256">
        <v>0</v>
      </c>
      <c r="BC188" s="256">
        <v>0</v>
      </c>
      <c r="BD188" s="256">
        <v>0</v>
      </c>
      <c r="BE188" s="256">
        <v>0</v>
      </c>
      <c r="BF188" s="256">
        <v>0</v>
      </c>
    </row>
    <row r="189" spans="1:58" x14ac:dyDescent="0.3">
      <c r="A189" s="252"/>
      <c r="B189" s="253"/>
      <c r="C189" s="253"/>
      <c r="D189" s="253"/>
      <c r="E189" s="253"/>
      <c r="F189" s="253"/>
      <c r="G189" s="253"/>
      <c r="H189" s="253"/>
      <c r="I189" s="253"/>
      <c r="J189" s="253"/>
      <c r="K189" s="253"/>
      <c r="L189" s="253"/>
      <c r="M189" s="253"/>
      <c r="N189" s="253"/>
      <c r="O189" s="253"/>
      <c r="P189" s="253"/>
      <c r="Q189" s="253"/>
      <c r="R189" s="253"/>
      <c r="S189" s="253"/>
      <c r="T189" s="253"/>
      <c r="U189" s="253"/>
      <c r="V189" s="253"/>
      <c r="W189" s="253"/>
      <c r="X189" s="253"/>
      <c r="Y189" s="253"/>
      <c r="Z189" s="253"/>
      <c r="AA189" s="253"/>
      <c r="AB189" s="253"/>
      <c r="AC189" s="253"/>
      <c r="AD189" s="253"/>
      <c r="AE189" s="253"/>
      <c r="AF189" s="253"/>
      <c r="AG189" s="253"/>
      <c r="AH189" s="253"/>
      <c r="AI189" s="253"/>
      <c r="AJ189" s="253"/>
      <c r="AK189" s="253"/>
      <c r="AL189" s="253"/>
      <c r="AM189" s="253"/>
      <c r="AN189" s="253"/>
      <c r="AO189" s="253"/>
      <c r="AP189" s="253"/>
      <c r="AQ189" s="253"/>
      <c r="AR189" s="253"/>
      <c r="AS189" s="253"/>
      <c r="AT189" s="253"/>
      <c r="AU189" s="253"/>
      <c r="AV189" s="253"/>
      <c r="AW189" s="253"/>
      <c r="AX189" s="253"/>
      <c r="AY189" s="253"/>
      <c r="AZ189" s="253"/>
      <c r="BA189" s="253"/>
      <c r="BB189" s="253"/>
      <c r="BC189" s="253"/>
      <c r="BD189" s="253"/>
      <c r="BE189" s="253"/>
      <c r="BF189" s="253"/>
    </row>
    <row r="190" spans="1:58" x14ac:dyDescent="0.3">
      <c r="A190" s="252" t="s">
        <v>947</v>
      </c>
      <c r="B190" s="253" t="s">
        <v>5</v>
      </c>
      <c r="C190" s="253" t="s">
        <v>5</v>
      </c>
      <c r="D190" s="253" t="s">
        <v>5</v>
      </c>
      <c r="E190" s="253" t="s">
        <v>5</v>
      </c>
      <c r="F190" s="253" t="s">
        <v>5</v>
      </c>
      <c r="G190" s="253" t="s">
        <v>5</v>
      </c>
      <c r="H190" s="253" t="s">
        <v>5</v>
      </c>
      <c r="I190" s="253" t="s">
        <v>5</v>
      </c>
      <c r="J190" s="253" t="s">
        <v>5</v>
      </c>
      <c r="K190" s="253" t="s">
        <v>5</v>
      </c>
      <c r="L190" s="253" t="s">
        <v>5</v>
      </c>
      <c r="M190" s="253" t="s">
        <v>5</v>
      </c>
      <c r="N190" s="253" t="s">
        <v>5</v>
      </c>
      <c r="O190" s="253" t="s">
        <v>5</v>
      </c>
      <c r="P190" s="253" t="s">
        <v>5</v>
      </c>
      <c r="Q190" s="253" t="s">
        <v>5</v>
      </c>
      <c r="R190" s="253" t="s">
        <v>5</v>
      </c>
      <c r="S190" s="253" t="s">
        <v>5</v>
      </c>
      <c r="T190" s="253" t="s">
        <v>5</v>
      </c>
      <c r="U190" s="253" t="s">
        <v>5</v>
      </c>
      <c r="V190" s="253" t="s">
        <v>5</v>
      </c>
      <c r="W190" s="253" t="s">
        <v>5</v>
      </c>
      <c r="X190" s="253" t="s">
        <v>5</v>
      </c>
      <c r="Y190" s="253" t="s">
        <v>5</v>
      </c>
      <c r="Z190" s="253" t="s">
        <v>5</v>
      </c>
      <c r="AA190" s="253" t="s">
        <v>5</v>
      </c>
      <c r="AB190" s="253" t="s">
        <v>5</v>
      </c>
      <c r="AC190" s="253" t="s">
        <v>5</v>
      </c>
      <c r="AD190" s="253" t="s">
        <v>5</v>
      </c>
      <c r="AE190" s="253" t="s">
        <v>5</v>
      </c>
      <c r="AF190" s="253" t="s">
        <v>5</v>
      </c>
      <c r="AG190" s="253" t="s">
        <v>5</v>
      </c>
      <c r="AH190" s="253" t="s">
        <v>5</v>
      </c>
      <c r="AI190" s="253" t="s">
        <v>5</v>
      </c>
      <c r="AJ190" s="253" t="s">
        <v>5</v>
      </c>
      <c r="AK190" s="253" t="s">
        <v>5</v>
      </c>
      <c r="AL190" s="253" t="s">
        <v>5</v>
      </c>
      <c r="AM190" s="253" t="s">
        <v>5</v>
      </c>
      <c r="AN190" s="253" t="s">
        <v>5</v>
      </c>
      <c r="AO190" s="253" t="s">
        <v>5</v>
      </c>
      <c r="AP190" s="253" t="s">
        <v>5</v>
      </c>
      <c r="AQ190" s="253" t="s">
        <v>5</v>
      </c>
      <c r="AR190" s="253" t="s">
        <v>5</v>
      </c>
      <c r="AS190" s="253" t="s">
        <v>5</v>
      </c>
      <c r="AT190" s="253" t="s">
        <v>5</v>
      </c>
      <c r="AU190" s="253" t="s">
        <v>5</v>
      </c>
      <c r="AV190" s="253" t="s">
        <v>5</v>
      </c>
      <c r="AW190" s="253" t="s">
        <v>5</v>
      </c>
      <c r="AX190" s="253" t="s">
        <v>5</v>
      </c>
      <c r="AY190" s="253" t="s">
        <v>5</v>
      </c>
      <c r="AZ190" s="253" t="s">
        <v>5</v>
      </c>
      <c r="BA190" s="253" t="s">
        <v>5</v>
      </c>
      <c r="BB190" s="253" t="s">
        <v>5</v>
      </c>
      <c r="BC190" s="253" t="s">
        <v>5</v>
      </c>
      <c r="BD190" s="253" t="s">
        <v>5</v>
      </c>
      <c r="BE190" s="253" t="s">
        <v>5</v>
      </c>
      <c r="BF190" s="253" t="s">
        <v>5</v>
      </c>
    </row>
    <row r="191" spans="1:58" x14ac:dyDescent="0.3">
      <c r="A191" s="252" t="s">
        <v>948</v>
      </c>
      <c r="B191" s="253">
        <v>12</v>
      </c>
      <c r="C191" s="253">
        <v>3</v>
      </c>
      <c r="D191" s="253">
        <v>6</v>
      </c>
      <c r="E191" s="253">
        <v>9</v>
      </c>
      <c r="F191" s="253">
        <v>12</v>
      </c>
      <c r="G191" s="253">
        <v>3</v>
      </c>
      <c r="H191" s="253">
        <v>6</v>
      </c>
      <c r="I191" s="253">
        <v>9</v>
      </c>
      <c r="J191" s="253">
        <v>12</v>
      </c>
      <c r="K191" s="253">
        <v>3</v>
      </c>
      <c r="L191" s="253">
        <v>6</v>
      </c>
      <c r="M191" s="253">
        <v>9</v>
      </c>
      <c r="N191" s="253">
        <v>12</v>
      </c>
      <c r="O191" s="253">
        <v>3</v>
      </c>
      <c r="P191" s="253">
        <v>6</v>
      </c>
      <c r="Q191" s="253">
        <v>9</v>
      </c>
      <c r="R191" s="253">
        <v>12</v>
      </c>
      <c r="S191" s="253">
        <v>3</v>
      </c>
      <c r="T191" s="253">
        <v>6</v>
      </c>
      <c r="U191" s="253">
        <v>9</v>
      </c>
      <c r="V191" s="253">
        <v>12</v>
      </c>
      <c r="W191" s="253">
        <v>3</v>
      </c>
      <c r="X191" s="253">
        <v>6</v>
      </c>
      <c r="Y191" s="253">
        <v>9</v>
      </c>
      <c r="Z191" s="253">
        <v>12</v>
      </c>
      <c r="AA191" s="253">
        <v>3</v>
      </c>
      <c r="AB191" s="253">
        <v>6</v>
      </c>
      <c r="AC191" s="253">
        <v>9</v>
      </c>
      <c r="AD191" s="253">
        <v>12</v>
      </c>
      <c r="AE191" s="253">
        <v>3</v>
      </c>
      <c r="AF191" s="253">
        <v>6</v>
      </c>
      <c r="AG191" s="253">
        <v>9</v>
      </c>
      <c r="AH191" s="253">
        <v>12</v>
      </c>
      <c r="AI191" s="253">
        <v>3</v>
      </c>
      <c r="AJ191" s="253">
        <v>6</v>
      </c>
      <c r="AK191" s="253">
        <v>9</v>
      </c>
      <c r="AL191" s="253">
        <v>12</v>
      </c>
      <c r="AM191" s="253">
        <v>3</v>
      </c>
      <c r="AN191" s="253">
        <v>6</v>
      </c>
      <c r="AO191" s="253">
        <v>9</v>
      </c>
      <c r="AP191" s="253">
        <v>12</v>
      </c>
      <c r="AQ191" s="253">
        <v>3</v>
      </c>
      <c r="AR191" s="253">
        <v>6</v>
      </c>
      <c r="AS191" s="253">
        <v>9</v>
      </c>
      <c r="AT191" s="253">
        <v>12</v>
      </c>
      <c r="AU191" s="253">
        <v>3</v>
      </c>
      <c r="AV191" s="253">
        <v>6</v>
      </c>
      <c r="AW191" s="253">
        <v>9</v>
      </c>
      <c r="AX191" s="253">
        <v>12</v>
      </c>
      <c r="AY191" s="253">
        <v>3</v>
      </c>
      <c r="AZ191" s="253">
        <v>6</v>
      </c>
      <c r="BA191" s="253">
        <v>9</v>
      </c>
      <c r="BB191" s="253">
        <v>12</v>
      </c>
      <c r="BC191" s="253">
        <v>3</v>
      </c>
      <c r="BD191" s="253">
        <v>6</v>
      </c>
      <c r="BE191" s="253">
        <v>9</v>
      </c>
      <c r="BF191" s="253">
        <v>12</v>
      </c>
    </row>
    <row r="192" spans="1:58" x14ac:dyDescent="0.3">
      <c r="A192" s="252"/>
      <c r="B192" s="253"/>
      <c r="C192" s="253"/>
      <c r="D192" s="253"/>
      <c r="E192" s="253"/>
      <c r="F192" s="253"/>
      <c r="G192" s="253"/>
      <c r="H192" s="253"/>
      <c r="I192" s="253"/>
      <c r="J192" s="253"/>
      <c r="K192" s="253"/>
      <c r="L192" s="253"/>
      <c r="M192" s="253"/>
      <c r="N192" s="253"/>
      <c r="O192" s="253"/>
      <c r="P192" s="253"/>
      <c r="Q192" s="253"/>
      <c r="R192" s="253"/>
      <c r="S192" s="253"/>
      <c r="T192" s="253"/>
      <c r="U192" s="253"/>
      <c r="V192" s="253"/>
      <c r="W192" s="253"/>
      <c r="X192" s="253"/>
      <c r="Y192" s="253"/>
      <c r="Z192" s="253"/>
      <c r="AA192" s="253"/>
      <c r="AB192" s="253"/>
      <c r="AC192" s="253"/>
      <c r="AD192" s="253"/>
      <c r="AE192" s="253"/>
      <c r="AF192" s="253"/>
      <c r="AG192" s="253"/>
      <c r="AH192" s="253"/>
      <c r="AI192" s="253"/>
      <c r="AJ192" s="253"/>
      <c r="AK192" s="253"/>
      <c r="AL192" s="253"/>
      <c r="AM192" s="253"/>
      <c r="AN192" s="253"/>
      <c r="AO192" s="253"/>
      <c r="AP192" s="253"/>
      <c r="AQ192" s="253"/>
      <c r="AR192" s="253"/>
      <c r="AS192" s="253"/>
      <c r="AT192" s="253"/>
      <c r="AU192" s="253"/>
      <c r="AV192" s="253"/>
      <c r="AW192" s="253"/>
      <c r="AX192" s="253"/>
      <c r="AY192" s="253"/>
      <c r="AZ192" s="253"/>
      <c r="BA192" s="253"/>
      <c r="BB192" s="253"/>
      <c r="BC192" s="253"/>
      <c r="BD192" s="253"/>
      <c r="BE192" s="253"/>
      <c r="BF192" s="254"/>
    </row>
    <row r="193" spans="1:61" x14ac:dyDescent="0.3">
      <c r="A193" s="252" t="s">
        <v>949</v>
      </c>
      <c r="B193" s="254">
        <v>15305</v>
      </c>
      <c r="C193" s="254">
        <v>1541</v>
      </c>
      <c r="D193" s="254">
        <v>6605</v>
      </c>
      <c r="E193" s="254">
        <v>9408</v>
      </c>
      <c r="F193" s="254">
        <v>15593</v>
      </c>
      <c r="G193" s="254">
        <v>353</v>
      </c>
      <c r="H193" s="254">
        <v>8193</v>
      </c>
      <c r="I193" s="254">
        <v>8307</v>
      </c>
      <c r="J193" s="254">
        <v>9937</v>
      </c>
      <c r="K193" s="254">
        <v>3150</v>
      </c>
      <c r="L193" s="254">
        <v>3714</v>
      </c>
      <c r="M193" s="254">
        <v>3795</v>
      </c>
      <c r="N193" s="254">
        <v>6746</v>
      </c>
      <c r="O193" s="254">
        <v>2143</v>
      </c>
      <c r="P193" s="254">
        <v>2995</v>
      </c>
      <c r="Q193" s="254">
        <v>5406</v>
      </c>
      <c r="R193" s="254">
        <v>4395</v>
      </c>
      <c r="S193" s="254">
        <v>143303</v>
      </c>
      <c r="T193" s="254">
        <v>280907</v>
      </c>
      <c r="U193" s="254">
        <v>405122</v>
      </c>
      <c r="V193" s="254">
        <v>486839</v>
      </c>
      <c r="W193" s="254">
        <v>4853</v>
      </c>
      <c r="X193" s="254">
        <v>101661</v>
      </c>
      <c r="Y193" s="254">
        <v>229602</v>
      </c>
      <c r="Z193" s="254">
        <v>253071</v>
      </c>
      <c r="AA193" s="254">
        <v>41509</v>
      </c>
      <c r="AB193" s="254">
        <v>144890</v>
      </c>
      <c r="AC193" s="254">
        <v>284132</v>
      </c>
      <c r="AD193" s="254">
        <v>397871</v>
      </c>
      <c r="AE193" s="254">
        <v>74786</v>
      </c>
      <c r="AF193" s="254">
        <v>230293</v>
      </c>
      <c r="AG193" s="254">
        <v>340307</v>
      </c>
      <c r="AH193" s="254">
        <v>533922</v>
      </c>
      <c r="AI193" s="254">
        <v>117155</v>
      </c>
      <c r="AJ193" s="254">
        <v>356560</v>
      </c>
      <c r="AK193" s="254">
        <v>581187</v>
      </c>
      <c r="AL193" s="254">
        <v>848920</v>
      </c>
      <c r="AM193" s="254">
        <v>139431</v>
      </c>
      <c r="AN193" s="254">
        <v>687306</v>
      </c>
      <c r="AO193" s="254">
        <v>1086351</v>
      </c>
      <c r="AP193" s="254">
        <v>1644346</v>
      </c>
      <c r="AQ193" s="254">
        <v>223162</v>
      </c>
      <c r="AR193" s="254">
        <v>535455</v>
      </c>
      <c r="AS193" s="254">
        <v>1024150</v>
      </c>
      <c r="AT193" s="254">
        <v>1904185</v>
      </c>
      <c r="AU193" s="254">
        <v>655334</v>
      </c>
      <c r="AV193" s="254">
        <v>1678171</v>
      </c>
      <c r="AW193" s="254">
        <v>2617688</v>
      </c>
      <c r="AX193" s="254">
        <v>4396003</v>
      </c>
      <c r="AY193" s="254">
        <v>1529995</v>
      </c>
      <c r="AZ193" s="254">
        <v>3403980</v>
      </c>
      <c r="BA193" s="254">
        <v>5389766</v>
      </c>
      <c r="BB193" s="254">
        <v>6363475</v>
      </c>
      <c r="BC193" s="254">
        <v>2814955</v>
      </c>
      <c r="BD193" s="254">
        <v>5126161</v>
      </c>
      <c r="BE193" s="254">
        <v>8909843</v>
      </c>
      <c r="BF193" s="254">
        <v>11905041</v>
      </c>
    </row>
    <row r="194" spans="1:61" x14ac:dyDescent="0.3">
      <c r="A194" s="252" t="s">
        <v>950</v>
      </c>
      <c r="B194" s="254">
        <v>1885</v>
      </c>
      <c r="C194" s="254">
        <v>4026</v>
      </c>
      <c r="D194" s="254">
        <v>7162</v>
      </c>
      <c r="E194" s="254">
        <v>11788</v>
      </c>
      <c r="F194" s="254">
        <v>14418</v>
      </c>
      <c r="G194" s="254">
        <v>2800</v>
      </c>
      <c r="H194" s="254">
        <v>5588</v>
      </c>
      <c r="I194" s="254">
        <v>6883</v>
      </c>
      <c r="J194" s="254">
        <v>9429</v>
      </c>
      <c r="K194" s="254">
        <v>707</v>
      </c>
      <c r="L194" s="254">
        <v>2569</v>
      </c>
      <c r="M194" s="254">
        <v>2495</v>
      </c>
      <c r="N194" s="254">
        <v>3123</v>
      </c>
      <c r="O194" s="254">
        <v>499</v>
      </c>
      <c r="P194" s="254">
        <v>1101</v>
      </c>
      <c r="Q194" s="254">
        <v>1832</v>
      </c>
      <c r="R194" s="254">
        <v>2267</v>
      </c>
      <c r="S194" s="254">
        <v>120006</v>
      </c>
      <c r="T194" s="254">
        <v>202451</v>
      </c>
      <c r="U194" s="254">
        <v>300619</v>
      </c>
      <c r="V194" s="254">
        <v>468078</v>
      </c>
      <c r="W194" s="254">
        <v>4037</v>
      </c>
      <c r="X194" s="254">
        <v>120278</v>
      </c>
      <c r="Y194" s="254">
        <v>277087</v>
      </c>
      <c r="Z194" s="254">
        <v>294457</v>
      </c>
      <c r="AA194" s="254">
        <v>66577</v>
      </c>
      <c r="AB194" s="254">
        <v>180653</v>
      </c>
      <c r="AC194" s="254">
        <v>305267</v>
      </c>
      <c r="AD194" s="254">
        <v>408468</v>
      </c>
      <c r="AE194" s="254">
        <v>68240</v>
      </c>
      <c r="AF194" s="254">
        <v>200047</v>
      </c>
      <c r="AG194" s="254">
        <v>293559</v>
      </c>
      <c r="AH194" s="254">
        <v>435064</v>
      </c>
      <c r="AI194" s="254">
        <v>93692</v>
      </c>
      <c r="AJ194" s="254">
        <v>241159</v>
      </c>
      <c r="AK194" s="254">
        <v>358146</v>
      </c>
      <c r="AL194" s="254">
        <v>528809</v>
      </c>
      <c r="AM194" s="254">
        <v>96529</v>
      </c>
      <c r="AN194" s="254">
        <v>364980</v>
      </c>
      <c r="AO194" s="254">
        <v>597355</v>
      </c>
      <c r="AP194" s="254">
        <v>940379</v>
      </c>
      <c r="AQ194" s="254">
        <v>206826</v>
      </c>
      <c r="AR194" s="254">
        <v>432562</v>
      </c>
      <c r="AS194" s="254">
        <v>751872</v>
      </c>
      <c r="AT194" s="254">
        <v>1286926</v>
      </c>
      <c r="AU194" s="254">
        <v>236531</v>
      </c>
      <c r="AV194" s="254">
        <v>705094</v>
      </c>
      <c r="AW194" s="254">
        <v>1158350</v>
      </c>
      <c r="AX194" s="254">
        <v>1883358</v>
      </c>
      <c r="AY194" s="254">
        <v>462095</v>
      </c>
      <c r="AZ194" s="254">
        <v>1119431</v>
      </c>
      <c r="BA194" s="254">
        <v>1731742</v>
      </c>
      <c r="BB194" s="254">
        <v>2106303</v>
      </c>
      <c r="BC194" s="254">
        <v>981886</v>
      </c>
      <c r="BD194" s="254">
        <v>1824958</v>
      </c>
      <c r="BE194" s="254">
        <v>3452556</v>
      </c>
      <c r="BF194" s="254">
        <v>4246137</v>
      </c>
    </row>
    <row r="195" spans="1:61" x14ac:dyDescent="0.3">
      <c r="A195" s="252" t="s">
        <v>951</v>
      </c>
      <c r="B195" s="254">
        <v>13420</v>
      </c>
      <c r="C195" s="254">
        <v>-2485</v>
      </c>
      <c r="D195" s="254">
        <v>-557</v>
      </c>
      <c r="E195" s="254">
        <v>-2380</v>
      </c>
      <c r="F195" s="254">
        <v>1175</v>
      </c>
      <c r="G195" s="254">
        <v>-2447</v>
      </c>
      <c r="H195" s="254">
        <v>2605</v>
      </c>
      <c r="I195" s="254">
        <v>1424</v>
      </c>
      <c r="J195" s="254">
        <v>508</v>
      </c>
      <c r="K195" s="254">
        <v>2443</v>
      </c>
      <c r="L195" s="254">
        <v>1145</v>
      </c>
      <c r="M195" s="254">
        <v>1300</v>
      </c>
      <c r="N195" s="254">
        <v>3623</v>
      </c>
      <c r="O195" s="254">
        <v>1644</v>
      </c>
      <c r="P195" s="254">
        <v>1894</v>
      </c>
      <c r="Q195" s="254">
        <v>3574</v>
      </c>
      <c r="R195" s="254">
        <v>2128</v>
      </c>
      <c r="S195" s="254">
        <v>23297</v>
      </c>
      <c r="T195" s="254">
        <v>78456</v>
      </c>
      <c r="U195" s="254">
        <v>104503</v>
      </c>
      <c r="V195" s="254">
        <v>18761</v>
      </c>
      <c r="W195" s="254">
        <v>816</v>
      </c>
      <c r="X195" s="254">
        <v>-18617</v>
      </c>
      <c r="Y195" s="254">
        <v>-47485</v>
      </c>
      <c r="Z195" s="254">
        <v>-41386</v>
      </c>
      <c r="AA195" s="254">
        <v>-25068</v>
      </c>
      <c r="AB195" s="254">
        <v>-35763</v>
      </c>
      <c r="AC195" s="254">
        <v>-21135</v>
      </c>
      <c r="AD195" s="254">
        <v>-10597</v>
      </c>
      <c r="AE195" s="254">
        <v>6546</v>
      </c>
      <c r="AF195" s="254">
        <v>30246</v>
      </c>
      <c r="AG195" s="254">
        <v>46748</v>
      </c>
      <c r="AH195" s="254">
        <v>98858</v>
      </c>
      <c r="AI195" s="254">
        <v>23463</v>
      </c>
      <c r="AJ195" s="254">
        <v>115401</v>
      </c>
      <c r="AK195" s="254">
        <v>223041</v>
      </c>
      <c r="AL195" s="254">
        <v>320111</v>
      </c>
      <c r="AM195" s="254">
        <v>42902</v>
      </c>
      <c r="AN195" s="254">
        <v>322326</v>
      </c>
      <c r="AO195" s="254">
        <v>488996</v>
      </c>
      <c r="AP195" s="254">
        <v>703967</v>
      </c>
      <c r="AQ195" s="254">
        <v>16336</v>
      </c>
      <c r="AR195" s="254">
        <v>102893</v>
      </c>
      <c r="AS195" s="254">
        <v>272278</v>
      </c>
      <c r="AT195" s="254">
        <v>617259</v>
      </c>
      <c r="AU195" s="254">
        <v>418803</v>
      </c>
      <c r="AV195" s="254">
        <v>973077</v>
      </c>
      <c r="AW195" s="254">
        <v>1459338</v>
      </c>
      <c r="AX195" s="254">
        <v>2512645</v>
      </c>
      <c r="AY195" s="254">
        <v>1067900</v>
      </c>
      <c r="AZ195" s="254">
        <v>2284549</v>
      </c>
      <c r="BA195" s="254">
        <v>3658024</v>
      </c>
      <c r="BB195" s="254">
        <v>4257172</v>
      </c>
      <c r="BC195" s="254">
        <v>1833069</v>
      </c>
      <c r="BD195" s="254">
        <v>3301203</v>
      </c>
      <c r="BE195" s="254">
        <v>5457287</v>
      </c>
      <c r="BF195" s="254">
        <v>7658904</v>
      </c>
      <c r="BI195" s="1">
        <f>BC195-BC196</f>
        <v>1519843</v>
      </c>
    </row>
    <row r="196" spans="1:61" x14ac:dyDescent="0.3">
      <c r="A196" s="252" t="s">
        <v>952</v>
      </c>
      <c r="B196" s="253" t="s">
        <v>784</v>
      </c>
      <c r="C196" s="253" t="s">
        <v>784</v>
      </c>
      <c r="D196" s="253" t="s">
        <v>784</v>
      </c>
      <c r="E196" s="253" t="s">
        <v>784</v>
      </c>
      <c r="F196" s="254">
        <v>192657</v>
      </c>
      <c r="G196" s="254">
        <v>64651</v>
      </c>
      <c r="H196" s="254">
        <v>167155</v>
      </c>
      <c r="I196" s="254">
        <v>331683</v>
      </c>
      <c r="J196" s="254">
        <v>507405</v>
      </c>
      <c r="K196" s="254">
        <v>137934</v>
      </c>
      <c r="L196" s="254">
        <v>72326</v>
      </c>
      <c r="M196" s="254">
        <v>242346</v>
      </c>
      <c r="N196" s="254">
        <v>407807</v>
      </c>
      <c r="O196" s="254">
        <v>105652</v>
      </c>
      <c r="P196" s="254">
        <v>676900</v>
      </c>
      <c r="Q196" s="254">
        <v>1496985</v>
      </c>
      <c r="R196" s="254">
        <v>2607356</v>
      </c>
      <c r="S196" s="254">
        <v>12943</v>
      </c>
      <c r="T196" s="254">
        <v>57224</v>
      </c>
      <c r="U196" s="254">
        <v>86219</v>
      </c>
      <c r="V196" s="254">
        <v>1086636</v>
      </c>
      <c r="W196" s="254">
        <v>39014</v>
      </c>
      <c r="X196" s="254">
        <v>25847</v>
      </c>
      <c r="Y196" s="254">
        <v>28759</v>
      </c>
      <c r="Z196" s="254">
        <v>-125600</v>
      </c>
      <c r="AA196" s="254">
        <v>17740</v>
      </c>
      <c r="AB196" s="254">
        <v>22526</v>
      </c>
      <c r="AC196" s="254">
        <v>53260</v>
      </c>
      <c r="AD196" s="254">
        <v>-269681</v>
      </c>
      <c r="AE196" s="254">
        <v>18825</v>
      </c>
      <c r="AF196" s="254">
        <v>3841</v>
      </c>
      <c r="AG196" s="254">
        <v>20849</v>
      </c>
      <c r="AH196" s="254">
        <v>56649</v>
      </c>
      <c r="AI196" s="254">
        <v>25578</v>
      </c>
      <c r="AJ196" s="254">
        <v>58807</v>
      </c>
      <c r="AK196" s="254">
        <v>98376</v>
      </c>
      <c r="AL196" s="254">
        <v>149811</v>
      </c>
      <c r="AM196" s="254">
        <v>21686</v>
      </c>
      <c r="AN196" s="254">
        <v>88228</v>
      </c>
      <c r="AO196" s="254">
        <v>257209</v>
      </c>
      <c r="AP196" s="254">
        <v>-174289</v>
      </c>
      <c r="AQ196" s="254">
        <v>-34576</v>
      </c>
      <c r="AR196" s="254">
        <v>-49909</v>
      </c>
      <c r="AS196" s="254">
        <v>11453</v>
      </c>
      <c r="AT196" s="254">
        <v>-325490</v>
      </c>
      <c r="AU196" s="254">
        <v>102030</v>
      </c>
      <c r="AV196" s="254">
        <v>234884</v>
      </c>
      <c r="AW196" s="254">
        <v>289417</v>
      </c>
      <c r="AX196" s="254">
        <v>391202</v>
      </c>
      <c r="AY196" s="254">
        <v>117187</v>
      </c>
      <c r="AZ196" s="254">
        <v>311193</v>
      </c>
      <c r="BA196" s="254">
        <v>407076</v>
      </c>
      <c r="BB196" s="254">
        <v>340959</v>
      </c>
      <c r="BC196" s="254">
        <v>313226</v>
      </c>
      <c r="BD196" s="254">
        <v>600171</v>
      </c>
      <c r="BE196" s="254">
        <v>523931</v>
      </c>
      <c r="BF196" s="254">
        <v>503042</v>
      </c>
    </row>
    <row r="197" spans="1:61" x14ac:dyDescent="0.3">
      <c r="A197" s="255" t="s">
        <v>953</v>
      </c>
      <c r="B197" s="256">
        <v>0</v>
      </c>
      <c r="C197" s="256">
        <v>0</v>
      </c>
      <c r="D197" s="256">
        <v>0</v>
      </c>
      <c r="E197" s="256">
        <v>0</v>
      </c>
      <c r="F197" s="256">
        <v>0</v>
      </c>
      <c r="G197" s="256">
        <v>0</v>
      </c>
      <c r="H197" s="256">
        <v>0</v>
      </c>
      <c r="I197" s="256">
        <v>0</v>
      </c>
      <c r="J197" s="256">
        <v>0</v>
      </c>
      <c r="K197" s="256">
        <v>0</v>
      </c>
      <c r="L197" s="256">
        <v>0</v>
      </c>
      <c r="M197" s="256">
        <v>0</v>
      </c>
      <c r="N197" s="256">
        <v>0</v>
      </c>
      <c r="O197" s="256">
        <v>0</v>
      </c>
      <c r="P197" s="256">
        <v>0</v>
      </c>
      <c r="Q197" s="256">
        <v>0</v>
      </c>
      <c r="R197" s="256">
        <v>0</v>
      </c>
      <c r="S197" s="256">
        <v>0</v>
      </c>
      <c r="T197" s="256">
        <v>0</v>
      </c>
      <c r="U197" s="256">
        <v>0</v>
      </c>
      <c r="V197" s="256">
        <v>0</v>
      </c>
      <c r="W197" s="256">
        <v>0</v>
      </c>
      <c r="X197" s="256">
        <v>0</v>
      </c>
      <c r="Y197" s="256">
        <v>0</v>
      </c>
      <c r="Z197" s="256">
        <v>0</v>
      </c>
      <c r="AA197" s="256">
        <v>0</v>
      </c>
      <c r="AB197" s="256">
        <v>0</v>
      </c>
      <c r="AC197" s="256">
        <v>0</v>
      </c>
      <c r="AD197" s="256">
        <v>0</v>
      </c>
      <c r="AE197" s="256">
        <v>0</v>
      </c>
      <c r="AF197" s="256">
        <v>0</v>
      </c>
      <c r="AG197" s="256">
        <v>0</v>
      </c>
      <c r="AH197" s="256">
        <v>0</v>
      </c>
      <c r="AI197" s="256">
        <v>0</v>
      </c>
      <c r="AJ197" s="256">
        <v>0</v>
      </c>
      <c r="AK197" s="256">
        <v>0</v>
      </c>
      <c r="AL197" s="256">
        <v>0</v>
      </c>
      <c r="AM197" s="256">
        <v>0</v>
      </c>
      <c r="AN197" s="256">
        <v>0</v>
      </c>
      <c r="AO197" s="256">
        <v>0</v>
      </c>
      <c r="AP197" s="256">
        <v>0</v>
      </c>
      <c r="AQ197" s="256">
        <v>0</v>
      </c>
      <c r="AR197" s="256">
        <v>0</v>
      </c>
      <c r="AS197" s="256">
        <v>0</v>
      </c>
      <c r="AT197" s="256">
        <v>0</v>
      </c>
      <c r="AU197" s="256">
        <v>0</v>
      </c>
      <c r="AV197" s="256">
        <v>0</v>
      </c>
      <c r="AW197" s="256">
        <v>0</v>
      </c>
      <c r="AX197" s="256">
        <v>0</v>
      </c>
      <c r="AY197" s="256">
        <v>0</v>
      </c>
      <c r="AZ197" s="256">
        <v>0</v>
      </c>
      <c r="BA197" s="256">
        <v>0</v>
      </c>
      <c r="BB197" s="256">
        <v>0</v>
      </c>
      <c r="BC197" s="256">
        <v>96642</v>
      </c>
      <c r="BD197" s="256">
        <v>261808</v>
      </c>
      <c r="BE197" s="256">
        <v>0</v>
      </c>
      <c r="BF197" s="256">
        <v>0</v>
      </c>
    </row>
    <row r="198" spans="1:61" x14ac:dyDescent="0.3">
      <c r="A198" s="255" t="s">
        <v>954</v>
      </c>
      <c r="B198" s="256">
        <v>30447</v>
      </c>
      <c r="C198" s="256">
        <v>23091</v>
      </c>
      <c r="D198" s="256">
        <v>44853</v>
      </c>
      <c r="E198" s="256">
        <v>80664</v>
      </c>
      <c r="F198" s="256">
        <v>189648</v>
      </c>
      <c r="G198" s="256">
        <v>64550</v>
      </c>
      <c r="H198" s="256">
        <v>167559</v>
      </c>
      <c r="I198" s="256">
        <v>331601</v>
      </c>
      <c r="J198" s="256">
        <v>507341</v>
      </c>
      <c r="K198" s="256">
        <v>137952</v>
      </c>
      <c r="L198" s="256">
        <v>258873</v>
      </c>
      <c r="M198" s="256">
        <v>428477</v>
      </c>
      <c r="N198" s="256">
        <v>554322</v>
      </c>
      <c r="O198" s="256">
        <v>108054</v>
      </c>
      <c r="P198" s="256">
        <v>220103</v>
      </c>
      <c r="Q198" s="256">
        <v>287359</v>
      </c>
      <c r="R198" s="256">
        <v>334351</v>
      </c>
      <c r="S198" s="256">
        <v>35597</v>
      </c>
      <c r="T198" s="256">
        <v>80178</v>
      </c>
      <c r="U198" s="256">
        <v>113609</v>
      </c>
      <c r="V198" s="256">
        <v>143634</v>
      </c>
      <c r="W198" s="256">
        <v>20446</v>
      </c>
      <c r="X198" s="256">
        <v>40303</v>
      </c>
      <c r="Y198" s="256">
        <v>56290</v>
      </c>
      <c r="Z198" s="256">
        <v>84354</v>
      </c>
      <c r="AA198" s="256">
        <v>15572</v>
      </c>
      <c r="AB198" s="256">
        <v>30623</v>
      </c>
      <c r="AC198" s="256">
        <v>45024</v>
      </c>
      <c r="AD198" s="256">
        <v>75029</v>
      </c>
      <c r="AE198" s="256">
        <v>18931</v>
      </c>
      <c r="AF198" s="256">
        <v>46271</v>
      </c>
      <c r="AG198" s="256">
        <v>61431</v>
      </c>
      <c r="AH198" s="256">
        <v>98116</v>
      </c>
      <c r="AI198" s="256">
        <v>29111</v>
      </c>
      <c r="AJ198" s="256">
        <v>55447</v>
      </c>
      <c r="AK198" s="256">
        <v>79113</v>
      </c>
      <c r="AL198" s="256">
        <v>117971</v>
      </c>
      <c r="AM198" s="256">
        <v>21992</v>
      </c>
      <c r="AN198" s="256">
        <v>55963</v>
      </c>
      <c r="AO198" s="256">
        <v>159398</v>
      </c>
      <c r="AP198" s="256">
        <v>245716</v>
      </c>
      <c r="AQ198" s="256">
        <v>80528</v>
      </c>
      <c r="AR198" s="256">
        <v>154798</v>
      </c>
      <c r="AS198" s="256">
        <v>244665</v>
      </c>
      <c r="AT198" s="256">
        <v>337947</v>
      </c>
      <c r="AU198" s="256">
        <v>81780</v>
      </c>
      <c r="AV198" s="256">
        <v>152447</v>
      </c>
      <c r="AW198" s="256">
        <v>222756</v>
      </c>
      <c r="AX198" s="256">
        <v>315640</v>
      </c>
      <c r="AY198" s="256">
        <v>90184</v>
      </c>
      <c r="AZ198" s="256">
        <v>174998</v>
      </c>
      <c r="BA198" s="256">
        <v>274119</v>
      </c>
      <c r="BB198" s="256">
        <v>367529</v>
      </c>
      <c r="BC198" s="256">
        <v>83634</v>
      </c>
      <c r="BD198" s="256">
        <v>188135</v>
      </c>
      <c r="BE198" s="256">
        <v>320554</v>
      </c>
      <c r="BF198" s="256">
        <v>567393</v>
      </c>
    </row>
    <row r="199" spans="1:61" x14ac:dyDescent="0.3">
      <c r="A199" s="255" t="s">
        <v>955</v>
      </c>
      <c r="B199" s="261" t="s">
        <v>784</v>
      </c>
      <c r="C199" s="261" t="s">
        <v>784</v>
      </c>
      <c r="D199" s="261" t="s">
        <v>784</v>
      </c>
      <c r="E199" s="261" t="s">
        <v>784</v>
      </c>
      <c r="F199" s="256">
        <v>0</v>
      </c>
      <c r="G199" s="256">
        <v>0</v>
      </c>
      <c r="H199" s="256">
        <v>0</v>
      </c>
      <c r="I199" s="256">
        <v>0</v>
      </c>
      <c r="J199" s="256">
        <v>0</v>
      </c>
      <c r="K199" s="256">
        <v>0</v>
      </c>
      <c r="L199" s="256">
        <v>0</v>
      </c>
      <c r="M199" s="256">
        <v>0</v>
      </c>
      <c r="N199" s="256">
        <v>44115</v>
      </c>
      <c r="O199" s="256">
        <v>0</v>
      </c>
      <c r="P199" s="256">
        <v>0</v>
      </c>
      <c r="Q199" s="256">
        <v>616159</v>
      </c>
      <c r="R199" s="256">
        <v>2276651</v>
      </c>
      <c r="S199" s="256">
        <v>0</v>
      </c>
      <c r="T199" s="256">
        <v>0</v>
      </c>
      <c r="U199" s="256">
        <v>0</v>
      </c>
      <c r="V199" s="256">
        <v>1028666</v>
      </c>
      <c r="W199" s="256">
        <v>0</v>
      </c>
      <c r="X199" s="256">
        <v>-18416</v>
      </c>
      <c r="Y199" s="256">
        <v>0</v>
      </c>
      <c r="Z199" s="256">
        <v>79497</v>
      </c>
      <c r="AA199" s="256">
        <v>0</v>
      </c>
      <c r="AB199" s="256">
        <v>6712</v>
      </c>
      <c r="AC199" s="256">
        <v>6712</v>
      </c>
      <c r="AD199" s="256">
        <v>0</v>
      </c>
      <c r="AE199" s="256">
        <v>0</v>
      </c>
      <c r="AF199" s="256">
        <v>0</v>
      </c>
      <c r="AG199" s="256">
        <v>0</v>
      </c>
      <c r="AH199" s="256">
        <v>0</v>
      </c>
      <c r="AI199" s="256">
        <v>0</v>
      </c>
      <c r="AJ199" s="256">
        <v>0</v>
      </c>
      <c r="AK199" s="256">
        <v>64</v>
      </c>
      <c r="AL199" s="256">
        <v>89</v>
      </c>
      <c r="AM199" s="256">
        <v>0</v>
      </c>
      <c r="AN199" s="256">
        <v>0</v>
      </c>
      <c r="AO199" s="256">
        <v>0</v>
      </c>
      <c r="AP199" s="256">
        <v>0</v>
      </c>
      <c r="AQ199" s="256">
        <v>0</v>
      </c>
      <c r="AR199" s="256">
        <v>0</v>
      </c>
      <c r="AS199" s="256">
        <v>0</v>
      </c>
      <c r="AT199" s="256">
        <v>0</v>
      </c>
      <c r="AU199" s="256">
        <v>0</v>
      </c>
      <c r="AV199" s="256">
        <v>0</v>
      </c>
      <c r="AW199" s="256">
        <v>0</v>
      </c>
      <c r="AX199" s="256">
        <v>0</v>
      </c>
      <c r="AY199" s="256">
        <v>0</v>
      </c>
      <c r="AZ199" s="256">
        <v>0</v>
      </c>
      <c r="BA199" s="256">
        <v>0</v>
      </c>
      <c r="BB199" s="256">
        <v>0</v>
      </c>
      <c r="BC199" s="256">
        <v>0</v>
      </c>
      <c r="BD199" s="256">
        <v>0</v>
      </c>
      <c r="BE199" s="256">
        <v>0</v>
      </c>
      <c r="BF199" s="256">
        <v>0</v>
      </c>
    </row>
    <row r="200" spans="1:61" x14ac:dyDescent="0.3">
      <c r="A200" s="255" t="s">
        <v>956</v>
      </c>
      <c r="B200" s="261" t="s">
        <v>784</v>
      </c>
      <c r="C200" s="261" t="s">
        <v>784</v>
      </c>
      <c r="D200" s="261" t="s">
        <v>784</v>
      </c>
      <c r="E200" s="261" t="s">
        <v>784</v>
      </c>
      <c r="F200" s="256">
        <v>594</v>
      </c>
      <c r="G200" s="256">
        <v>0</v>
      </c>
      <c r="H200" s="256">
        <v>404</v>
      </c>
      <c r="I200" s="256">
        <v>0</v>
      </c>
      <c r="J200" s="256">
        <v>0</v>
      </c>
      <c r="K200" s="256">
        <v>18</v>
      </c>
      <c r="L200" s="256">
        <v>186547</v>
      </c>
      <c r="M200" s="256">
        <v>186515</v>
      </c>
      <c r="N200" s="256">
        <v>190630</v>
      </c>
      <c r="O200" s="256">
        <v>2402</v>
      </c>
      <c r="P200" s="256">
        <v>0</v>
      </c>
      <c r="Q200" s="256">
        <v>0</v>
      </c>
      <c r="R200" s="256">
        <v>3646</v>
      </c>
      <c r="S200" s="256">
        <v>22654</v>
      </c>
      <c r="T200" s="256">
        <v>22954</v>
      </c>
      <c r="U200" s="256">
        <v>0</v>
      </c>
      <c r="V200" s="256">
        <v>98207</v>
      </c>
      <c r="W200" s="256">
        <v>-18568</v>
      </c>
      <c r="X200" s="256">
        <v>-3960</v>
      </c>
      <c r="Y200" s="256">
        <v>27531</v>
      </c>
      <c r="Z200" s="256">
        <v>271654</v>
      </c>
      <c r="AA200" s="256">
        <v>-2168</v>
      </c>
      <c r="AB200" s="256">
        <v>14809</v>
      </c>
      <c r="AC200" s="256">
        <v>-1524</v>
      </c>
      <c r="AD200" s="256">
        <v>-6712</v>
      </c>
      <c r="AE200" s="256">
        <v>106</v>
      </c>
      <c r="AF200" s="256">
        <v>42430</v>
      </c>
      <c r="AG200" s="256">
        <v>40582</v>
      </c>
      <c r="AH200" s="256">
        <v>0</v>
      </c>
      <c r="AI200" s="256">
        <v>3533</v>
      </c>
      <c r="AJ200" s="256">
        <v>-3360</v>
      </c>
      <c r="AK200" s="256">
        <v>-19199</v>
      </c>
      <c r="AL200" s="256">
        <v>0</v>
      </c>
      <c r="AM200" s="256">
        <v>306</v>
      </c>
      <c r="AN200" s="256">
        <v>-32265</v>
      </c>
      <c r="AO200" s="256">
        <v>0</v>
      </c>
      <c r="AP200" s="256">
        <v>0</v>
      </c>
      <c r="AQ200" s="256">
        <v>115104</v>
      </c>
      <c r="AR200" s="256">
        <v>204707</v>
      </c>
      <c r="AS200" s="256">
        <v>233212</v>
      </c>
      <c r="AT200" s="256">
        <v>0</v>
      </c>
      <c r="AU200" s="256">
        <v>0</v>
      </c>
      <c r="AV200" s="256">
        <v>0</v>
      </c>
      <c r="AW200" s="256">
        <v>0</v>
      </c>
      <c r="AX200" s="256">
        <v>0</v>
      </c>
      <c r="AY200" s="256">
        <v>0</v>
      </c>
      <c r="AZ200" s="256">
        <v>0</v>
      </c>
      <c r="BA200" s="256">
        <v>0</v>
      </c>
      <c r="BB200" s="256">
        <v>26570</v>
      </c>
      <c r="BC200" s="256">
        <v>0</v>
      </c>
      <c r="BD200" s="256">
        <v>436607</v>
      </c>
      <c r="BE200" s="256">
        <v>0</v>
      </c>
      <c r="BF200" s="256">
        <v>64351</v>
      </c>
    </row>
    <row r="201" spans="1:61" x14ac:dyDescent="0.3">
      <c r="A201" s="255" t="s">
        <v>957</v>
      </c>
      <c r="B201" s="261" t="s">
        <v>784</v>
      </c>
      <c r="C201" s="261" t="s">
        <v>784</v>
      </c>
      <c r="D201" s="261" t="s">
        <v>784</v>
      </c>
      <c r="E201" s="261" t="s">
        <v>784</v>
      </c>
      <c r="F201" s="256">
        <v>3603</v>
      </c>
      <c r="G201" s="256">
        <v>101</v>
      </c>
      <c r="H201" s="256">
        <v>0</v>
      </c>
      <c r="I201" s="256">
        <v>82</v>
      </c>
      <c r="J201" s="256">
        <v>64</v>
      </c>
      <c r="K201" s="256">
        <v>0</v>
      </c>
      <c r="L201" s="256">
        <v>0</v>
      </c>
      <c r="M201" s="256">
        <v>384</v>
      </c>
      <c r="N201" s="256">
        <v>0</v>
      </c>
      <c r="O201" s="256">
        <v>0</v>
      </c>
      <c r="P201" s="256">
        <v>456797</v>
      </c>
      <c r="Q201" s="256">
        <v>593467</v>
      </c>
      <c r="R201" s="256">
        <v>0</v>
      </c>
      <c r="S201" s="256">
        <v>0</v>
      </c>
      <c r="T201" s="256">
        <v>0</v>
      </c>
      <c r="U201" s="256">
        <v>-27390</v>
      </c>
      <c r="V201" s="256">
        <v>12543</v>
      </c>
      <c r="W201" s="256">
        <v>0</v>
      </c>
      <c r="X201" s="256">
        <v>0</v>
      </c>
      <c r="Y201" s="256">
        <v>0</v>
      </c>
      <c r="Z201" s="256">
        <v>-17797</v>
      </c>
      <c r="AA201" s="256">
        <v>0</v>
      </c>
      <c r="AB201" s="256">
        <v>0</v>
      </c>
      <c r="AC201" s="256">
        <v>0</v>
      </c>
      <c r="AD201" s="256">
        <v>-351422</v>
      </c>
      <c r="AE201" s="256">
        <v>0</v>
      </c>
      <c r="AF201" s="256">
        <v>0</v>
      </c>
      <c r="AG201" s="256">
        <v>0</v>
      </c>
      <c r="AH201" s="256">
        <v>-41467</v>
      </c>
      <c r="AI201" s="256">
        <v>0</v>
      </c>
      <c r="AJ201" s="256">
        <v>0</v>
      </c>
      <c r="AK201" s="256">
        <v>0</v>
      </c>
      <c r="AL201" s="256">
        <v>31751</v>
      </c>
      <c r="AM201" s="256">
        <v>0</v>
      </c>
      <c r="AN201" s="256">
        <v>0</v>
      </c>
      <c r="AO201" s="256">
        <v>97811</v>
      </c>
      <c r="AP201" s="256">
        <v>-420005</v>
      </c>
      <c r="AQ201" s="256">
        <v>0</v>
      </c>
      <c r="AR201" s="256">
        <v>0</v>
      </c>
      <c r="AS201" s="256">
        <v>0</v>
      </c>
      <c r="AT201" s="256">
        <v>-663437</v>
      </c>
      <c r="AU201" s="256">
        <v>20250</v>
      </c>
      <c r="AV201" s="256">
        <v>82437</v>
      </c>
      <c r="AW201" s="256">
        <v>66661</v>
      </c>
      <c r="AX201" s="256">
        <v>75562</v>
      </c>
      <c r="AY201" s="256">
        <v>27003</v>
      </c>
      <c r="AZ201" s="256">
        <v>136195</v>
      </c>
      <c r="BA201" s="256">
        <v>132957</v>
      </c>
      <c r="BB201" s="256">
        <v>0</v>
      </c>
      <c r="BC201" s="256">
        <v>132950</v>
      </c>
      <c r="BD201" s="256">
        <v>586835</v>
      </c>
      <c r="BE201" s="256">
        <v>203377</v>
      </c>
      <c r="BF201" s="256">
        <v>0</v>
      </c>
    </row>
    <row r="202" spans="1:61" x14ac:dyDescent="0.3">
      <c r="A202" s="255" t="s">
        <v>958</v>
      </c>
      <c r="B202" s="256">
        <v>0</v>
      </c>
      <c r="C202" s="256">
        <v>0</v>
      </c>
      <c r="D202" s="256">
        <v>0</v>
      </c>
      <c r="E202" s="256">
        <v>0</v>
      </c>
      <c r="F202" s="256">
        <v>0</v>
      </c>
      <c r="G202" s="256">
        <v>0</v>
      </c>
      <c r="H202" s="256">
        <v>0</v>
      </c>
      <c r="I202" s="256">
        <v>0</v>
      </c>
      <c r="J202" s="256">
        <v>0</v>
      </c>
      <c r="K202" s="256">
        <v>0</v>
      </c>
      <c r="L202" s="256">
        <v>0</v>
      </c>
      <c r="M202" s="256">
        <v>0</v>
      </c>
      <c r="N202" s="256">
        <v>0</v>
      </c>
      <c r="O202" s="256">
        <v>0</v>
      </c>
      <c r="P202" s="256">
        <v>0</v>
      </c>
      <c r="Q202" s="256">
        <v>0</v>
      </c>
      <c r="R202" s="256">
        <v>0</v>
      </c>
      <c r="S202" s="256">
        <v>0</v>
      </c>
      <c r="T202" s="256">
        <v>0</v>
      </c>
      <c r="U202" s="256">
        <v>0</v>
      </c>
      <c r="V202" s="256">
        <v>0</v>
      </c>
      <c r="W202" s="256">
        <v>0</v>
      </c>
      <c r="X202" s="256">
        <v>0</v>
      </c>
      <c r="Y202" s="256">
        <v>0</v>
      </c>
      <c r="Z202" s="256">
        <v>0</v>
      </c>
      <c r="AA202" s="256">
        <v>0</v>
      </c>
      <c r="AB202" s="256">
        <v>0</v>
      </c>
      <c r="AC202" s="256">
        <v>0</v>
      </c>
      <c r="AD202" s="256">
        <v>0</v>
      </c>
      <c r="AE202" s="256">
        <v>0</v>
      </c>
      <c r="AF202" s="256">
        <v>0</v>
      </c>
      <c r="AG202" s="256">
        <v>0</v>
      </c>
      <c r="AH202" s="256">
        <v>0</v>
      </c>
      <c r="AI202" s="256">
        <v>0</v>
      </c>
      <c r="AJ202" s="256">
        <v>0</v>
      </c>
      <c r="AK202" s="256">
        <v>0</v>
      </c>
      <c r="AL202" s="256">
        <v>0</v>
      </c>
      <c r="AM202" s="256">
        <v>0</v>
      </c>
      <c r="AN202" s="256">
        <v>0</v>
      </c>
      <c r="AO202" s="256">
        <v>0</v>
      </c>
      <c r="AP202" s="256">
        <v>0</v>
      </c>
      <c r="AQ202" s="256">
        <v>0</v>
      </c>
      <c r="AR202" s="256">
        <v>0</v>
      </c>
      <c r="AS202" s="256">
        <v>0</v>
      </c>
      <c r="AT202" s="256">
        <v>0</v>
      </c>
      <c r="AU202" s="256">
        <v>0</v>
      </c>
      <c r="AV202" s="256">
        <v>0</v>
      </c>
      <c r="AW202" s="256">
        <v>0</v>
      </c>
      <c r="AX202" s="256">
        <v>0</v>
      </c>
      <c r="AY202" s="256">
        <v>0</v>
      </c>
      <c r="AZ202" s="256">
        <v>0</v>
      </c>
      <c r="BA202" s="256">
        <v>0</v>
      </c>
      <c r="BB202" s="256">
        <v>0</v>
      </c>
      <c r="BC202" s="256">
        <v>0</v>
      </c>
      <c r="BD202" s="256">
        <v>0</v>
      </c>
      <c r="BE202" s="256">
        <v>0</v>
      </c>
      <c r="BF202" s="256">
        <v>0</v>
      </c>
    </row>
    <row r="203" spans="1:61" x14ac:dyDescent="0.3">
      <c r="A203" s="252" t="s">
        <v>959</v>
      </c>
      <c r="B203" s="254">
        <v>-17025</v>
      </c>
      <c r="C203" s="254">
        <v>-24976</v>
      </c>
      <c r="D203" s="254">
        <v>-49429</v>
      </c>
      <c r="E203" s="254">
        <v>-85616</v>
      </c>
      <c r="F203" s="254">
        <v>-191482</v>
      </c>
      <c r="G203" s="254">
        <v>-67098</v>
      </c>
      <c r="H203" s="254">
        <v>-164550</v>
      </c>
      <c r="I203" s="254">
        <v>-330259</v>
      </c>
      <c r="J203" s="254">
        <v>-506897</v>
      </c>
      <c r="K203" s="254">
        <v>-135491</v>
      </c>
      <c r="L203" s="254">
        <v>-71181</v>
      </c>
      <c r="M203" s="254">
        <v>-241046</v>
      </c>
      <c r="N203" s="254">
        <v>-404184</v>
      </c>
      <c r="O203" s="254">
        <v>-104008</v>
      </c>
      <c r="P203" s="254">
        <v>-675006</v>
      </c>
      <c r="Q203" s="254">
        <v>-1493411</v>
      </c>
      <c r="R203" s="254">
        <v>-2605228</v>
      </c>
      <c r="S203" s="254">
        <v>10354</v>
      </c>
      <c r="T203" s="254">
        <v>21232</v>
      </c>
      <c r="U203" s="254">
        <v>18284</v>
      </c>
      <c r="V203" s="254">
        <v>-1067875</v>
      </c>
      <c r="W203" s="254">
        <v>-38198</v>
      </c>
      <c r="X203" s="254">
        <v>-44464</v>
      </c>
      <c r="Y203" s="254">
        <v>-76244</v>
      </c>
      <c r="Z203" s="254">
        <v>84214</v>
      </c>
      <c r="AA203" s="254">
        <v>-42808</v>
      </c>
      <c r="AB203" s="254">
        <v>-58289</v>
      </c>
      <c r="AC203" s="254">
        <v>-74395</v>
      </c>
      <c r="AD203" s="254">
        <v>259084</v>
      </c>
      <c r="AE203" s="254">
        <v>-12279</v>
      </c>
      <c r="AF203" s="254">
        <v>26405</v>
      </c>
      <c r="AG203" s="254">
        <v>25899</v>
      </c>
      <c r="AH203" s="254">
        <v>42209</v>
      </c>
      <c r="AI203" s="254">
        <v>-2115</v>
      </c>
      <c r="AJ203" s="254">
        <v>56594</v>
      </c>
      <c r="AK203" s="254">
        <v>124665</v>
      </c>
      <c r="AL203" s="254">
        <v>170300</v>
      </c>
      <c r="AM203" s="254">
        <v>21216</v>
      </c>
      <c r="AN203" s="254">
        <v>234098</v>
      </c>
      <c r="AO203" s="254">
        <v>231787</v>
      </c>
      <c r="AP203" s="254">
        <v>878256</v>
      </c>
      <c r="AQ203" s="254">
        <v>50912</v>
      </c>
      <c r="AR203" s="254">
        <v>152802</v>
      </c>
      <c r="AS203" s="254">
        <v>260825</v>
      </c>
      <c r="AT203" s="254">
        <v>942749</v>
      </c>
      <c r="AU203" s="254">
        <v>316773</v>
      </c>
      <c r="AV203" s="254">
        <v>738193</v>
      </c>
      <c r="AW203" s="254">
        <v>1169921</v>
      </c>
      <c r="AX203" s="254">
        <v>2121443</v>
      </c>
      <c r="AY203" s="254">
        <v>950713</v>
      </c>
      <c r="AZ203" s="254">
        <v>1973356</v>
      </c>
      <c r="BA203" s="254">
        <v>3250948</v>
      </c>
      <c r="BB203" s="254">
        <v>3916213</v>
      </c>
      <c r="BC203" s="254">
        <v>1519843</v>
      </c>
      <c r="BD203" s="254">
        <v>2701032</v>
      </c>
      <c r="BE203" s="254">
        <v>4933356</v>
      </c>
      <c r="BF203" s="254">
        <v>7155862</v>
      </c>
    </row>
    <row r="204" spans="1:61" x14ac:dyDescent="0.3">
      <c r="A204" s="252" t="s">
        <v>960</v>
      </c>
      <c r="B204" s="254">
        <v>5715</v>
      </c>
      <c r="C204" s="254">
        <v>6167</v>
      </c>
      <c r="D204" s="254">
        <v>12444</v>
      </c>
      <c r="E204" s="254">
        <v>18648</v>
      </c>
      <c r="F204" s="254">
        <v>52497</v>
      </c>
      <c r="G204" s="254">
        <v>60490</v>
      </c>
      <c r="H204" s="254">
        <v>110034</v>
      </c>
      <c r="I204" s="254">
        <v>178336</v>
      </c>
      <c r="J204" s="254">
        <v>226078</v>
      </c>
      <c r="K204" s="254">
        <v>29776</v>
      </c>
      <c r="L204" s="254">
        <v>82897</v>
      </c>
      <c r="M204" s="254">
        <v>113812</v>
      </c>
      <c r="N204" s="254">
        <v>126618</v>
      </c>
      <c r="O204" s="254">
        <v>4827</v>
      </c>
      <c r="P204" s="254">
        <v>30823</v>
      </c>
      <c r="Q204" s="254">
        <v>33869</v>
      </c>
      <c r="R204" s="254">
        <v>44066</v>
      </c>
      <c r="S204" s="254">
        <v>-7110</v>
      </c>
      <c r="T204" s="254">
        <v>-8747</v>
      </c>
      <c r="U204" s="254">
        <v>12112</v>
      </c>
      <c r="V204" s="254">
        <v>15872</v>
      </c>
      <c r="W204" s="254">
        <v>-15804</v>
      </c>
      <c r="X204" s="254">
        <v>-27931</v>
      </c>
      <c r="Y204" s="254">
        <v>1180</v>
      </c>
      <c r="Z204" s="254">
        <v>20680</v>
      </c>
      <c r="AA204" s="254">
        <v>-22219</v>
      </c>
      <c r="AB204" s="254">
        <v>-58096</v>
      </c>
      <c r="AC204" s="254">
        <v>51898</v>
      </c>
      <c r="AD204" s="254">
        <v>-6133</v>
      </c>
      <c r="AE204" s="254">
        <v>21602</v>
      </c>
      <c r="AF204" s="254">
        <v>32294</v>
      </c>
      <c r="AG204" s="254">
        <v>46518</v>
      </c>
      <c r="AH204" s="254">
        <v>-13775</v>
      </c>
      <c r="AI204" s="254">
        <v>4493</v>
      </c>
      <c r="AJ204" s="254">
        <v>16670</v>
      </c>
      <c r="AK204" s="254">
        <v>45811</v>
      </c>
      <c r="AL204" s="254">
        <v>71077</v>
      </c>
      <c r="AM204" s="254">
        <v>-70133</v>
      </c>
      <c r="AN204" s="254">
        <v>-151793</v>
      </c>
      <c r="AO204" s="254">
        <v>-320671</v>
      </c>
      <c r="AP204" s="254">
        <v>-337254</v>
      </c>
      <c r="AQ204" s="254">
        <v>-103483</v>
      </c>
      <c r="AR204" s="254">
        <v>-328127</v>
      </c>
      <c r="AS204" s="254">
        <v>-510308</v>
      </c>
      <c r="AT204" s="254">
        <v>-458669</v>
      </c>
      <c r="AU204" s="254">
        <v>-362048</v>
      </c>
      <c r="AV204" s="254">
        <v>-221627</v>
      </c>
      <c r="AW204" s="254">
        <v>-485934</v>
      </c>
      <c r="AX204" s="254">
        <v>-622322</v>
      </c>
      <c r="AY204" s="254">
        <v>-45470</v>
      </c>
      <c r="AZ204" s="254">
        <v>-237368</v>
      </c>
      <c r="BA204" s="254">
        <v>-268566</v>
      </c>
      <c r="BB204" s="254">
        <v>-254393</v>
      </c>
      <c r="BC204" s="254">
        <v>-264290</v>
      </c>
      <c r="BD204" s="254">
        <v>-605344</v>
      </c>
      <c r="BE204" s="254">
        <v>-717441</v>
      </c>
      <c r="BF204" s="254">
        <v>-1051190</v>
      </c>
    </row>
    <row r="205" spans="1:61" x14ac:dyDescent="0.3">
      <c r="A205" s="255" t="s">
        <v>961</v>
      </c>
      <c r="B205" s="256">
        <v>5770</v>
      </c>
      <c r="C205" s="256">
        <v>6907</v>
      </c>
      <c r="D205" s="256">
        <v>13492</v>
      </c>
      <c r="E205" s="256">
        <v>20053</v>
      </c>
      <c r="F205" s="256">
        <v>67496</v>
      </c>
      <c r="G205" s="256">
        <v>66099</v>
      </c>
      <c r="H205" s="256">
        <v>128136</v>
      </c>
      <c r="I205" s="256">
        <v>199956</v>
      </c>
      <c r="J205" s="256">
        <v>246512</v>
      </c>
      <c r="K205" s="256">
        <v>41833</v>
      </c>
      <c r="L205" s="256">
        <v>99984</v>
      </c>
      <c r="M205" s="256">
        <v>129823</v>
      </c>
      <c r="N205" s="256">
        <v>148100</v>
      </c>
      <c r="O205" s="256">
        <v>17718</v>
      </c>
      <c r="P205" s="256">
        <v>71898</v>
      </c>
      <c r="Q205" s="256">
        <v>107020</v>
      </c>
      <c r="R205" s="256">
        <v>134233</v>
      </c>
      <c r="S205" s="256">
        <v>10710</v>
      </c>
      <c r="T205" s="256">
        <v>22828</v>
      </c>
      <c r="U205" s="256">
        <v>52063</v>
      </c>
      <c r="V205" s="256">
        <v>81445</v>
      </c>
      <c r="W205" s="256">
        <v>59949</v>
      </c>
      <c r="X205" s="256">
        <v>115076</v>
      </c>
      <c r="Y205" s="256">
        <v>277886</v>
      </c>
      <c r="Z205" s="256">
        <v>332553</v>
      </c>
      <c r="AA205" s="256">
        <v>89896</v>
      </c>
      <c r="AB205" s="256">
        <v>176318</v>
      </c>
      <c r="AC205" s="256">
        <v>296028</v>
      </c>
      <c r="AD205" s="256">
        <v>313817</v>
      </c>
      <c r="AE205" s="256">
        <v>68333</v>
      </c>
      <c r="AF205" s="256">
        <v>100258</v>
      </c>
      <c r="AG205" s="256">
        <v>165016</v>
      </c>
      <c r="AH205" s="256">
        <v>171756</v>
      </c>
      <c r="AI205" s="256">
        <v>49311</v>
      </c>
      <c r="AJ205" s="256">
        <v>134176</v>
      </c>
      <c r="AK205" s="256">
        <v>246039</v>
      </c>
      <c r="AL205" s="256">
        <v>313524</v>
      </c>
      <c r="AM205" s="256">
        <v>60886</v>
      </c>
      <c r="AN205" s="256">
        <v>129877</v>
      </c>
      <c r="AO205" s="256">
        <v>199651</v>
      </c>
      <c r="AP205" s="256">
        <v>377142</v>
      </c>
      <c r="AQ205" s="256">
        <v>654267</v>
      </c>
      <c r="AR205" s="256">
        <v>759345</v>
      </c>
      <c r="AS205" s="256">
        <v>1034843</v>
      </c>
      <c r="AT205" s="256">
        <v>1469151</v>
      </c>
      <c r="AU205" s="256">
        <v>54154</v>
      </c>
      <c r="AV205" s="256">
        <v>573458</v>
      </c>
      <c r="AW205" s="256">
        <v>790761</v>
      </c>
      <c r="AX205" s="256">
        <v>946536</v>
      </c>
      <c r="AY205" s="256">
        <v>312508</v>
      </c>
      <c r="AZ205" s="256">
        <v>68617</v>
      </c>
      <c r="BA205" s="256">
        <v>224880</v>
      </c>
      <c r="BB205" s="256">
        <v>278680</v>
      </c>
      <c r="BC205" s="256">
        <v>292006</v>
      </c>
      <c r="BD205" s="256">
        <v>1062704</v>
      </c>
      <c r="BE205" s="256">
        <v>775842</v>
      </c>
      <c r="BF205" s="256">
        <v>1525252</v>
      </c>
    </row>
    <row r="206" spans="1:61" x14ac:dyDescent="0.3">
      <c r="A206" s="255" t="s">
        <v>962</v>
      </c>
      <c r="B206" s="256">
        <v>55</v>
      </c>
      <c r="C206" s="256">
        <v>740</v>
      </c>
      <c r="D206" s="256">
        <v>1048</v>
      </c>
      <c r="E206" s="256">
        <v>1405</v>
      </c>
      <c r="F206" s="256">
        <v>14999</v>
      </c>
      <c r="G206" s="256">
        <v>5609</v>
      </c>
      <c r="H206" s="256">
        <v>18102</v>
      </c>
      <c r="I206" s="256">
        <v>21620</v>
      </c>
      <c r="J206" s="256">
        <v>20434</v>
      </c>
      <c r="K206" s="256">
        <v>12057</v>
      </c>
      <c r="L206" s="256">
        <v>17087</v>
      </c>
      <c r="M206" s="256">
        <v>16011</v>
      </c>
      <c r="N206" s="256">
        <v>21482</v>
      </c>
      <c r="O206" s="256">
        <v>12891</v>
      </c>
      <c r="P206" s="256">
        <v>41075</v>
      </c>
      <c r="Q206" s="256">
        <v>73151</v>
      </c>
      <c r="R206" s="256">
        <v>90167</v>
      </c>
      <c r="S206" s="256">
        <v>17820</v>
      </c>
      <c r="T206" s="256">
        <v>31575</v>
      </c>
      <c r="U206" s="256">
        <v>39951</v>
      </c>
      <c r="V206" s="256">
        <v>65573</v>
      </c>
      <c r="W206" s="256">
        <v>75753</v>
      </c>
      <c r="X206" s="256">
        <v>143007</v>
      </c>
      <c r="Y206" s="256">
        <v>276706</v>
      </c>
      <c r="Z206" s="256">
        <v>311873</v>
      </c>
      <c r="AA206" s="256">
        <v>112115</v>
      </c>
      <c r="AB206" s="256">
        <v>234414</v>
      </c>
      <c r="AC206" s="256">
        <v>244130</v>
      </c>
      <c r="AD206" s="256">
        <v>319950</v>
      </c>
      <c r="AE206" s="256">
        <v>46731</v>
      </c>
      <c r="AF206" s="256">
        <v>67964</v>
      </c>
      <c r="AG206" s="256">
        <v>118498</v>
      </c>
      <c r="AH206" s="256">
        <v>185531</v>
      </c>
      <c r="AI206" s="256">
        <v>44818</v>
      </c>
      <c r="AJ206" s="256">
        <v>117506</v>
      </c>
      <c r="AK206" s="256">
        <v>200228</v>
      </c>
      <c r="AL206" s="256">
        <v>242447</v>
      </c>
      <c r="AM206" s="256">
        <v>131019</v>
      </c>
      <c r="AN206" s="256">
        <v>281670</v>
      </c>
      <c r="AO206" s="256">
        <v>520322</v>
      </c>
      <c r="AP206" s="256">
        <v>714396</v>
      </c>
      <c r="AQ206" s="256">
        <v>757750</v>
      </c>
      <c r="AR206" s="256">
        <v>1087472</v>
      </c>
      <c r="AS206" s="256">
        <v>1545151</v>
      </c>
      <c r="AT206" s="256">
        <v>1927820</v>
      </c>
      <c r="AU206" s="256">
        <v>416202</v>
      </c>
      <c r="AV206" s="256">
        <v>795085</v>
      </c>
      <c r="AW206" s="256">
        <v>1276695</v>
      </c>
      <c r="AX206" s="256">
        <v>1568858</v>
      </c>
      <c r="AY206" s="256">
        <v>357978</v>
      </c>
      <c r="AZ206" s="256">
        <v>305985</v>
      </c>
      <c r="BA206" s="256">
        <v>493446</v>
      </c>
      <c r="BB206" s="256">
        <v>558099</v>
      </c>
      <c r="BC206" s="256">
        <v>556296</v>
      </c>
      <c r="BD206" s="256">
        <v>1668048</v>
      </c>
      <c r="BE206" s="256">
        <v>1493283</v>
      </c>
      <c r="BF206" s="256">
        <v>2576442</v>
      </c>
    </row>
    <row r="207" spans="1:61" x14ac:dyDescent="0.3">
      <c r="A207" s="252" t="s">
        <v>963</v>
      </c>
      <c r="B207" s="254">
        <v>-11310</v>
      </c>
      <c r="C207" s="254">
        <v>-18809</v>
      </c>
      <c r="D207" s="254">
        <v>-36985</v>
      </c>
      <c r="E207" s="254">
        <v>-66968</v>
      </c>
      <c r="F207" s="254">
        <v>-138985</v>
      </c>
      <c r="G207" s="254">
        <v>-6608</v>
      </c>
      <c r="H207" s="254">
        <v>-54516</v>
      </c>
      <c r="I207" s="254">
        <v>-151923</v>
      </c>
      <c r="J207" s="254">
        <v>-280819</v>
      </c>
      <c r="K207" s="254">
        <v>-105715</v>
      </c>
      <c r="L207" s="254">
        <v>11716</v>
      </c>
      <c r="M207" s="254">
        <v>-127234</v>
      </c>
      <c r="N207" s="254">
        <v>-277566</v>
      </c>
      <c r="O207" s="254">
        <v>-99181</v>
      </c>
      <c r="P207" s="254">
        <v>-644183</v>
      </c>
      <c r="Q207" s="254">
        <v>-1459542</v>
      </c>
      <c r="R207" s="254">
        <v>-2561162</v>
      </c>
      <c r="S207" s="254">
        <v>3244</v>
      </c>
      <c r="T207" s="254">
        <v>12485</v>
      </c>
      <c r="U207" s="254">
        <v>30396</v>
      </c>
      <c r="V207" s="254">
        <v>-1052003</v>
      </c>
      <c r="W207" s="254">
        <v>-54002</v>
      </c>
      <c r="X207" s="254">
        <v>-72395</v>
      </c>
      <c r="Y207" s="254">
        <v>-75064</v>
      </c>
      <c r="Z207" s="254">
        <v>104894</v>
      </c>
      <c r="AA207" s="254">
        <v>-65027</v>
      </c>
      <c r="AB207" s="254">
        <v>-116385</v>
      </c>
      <c r="AC207" s="254">
        <v>-22497</v>
      </c>
      <c r="AD207" s="254">
        <v>252951</v>
      </c>
      <c r="AE207" s="254">
        <v>9323</v>
      </c>
      <c r="AF207" s="254">
        <v>58699</v>
      </c>
      <c r="AG207" s="254">
        <v>72417</v>
      </c>
      <c r="AH207" s="254">
        <v>28434</v>
      </c>
      <c r="AI207" s="254">
        <v>2378</v>
      </c>
      <c r="AJ207" s="254">
        <v>73264</v>
      </c>
      <c r="AK207" s="254">
        <v>170476</v>
      </c>
      <c r="AL207" s="254">
        <v>241377</v>
      </c>
      <c r="AM207" s="254">
        <v>-48917</v>
      </c>
      <c r="AN207" s="254">
        <v>82305</v>
      </c>
      <c r="AO207" s="254">
        <v>-88884</v>
      </c>
      <c r="AP207" s="254">
        <v>541002</v>
      </c>
      <c r="AQ207" s="254">
        <v>-52571</v>
      </c>
      <c r="AR207" s="254">
        <v>-175325</v>
      </c>
      <c r="AS207" s="254">
        <v>-249483</v>
      </c>
      <c r="AT207" s="254">
        <v>484080</v>
      </c>
      <c r="AU207" s="254">
        <v>-45275</v>
      </c>
      <c r="AV207" s="254">
        <v>516566</v>
      </c>
      <c r="AW207" s="254">
        <v>683987</v>
      </c>
      <c r="AX207" s="254">
        <v>1499121</v>
      </c>
      <c r="AY207" s="254">
        <v>905243</v>
      </c>
      <c r="AZ207" s="254">
        <v>1735988</v>
      </c>
      <c r="BA207" s="254">
        <v>2982382</v>
      </c>
      <c r="BB207" s="254">
        <v>3661820</v>
      </c>
      <c r="BC207" s="254">
        <v>1255553</v>
      </c>
      <c r="BD207" s="254">
        <v>2095688</v>
      </c>
      <c r="BE207" s="254">
        <v>4215915</v>
      </c>
      <c r="BF207" s="254">
        <v>6104672</v>
      </c>
    </row>
    <row r="208" spans="1:61" x14ac:dyDescent="0.3">
      <c r="A208" s="252" t="s">
        <v>964</v>
      </c>
      <c r="B208" s="254">
        <v>1325</v>
      </c>
      <c r="C208" s="254">
        <v>530</v>
      </c>
      <c r="D208" s="254">
        <v>1629</v>
      </c>
      <c r="E208" s="254">
        <v>2684</v>
      </c>
      <c r="F208" s="254">
        <v>3385</v>
      </c>
      <c r="G208" s="254">
        <v>7244</v>
      </c>
      <c r="H208" s="254">
        <v>12505</v>
      </c>
      <c r="I208" s="254">
        <v>16424</v>
      </c>
      <c r="J208" s="254">
        <v>23216</v>
      </c>
      <c r="K208" s="254">
        <v>27515</v>
      </c>
      <c r="L208" s="254">
        <v>9034</v>
      </c>
      <c r="M208" s="254">
        <v>10285</v>
      </c>
      <c r="N208" s="254">
        <v>0</v>
      </c>
      <c r="O208" s="254">
        <v>0</v>
      </c>
      <c r="P208" s="254">
        <v>1056</v>
      </c>
      <c r="Q208" s="254">
        <v>-90059</v>
      </c>
      <c r="R208" s="254">
        <v>-323292</v>
      </c>
      <c r="S208" s="254">
        <v>1545</v>
      </c>
      <c r="T208" s="254">
        <v>1043</v>
      </c>
      <c r="U208" s="254">
        <v>5107</v>
      </c>
      <c r="V208" s="254">
        <v>-53241</v>
      </c>
      <c r="W208" s="254">
        <v>-463</v>
      </c>
      <c r="X208" s="254">
        <v>-2621</v>
      </c>
      <c r="Y208" s="254">
        <v>-5311</v>
      </c>
      <c r="Z208" s="254">
        <v>-5527</v>
      </c>
      <c r="AA208" s="254">
        <v>360</v>
      </c>
      <c r="AB208" s="254">
        <v>24</v>
      </c>
      <c r="AC208" s="254">
        <v>22441</v>
      </c>
      <c r="AD208" s="254">
        <v>11329</v>
      </c>
      <c r="AE208" s="254">
        <v>5304</v>
      </c>
      <c r="AF208" s="254">
        <v>7574</v>
      </c>
      <c r="AG208" s="254">
        <v>4910</v>
      </c>
      <c r="AH208" s="254">
        <v>-2193</v>
      </c>
      <c r="AI208" s="254">
        <v>-316</v>
      </c>
      <c r="AJ208" s="254">
        <v>10</v>
      </c>
      <c r="AK208" s="254">
        <v>25764</v>
      </c>
      <c r="AL208" s="254">
        <v>36502</v>
      </c>
      <c r="AM208" s="254">
        <v>4761</v>
      </c>
      <c r="AN208" s="254">
        <v>40447</v>
      </c>
      <c r="AO208" s="254">
        <v>-136680</v>
      </c>
      <c r="AP208" s="254">
        <v>-301344</v>
      </c>
      <c r="AQ208" s="254">
        <v>8890</v>
      </c>
      <c r="AR208" s="254">
        <v>-14062</v>
      </c>
      <c r="AS208" s="254">
        <v>22378</v>
      </c>
      <c r="AT208" s="254">
        <v>31167</v>
      </c>
      <c r="AU208" s="254">
        <v>20517</v>
      </c>
      <c r="AV208" s="254">
        <v>161456</v>
      </c>
      <c r="AW208" s="254">
        <v>231773</v>
      </c>
      <c r="AX208" s="254">
        <v>166075</v>
      </c>
      <c r="AY208" s="254">
        <v>-163727</v>
      </c>
      <c r="AZ208" s="254">
        <v>27938</v>
      </c>
      <c r="BA208" s="254">
        <v>482018</v>
      </c>
      <c r="BB208" s="254">
        <v>234748</v>
      </c>
      <c r="BC208" s="254">
        <v>93488</v>
      </c>
      <c r="BD208" s="254">
        <v>92654</v>
      </c>
      <c r="BE208" s="254">
        <v>584057</v>
      </c>
      <c r="BF208" s="254">
        <v>924767</v>
      </c>
    </row>
    <row r="209" spans="1:58" x14ac:dyDescent="0.3">
      <c r="A209" s="255" t="s">
        <v>965</v>
      </c>
      <c r="B209" s="256">
        <v>0</v>
      </c>
      <c r="C209" s="256">
        <v>530</v>
      </c>
      <c r="D209" s="256">
        <v>1629</v>
      </c>
      <c r="E209" s="256">
        <v>2684</v>
      </c>
      <c r="F209" s="256">
        <v>3385</v>
      </c>
      <c r="G209" s="256">
        <v>10351</v>
      </c>
      <c r="H209" s="256">
        <v>17854</v>
      </c>
      <c r="I209" s="256">
        <v>23465</v>
      </c>
      <c r="J209" s="256">
        <v>31959</v>
      </c>
      <c r="K209" s="256">
        <v>39313</v>
      </c>
      <c r="L209" s="261" t="s">
        <v>784</v>
      </c>
      <c r="M209" s="256">
        <v>14694</v>
      </c>
      <c r="N209" s="256">
        <v>0</v>
      </c>
      <c r="O209" s="256">
        <v>0</v>
      </c>
      <c r="P209" s="256">
        <v>1514</v>
      </c>
      <c r="Q209" s="256">
        <v>0</v>
      </c>
      <c r="R209" s="256">
        <v>3972</v>
      </c>
      <c r="S209" s="256">
        <v>1545</v>
      </c>
      <c r="T209" s="256">
        <v>1503</v>
      </c>
      <c r="U209" s="256">
        <v>5107</v>
      </c>
      <c r="V209" s="256">
        <v>13287</v>
      </c>
      <c r="W209" s="256">
        <v>882</v>
      </c>
      <c r="X209" s="256">
        <v>16</v>
      </c>
      <c r="Y209" s="256">
        <v>22</v>
      </c>
      <c r="Z209" s="256">
        <v>-124</v>
      </c>
      <c r="AA209" s="256">
        <v>0</v>
      </c>
      <c r="AB209" s="256">
        <v>0</v>
      </c>
      <c r="AC209" s="256">
        <v>0</v>
      </c>
      <c r="AD209" s="256">
        <v>4639</v>
      </c>
      <c r="AE209" s="256">
        <v>650</v>
      </c>
      <c r="AF209" s="256">
        <v>4051</v>
      </c>
      <c r="AG209" s="256">
        <v>1982</v>
      </c>
      <c r="AH209" s="256">
        <v>2545</v>
      </c>
      <c r="AI209" s="256">
        <v>8975</v>
      </c>
      <c r="AJ209" s="256">
        <v>10849</v>
      </c>
      <c r="AK209" s="256">
        <v>36482</v>
      </c>
      <c r="AL209" s="256">
        <v>42969</v>
      </c>
      <c r="AM209" s="256">
        <v>5398</v>
      </c>
      <c r="AN209" s="256">
        <v>42105</v>
      </c>
      <c r="AO209" s="256">
        <v>42680</v>
      </c>
      <c r="AP209" s="256">
        <v>55658</v>
      </c>
      <c r="AQ209" s="256">
        <v>12142</v>
      </c>
      <c r="AR209" s="256">
        <v>14775</v>
      </c>
      <c r="AS209" s="256">
        <v>24534</v>
      </c>
      <c r="AT209" s="256">
        <v>77140</v>
      </c>
      <c r="AU209" s="256">
        <v>79573</v>
      </c>
      <c r="AV209" s="256">
        <v>139537</v>
      </c>
      <c r="AW209" s="256">
        <v>234090</v>
      </c>
      <c r="AX209" s="256">
        <v>344812</v>
      </c>
      <c r="AY209" s="256">
        <v>115251</v>
      </c>
      <c r="AZ209" s="256">
        <v>313233</v>
      </c>
      <c r="BA209" s="256">
        <v>568781</v>
      </c>
      <c r="BB209" s="256">
        <v>545460</v>
      </c>
      <c r="BC209" s="256">
        <v>124073</v>
      </c>
      <c r="BD209" s="256">
        <v>233000</v>
      </c>
      <c r="BE209" s="256">
        <v>420700</v>
      </c>
      <c r="BF209" s="256">
        <v>683641</v>
      </c>
    </row>
    <row r="210" spans="1:58" x14ac:dyDescent="0.3">
      <c r="A210" s="255" t="s">
        <v>966</v>
      </c>
      <c r="B210" s="256">
        <v>1325</v>
      </c>
      <c r="C210" s="256">
        <v>0</v>
      </c>
      <c r="D210" s="256">
        <v>0</v>
      </c>
      <c r="E210" s="256">
        <v>0</v>
      </c>
      <c r="F210" s="256">
        <v>0</v>
      </c>
      <c r="G210" s="256">
        <v>-3107</v>
      </c>
      <c r="H210" s="256">
        <v>-5349</v>
      </c>
      <c r="I210" s="256">
        <v>-7041</v>
      </c>
      <c r="J210" s="256">
        <v>-8743</v>
      </c>
      <c r="K210" s="256">
        <v>-11798</v>
      </c>
      <c r="L210" s="261" t="s">
        <v>784</v>
      </c>
      <c r="M210" s="256">
        <v>-4409</v>
      </c>
      <c r="N210" s="256">
        <v>0</v>
      </c>
      <c r="O210" s="256">
        <v>0</v>
      </c>
      <c r="P210" s="256">
        <v>-458</v>
      </c>
      <c r="Q210" s="256">
        <v>-90059</v>
      </c>
      <c r="R210" s="256">
        <v>-327264</v>
      </c>
      <c r="S210" s="256">
        <v>0</v>
      </c>
      <c r="T210" s="256">
        <v>-460</v>
      </c>
      <c r="U210" s="256">
        <v>0</v>
      </c>
      <c r="V210" s="256">
        <v>-66528</v>
      </c>
      <c r="W210" s="256">
        <v>-1345</v>
      </c>
      <c r="X210" s="256">
        <v>-2637</v>
      </c>
      <c r="Y210" s="256">
        <v>-5333</v>
      </c>
      <c r="Z210" s="256">
        <v>-5403</v>
      </c>
      <c r="AA210" s="256">
        <v>360</v>
      </c>
      <c r="AB210" s="256">
        <v>24</v>
      </c>
      <c r="AC210" s="256">
        <v>22441</v>
      </c>
      <c r="AD210" s="256">
        <v>6690</v>
      </c>
      <c r="AE210" s="256">
        <v>4654</v>
      </c>
      <c r="AF210" s="256">
        <v>3523</v>
      </c>
      <c r="AG210" s="256">
        <v>2928</v>
      </c>
      <c r="AH210" s="256">
        <v>-4738</v>
      </c>
      <c r="AI210" s="256">
        <v>-9291</v>
      </c>
      <c r="AJ210" s="256">
        <v>-10839</v>
      </c>
      <c r="AK210" s="256">
        <v>-10718</v>
      </c>
      <c r="AL210" s="256">
        <v>-6467</v>
      </c>
      <c r="AM210" s="256">
        <v>-637</v>
      </c>
      <c r="AN210" s="256">
        <v>-1658</v>
      </c>
      <c r="AO210" s="256">
        <v>-179360</v>
      </c>
      <c r="AP210" s="256">
        <v>-357002</v>
      </c>
      <c r="AQ210" s="256">
        <v>-3252</v>
      </c>
      <c r="AR210" s="256">
        <v>-28837</v>
      </c>
      <c r="AS210" s="256">
        <v>-2156</v>
      </c>
      <c r="AT210" s="256">
        <v>-45973</v>
      </c>
      <c r="AU210" s="256">
        <v>-59056</v>
      </c>
      <c r="AV210" s="256">
        <v>21919</v>
      </c>
      <c r="AW210" s="256">
        <v>-2317</v>
      </c>
      <c r="AX210" s="256">
        <v>-178737</v>
      </c>
      <c r="AY210" s="256">
        <v>-278978</v>
      </c>
      <c r="AZ210" s="256">
        <v>-285295</v>
      </c>
      <c r="BA210" s="256">
        <v>-86763</v>
      </c>
      <c r="BB210" s="256">
        <v>-310712</v>
      </c>
      <c r="BC210" s="256">
        <v>-30585</v>
      </c>
      <c r="BD210" s="256">
        <v>-140346</v>
      </c>
      <c r="BE210" s="256">
        <v>163357</v>
      </c>
      <c r="BF210" s="256">
        <v>241126</v>
      </c>
    </row>
    <row r="211" spans="1:58" x14ac:dyDescent="0.3">
      <c r="A211" s="252" t="s">
        <v>967</v>
      </c>
      <c r="B211" s="254">
        <v>-12635</v>
      </c>
      <c r="C211" s="254">
        <v>-19339</v>
      </c>
      <c r="D211" s="254">
        <v>-38614</v>
      </c>
      <c r="E211" s="254">
        <v>-69652</v>
      </c>
      <c r="F211" s="254">
        <v>-142370</v>
      </c>
      <c r="G211" s="254">
        <v>-13852</v>
      </c>
      <c r="H211" s="254">
        <v>-67021</v>
      </c>
      <c r="I211" s="254">
        <v>-168347</v>
      </c>
      <c r="J211" s="254">
        <v>-304035</v>
      </c>
      <c r="K211" s="254">
        <v>-133230</v>
      </c>
      <c r="L211" s="254">
        <v>2682</v>
      </c>
      <c r="M211" s="254">
        <v>-137519</v>
      </c>
      <c r="N211" s="254">
        <v>-277566</v>
      </c>
      <c r="O211" s="254">
        <v>-99181</v>
      </c>
      <c r="P211" s="254">
        <v>-645239</v>
      </c>
      <c r="Q211" s="254">
        <v>-1369483</v>
      </c>
      <c r="R211" s="254">
        <v>-2237870</v>
      </c>
      <c r="S211" s="254">
        <v>1699</v>
      </c>
      <c r="T211" s="254">
        <v>11442</v>
      </c>
      <c r="U211" s="254">
        <v>25289</v>
      </c>
      <c r="V211" s="254">
        <v>-998762</v>
      </c>
      <c r="W211" s="254">
        <v>-53539</v>
      </c>
      <c r="X211" s="254">
        <v>-69774</v>
      </c>
      <c r="Y211" s="254">
        <v>-69753</v>
      </c>
      <c r="Z211" s="254">
        <v>110421</v>
      </c>
      <c r="AA211" s="254">
        <v>-65387</v>
      </c>
      <c r="AB211" s="254">
        <v>-116409</v>
      </c>
      <c r="AC211" s="254">
        <v>-44938</v>
      </c>
      <c r="AD211" s="254">
        <v>241622</v>
      </c>
      <c r="AE211" s="254">
        <v>4019</v>
      </c>
      <c r="AF211" s="254">
        <v>51125</v>
      </c>
      <c r="AG211" s="254">
        <v>67507</v>
      </c>
      <c r="AH211" s="254">
        <v>30627</v>
      </c>
      <c r="AI211" s="254">
        <v>2694</v>
      </c>
      <c r="AJ211" s="254">
        <v>73254</v>
      </c>
      <c r="AK211" s="254">
        <v>144712</v>
      </c>
      <c r="AL211" s="254">
        <v>204875</v>
      </c>
      <c r="AM211" s="254">
        <v>-53678</v>
      </c>
      <c r="AN211" s="254">
        <v>41858</v>
      </c>
      <c r="AO211" s="254">
        <v>47796</v>
      </c>
      <c r="AP211" s="254">
        <v>842346</v>
      </c>
      <c r="AQ211" s="254">
        <v>-61461</v>
      </c>
      <c r="AR211" s="254">
        <v>-161263</v>
      </c>
      <c r="AS211" s="254">
        <v>-271861</v>
      </c>
      <c r="AT211" s="254">
        <v>452913</v>
      </c>
      <c r="AU211" s="254">
        <v>-65792</v>
      </c>
      <c r="AV211" s="254">
        <v>355110</v>
      </c>
      <c r="AW211" s="254">
        <v>452214</v>
      </c>
      <c r="AX211" s="254">
        <v>1333046</v>
      </c>
      <c r="AY211" s="254">
        <v>1068970</v>
      </c>
      <c r="AZ211" s="254">
        <v>1708050</v>
      </c>
      <c r="BA211" s="254">
        <v>2500364</v>
      </c>
      <c r="BB211" s="254">
        <v>3427072</v>
      </c>
      <c r="BC211" s="254">
        <v>1162065</v>
      </c>
      <c r="BD211" s="254">
        <v>2003034</v>
      </c>
      <c r="BE211" s="254">
        <v>3631858</v>
      </c>
      <c r="BF211" s="254">
        <v>5179905</v>
      </c>
    </row>
    <row r="212" spans="1:58" x14ac:dyDescent="0.3">
      <c r="A212" s="252" t="s">
        <v>968</v>
      </c>
      <c r="B212" s="253" t="s">
        <v>784</v>
      </c>
      <c r="C212" s="254">
        <v>0</v>
      </c>
      <c r="D212" s="254">
        <v>0</v>
      </c>
      <c r="E212" s="254">
        <v>0</v>
      </c>
      <c r="F212" s="254">
        <v>0</v>
      </c>
      <c r="G212" s="254">
        <v>0</v>
      </c>
      <c r="H212" s="254">
        <v>0</v>
      </c>
      <c r="I212" s="254">
        <v>0</v>
      </c>
      <c r="J212" s="254">
        <v>0</v>
      </c>
      <c r="K212" s="254">
        <v>186515</v>
      </c>
      <c r="L212" s="254">
        <v>0</v>
      </c>
      <c r="M212" s="254">
        <v>0</v>
      </c>
      <c r="N212" s="254">
        <v>0</v>
      </c>
      <c r="O212" s="254">
        <v>0</v>
      </c>
      <c r="P212" s="254">
        <v>0</v>
      </c>
      <c r="Q212" s="254">
        <v>0</v>
      </c>
      <c r="R212" s="254">
        <v>0</v>
      </c>
      <c r="S212" s="254">
        <v>0</v>
      </c>
      <c r="T212" s="254">
        <v>0</v>
      </c>
      <c r="U212" s="254">
        <v>-4311</v>
      </c>
      <c r="V212" s="254">
        <v>-4311</v>
      </c>
      <c r="W212" s="254">
        <v>0</v>
      </c>
      <c r="X212" s="254">
        <v>0</v>
      </c>
      <c r="Y212" s="254">
        <v>0</v>
      </c>
      <c r="Z212" s="254">
        <v>0</v>
      </c>
      <c r="AA212" s="254">
        <v>0</v>
      </c>
      <c r="AB212" s="254">
        <v>0</v>
      </c>
      <c r="AC212" s="254">
        <v>0</v>
      </c>
      <c r="AD212" s="254">
        <v>0</v>
      </c>
      <c r="AE212" s="254">
        <v>0</v>
      </c>
      <c r="AF212" s="254">
        <v>0</v>
      </c>
      <c r="AG212" s="254">
        <v>0</v>
      </c>
      <c r="AH212" s="254">
        <v>0</v>
      </c>
      <c r="AI212" s="254">
        <v>0</v>
      </c>
      <c r="AJ212" s="254">
        <v>0</v>
      </c>
      <c r="AK212" s="254">
        <v>0</v>
      </c>
      <c r="AL212" s="254">
        <v>0</v>
      </c>
      <c r="AM212" s="254">
        <v>0</v>
      </c>
      <c r="AN212" s="254">
        <v>0</v>
      </c>
      <c r="AO212" s="254">
        <v>0</v>
      </c>
      <c r="AP212" s="254">
        <v>0</v>
      </c>
      <c r="AQ212" s="254">
        <v>0</v>
      </c>
      <c r="AR212" s="254">
        <v>0</v>
      </c>
      <c r="AS212" s="254">
        <v>0</v>
      </c>
      <c r="AT212" s="254">
        <v>0</v>
      </c>
      <c r="AU212" s="254">
        <v>0</v>
      </c>
      <c r="AV212" s="254">
        <v>0</v>
      </c>
      <c r="AW212" s="254">
        <v>0</v>
      </c>
      <c r="AX212" s="254">
        <v>0</v>
      </c>
      <c r="AY212" s="254">
        <v>0</v>
      </c>
      <c r="AZ212" s="254">
        <v>0</v>
      </c>
      <c r="BA212" s="254">
        <v>0</v>
      </c>
      <c r="BB212" s="254">
        <v>0</v>
      </c>
      <c r="BC212" s="254">
        <v>0</v>
      </c>
      <c r="BD212" s="254">
        <v>0</v>
      </c>
      <c r="BE212" s="254">
        <v>0</v>
      </c>
      <c r="BF212" s="254">
        <v>0</v>
      </c>
    </row>
    <row r="213" spans="1:58" x14ac:dyDescent="0.3">
      <c r="A213" s="255" t="s">
        <v>969</v>
      </c>
      <c r="B213" s="261" t="s">
        <v>784</v>
      </c>
      <c r="C213" s="256">
        <v>0</v>
      </c>
      <c r="D213" s="256">
        <v>0</v>
      </c>
      <c r="E213" s="256">
        <v>0</v>
      </c>
      <c r="F213" s="256">
        <v>0</v>
      </c>
      <c r="G213" s="256">
        <v>0</v>
      </c>
      <c r="H213" s="256">
        <v>0</v>
      </c>
      <c r="I213" s="256">
        <v>0</v>
      </c>
      <c r="J213" s="256">
        <v>0</v>
      </c>
      <c r="K213" s="256">
        <v>0</v>
      </c>
      <c r="L213" s="256">
        <v>0</v>
      </c>
      <c r="M213" s="256">
        <v>0</v>
      </c>
      <c r="N213" s="256">
        <v>0</v>
      </c>
      <c r="O213" s="256">
        <v>0</v>
      </c>
      <c r="P213" s="256">
        <v>0</v>
      </c>
      <c r="Q213" s="256">
        <v>0</v>
      </c>
      <c r="R213" s="256">
        <v>0</v>
      </c>
      <c r="S213" s="256">
        <v>0</v>
      </c>
      <c r="T213" s="256">
        <v>0</v>
      </c>
      <c r="U213" s="256">
        <v>-4311</v>
      </c>
      <c r="V213" s="256">
        <v>-4311</v>
      </c>
      <c r="W213" s="256">
        <v>0</v>
      </c>
      <c r="X213" s="256">
        <v>0</v>
      </c>
      <c r="Y213" s="256">
        <v>0</v>
      </c>
      <c r="Z213" s="256">
        <v>0</v>
      </c>
      <c r="AA213" s="256">
        <v>0</v>
      </c>
      <c r="AB213" s="256">
        <v>0</v>
      </c>
      <c r="AC213" s="256">
        <v>0</v>
      </c>
      <c r="AD213" s="256">
        <v>0</v>
      </c>
      <c r="AE213" s="256">
        <v>0</v>
      </c>
      <c r="AF213" s="256">
        <v>0</v>
      </c>
      <c r="AG213" s="256">
        <v>0</v>
      </c>
      <c r="AH213" s="256">
        <v>0</v>
      </c>
      <c r="AI213" s="256">
        <v>0</v>
      </c>
      <c r="AJ213" s="256">
        <v>0</v>
      </c>
      <c r="AK213" s="256">
        <v>0</v>
      </c>
      <c r="AL213" s="256">
        <v>0</v>
      </c>
      <c r="AM213" s="256">
        <v>0</v>
      </c>
      <c r="AN213" s="256">
        <v>0</v>
      </c>
      <c r="AO213" s="256">
        <v>0</v>
      </c>
      <c r="AP213" s="256">
        <v>0</v>
      </c>
      <c r="AQ213" s="256">
        <v>0</v>
      </c>
      <c r="AR213" s="256">
        <v>0</v>
      </c>
      <c r="AS213" s="256">
        <v>0</v>
      </c>
      <c r="AT213" s="256">
        <v>0</v>
      </c>
      <c r="AU213" s="256">
        <v>0</v>
      </c>
      <c r="AV213" s="256">
        <v>0</v>
      </c>
      <c r="AW213" s="256">
        <v>0</v>
      </c>
      <c r="AX213" s="256">
        <v>0</v>
      </c>
      <c r="AY213" s="256">
        <v>0</v>
      </c>
      <c r="AZ213" s="256">
        <v>0</v>
      </c>
      <c r="BA213" s="256">
        <v>0</v>
      </c>
      <c r="BB213" s="256">
        <v>0</v>
      </c>
      <c r="BC213" s="256">
        <v>0</v>
      </c>
      <c r="BD213" s="256">
        <v>0</v>
      </c>
      <c r="BE213" s="256">
        <v>0</v>
      </c>
      <c r="BF213" s="256">
        <v>0</v>
      </c>
    </row>
    <row r="214" spans="1:58" x14ac:dyDescent="0.3">
      <c r="A214" s="255" t="s">
        <v>970</v>
      </c>
      <c r="B214" s="261" t="s">
        <v>784</v>
      </c>
      <c r="C214" s="256">
        <v>0</v>
      </c>
      <c r="D214" s="256">
        <v>0</v>
      </c>
      <c r="E214" s="256">
        <v>0</v>
      </c>
      <c r="F214" s="256">
        <v>0</v>
      </c>
      <c r="G214" s="256">
        <v>0</v>
      </c>
      <c r="H214" s="256">
        <v>0</v>
      </c>
      <c r="I214" s="256">
        <v>0</v>
      </c>
      <c r="J214" s="256">
        <v>0</v>
      </c>
      <c r="K214" s="256">
        <v>186515</v>
      </c>
      <c r="L214" s="256">
        <v>0</v>
      </c>
      <c r="M214" s="256">
        <v>0</v>
      </c>
      <c r="N214" s="256">
        <v>0</v>
      </c>
      <c r="O214" s="256">
        <v>0</v>
      </c>
      <c r="P214" s="256">
        <v>0</v>
      </c>
      <c r="Q214" s="256">
        <v>0</v>
      </c>
      <c r="R214" s="256">
        <v>0</v>
      </c>
      <c r="S214" s="256">
        <v>0</v>
      </c>
      <c r="T214" s="256">
        <v>0</v>
      </c>
      <c r="U214" s="256">
        <v>0</v>
      </c>
      <c r="V214" s="256">
        <v>0</v>
      </c>
      <c r="W214" s="256">
        <v>0</v>
      </c>
      <c r="X214" s="256">
        <v>0</v>
      </c>
      <c r="Y214" s="256">
        <v>0</v>
      </c>
      <c r="Z214" s="256">
        <v>0</v>
      </c>
      <c r="AA214" s="256">
        <v>0</v>
      </c>
      <c r="AB214" s="256">
        <v>0</v>
      </c>
      <c r="AC214" s="256">
        <v>0</v>
      </c>
      <c r="AD214" s="256">
        <v>0</v>
      </c>
      <c r="AE214" s="256">
        <v>0</v>
      </c>
      <c r="AF214" s="256">
        <v>0</v>
      </c>
      <c r="AG214" s="256">
        <v>0</v>
      </c>
      <c r="AH214" s="256">
        <v>0</v>
      </c>
      <c r="AI214" s="256">
        <v>0</v>
      </c>
      <c r="AJ214" s="256">
        <v>0</v>
      </c>
      <c r="AK214" s="256">
        <v>0</v>
      </c>
      <c r="AL214" s="256">
        <v>0</v>
      </c>
      <c r="AM214" s="256">
        <v>0</v>
      </c>
      <c r="AN214" s="256">
        <v>0</v>
      </c>
      <c r="AO214" s="256">
        <v>0</v>
      </c>
      <c r="AP214" s="256">
        <v>0</v>
      </c>
      <c r="AQ214" s="256">
        <v>0</v>
      </c>
      <c r="AR214" s="256">
        <v>0</v>
      </c>
      <c r="AS214" s="256">
        <v>0</v>
      </c>
      <c r="AT214" s="256">
        <v>0</v>
      </c>
      <c r="AU214" s="256">
        <v>0</v>
      </c>
      <c r="AV214" s="256">
        <v>0</v>
      </c>
      <c r="AW214" s="256">
        <v>0</v>
      </c>
      <c r="AX214" s="256">
        <v>0</v>
      </c>
      <c r="AY214" s="256">
        <v>0</v>
      </c>
      <c r="AZ214" s="256">
        <v>0</v>
      </c>
      <c r="BA214" s="256">
        <v>0</v>
      </c>
      <c r="BB214" s="256">
        <v>0</v>
      </c>
      <c r="BC214" s="256">
        <v>0</v>
      </c>
      <c r="BD214" s="256">
        <v>0</v>
      </c>
      <c r="BE214" s="256">
        <v>0</v>
      </c>
      <c r="BF214" s="256">
        <v>0</v>
      </c>
    </row>
    <row r="215" spans="1:58" x14ac:dyDescent="0.3">
      <c r="A215" s="252" t="s">
        <v>971</v>
      </c>
      <c r="B215" s="254">
        <v>-12635</v>
      </c>
      <c r="C215" s="254">
        <v>-19339</v>
      </c>
      <c r="D215" s="254">
        <v>-38614</v>
      </c>
      <c r="E215" s="254">
        <v>-69652</v>
      </c>
      <c r="F215" s="254">
        <v>-142370</v>
      </c>
      <c r="G215" s="254">
        <v>-13852</v>
      </c>
      <c r="H215" s="254">
        <v>-67021</v>
      </c>
      <c r="I215" s="254">
        <v>-168347</v>
      </c>
      <c r="J215" s="254">
        <v>-304035</v>
      </c>
      <c r="K215" s="254">
        <v>53285</v>
      </c>
      <c r="L215" s="254">
        <v>2682</v>
      </c>
      <c r="M215" s="254">
        <v>-137519</v>
      </c>
      <c r="N215" s="254">
        <v>-277566</v>
      </c>
      <c r="O215" s="254">
        <v>-99181</v>
      </c>
      <c r="P215" s="254">
        <v>-645239</v>
      </c>
      <c r="Q215" s="254">
        <v>-1369483</v>
      </c>
      <c r="R215" s="254">
        <v>-2237870</v>
      </c>
      <c r="S215" s="254">
        <v>1699</v>
      </c>
      <c r="T215" s="254">
        <v>11442</v>
      </c>
      <c r="U215" s="254">
        <v>20978</v>
      </c>
      <c r="V215" s="254">
        <v>-1003073</v>
      </c>
      <c r="W215" s="254">
        <v>-53539</v>
      </c>
      <c r="X215" s="254">
        <v>-69774</v>
      </c>
      <c r="Y215" s="254">
        <v>-69753</v>
      </c>
      <c r="Z215" s="254">
        <v>110421</v>
      </c>
      <c r="AA215" s="254">
        <v>-65387</v>
      </c>
      <c r="AB215" s="254">
        <v>-116409</v>
      </c>
      <c r="AC215" s="254">
        <v>-44938</v>
      </c>
      <c r="AD215" s="254">
        <v>241622</v>
      </c>
      <c r="AE215" s="254">
        <v>4019</v>
      </c>
      <c r="AF215" s="254">
        <v>51125</v>
      </c>
      <c r="AG215" s="254">
        <v>67507</v>
      </c>
      <c r="AH215" s="254">
        <v>30627</v>
      </c>
      <c r="AI215" s="254">
        <v>2694</v>
      </c>
      <c r="AJ215" s="254">
        <v>73254</v>
      </c>
      <c r="AK215" s="254">
        <v>144712</v>
      </c>
      <c r="AL215" s="254">
        <v>204875</v>
      </c>
      <c r="AM215" s="254">
        <v>-53678</v>
      </c>
      <c r="AN215" s="254">
        <v>41858</v>
      </c>
      <c r="AO215" s="254">
        <v>47796</v>
      </c>
      <c r="AP215" s="254">
        <v>842346</v>
      </c>
      <c r="AQ215" s="254">
        <v>-61461</v>
      </c>
      <c r="AR215" s="254">
        <v>-161263</v>
      </c>
      <c r="AS215" s="254">
        <v>-271861</v>
      </c>
      <c r="AT215" s="254">
        <v>452913</v>
      </c>
      <c r="AU215" s="254">
        <v>-65792</v>
      </c>
      <c r="AV215" s="254">
        <v>355110</v>
      </c>
      <c r="AW215" s="254">
        <v>452214</v>
      </c>
      <c r="AX215" s="254">
        <v>1333046</v>
      </c>
      <c r="AY215" s="254">
        <v>1068970</v>
      </c>
      <c r="AZ215" s="254">
        <v>1708050</v>
      </c>
      <c r="BA215" s="254">
        <v>2500364</v>
      </c>
      <c r="BB215" s="254">
        <v>3427072</v>
      </c>
      <c r="BC215" s="254">
        <v>1162065</v>
      </c>
      <c r="BD215" s="254">
        <v>2003034</v>
      </c>
      <c r="BE215" s="254">
        <v>3631858</v>
      </c>
      <c r="BF215" s="254">
        <v>5179905</v>
      </c>
    </row>
    <row r="216" spans="1:58" x14ac:dyDescent="0.3">
      <c r="A216" s="252" t="s">
        <v>972</v>
      </c>
      <c r="B216" s="254">
        <v>0</v>
      </c>
      <c r="C216" s="254">
        <v>0</v>
      </c>
      <c r="D216" s="254">
        <v>-54</v>
      </c>
      <c r="E216" s="254">
        <v>-56</v>
      </c>
      <c r="F216" s="254">
        <v>0</v>
      </c>
      <c r="G216" s="254">
        <v>0</v>
      </c>
      <c r="H216" s="254">
        <v>0</v>
      </c>
      <c r="I216" s="254">
        <v>0</v>
      </c>
      <c r="J216" s="254">
        <v>0</v>
      </c>
      <c r="K216" s="254">
        <v>0</v>
      </c>
      <c r="L216" s="254">
        <v>0</v>
      </c>
      <c r="M216" s="254">
        <v>0</v>
      </c>
      <c r="N216" s="254">
        <v>0</v>
      </c>
      <c r="O216" s="254">
        <v>0</v>
      </c>
      <c r="P216" s="254">
        <v>0</v>
      </c>
      <c r="Q216" s="254">
        <v>0</v>
      </c>
      <c r="R216" s="254">
        <v>0</v>
      </c>
      <c r="S216" s="254">
        <v>0</v>
      </c>
      <c r="T216" s="254">
        <v>0</v>
      </c>
      <c r="U216" s="254">
        <v>0</v>
      </c>
      <c r="V216" s="254">
        <v>0</v>
      </c>
      <c r="W216" s="254">
        <v>0</v>
      </c>
      <c r="X216" s="254">
        <v>0</v>
      </c>
      <c r="Y216" s="254">
        <v>-14</v>
      </c>
      <c r="Z216" s="254">
        <v>0</v>
      </c>
      <c r="AA216" s="254">
        <v>0</v>
      </c>
      <c r="AB216" s="254">
        <v>0</v>
      </c>
      <c r="AC216" s="254">
        <v>0</v>
      </c>
      <c r="AD216" s="254">
        <v>0</v>
      </c>
      <c r="AE216" s="254">
        <v>0</v>
      </c>
      <c r="AF216" s="254">
        <v>0</v>
      </c>
      <c r="AG216" s="254">
        <v>0</v>
      </c>
      <c r="AH216" s="254">
        <v>0</v>
      </c>
      <c r="AI216" s="254">
        <v>0</v>
      </c>
      <c r="AJ216" s="254">
        <v>0</v>
      </c>
      <c r="AK216" s="254">
        <v>0</v>
      </c>
      <c r="AL216" s="254">
        <v>0</v>
      </c>
      <c r="AM216" s="254">
        <v>0</v>
      </c>
      <c r="AN216" s="254">
        <v>0</v>
      </c>
      <c r="AO216" s="254">
        <v>0</v>
      </c>
      <c r="AP216" s="254">
        <v>0</v>
      </c>
      <c r="AQ216" s="254">
        <v>0</v>
      </c>
      <c r="AR216" s="254">
        <v>0</v>
      </c>
      <c r="AS216" s="254">
        <v>0</v>
      </c>
      <c r="AT216" s="254">
        <v>147</v>
      </c>
      <c r="AU216" s="254">
        <v>0</v>
      </c>
      <c r="AV216" s="254">
        <v>0</v>
      </c>
      <c r="AW216" s="254">
        <v>0</v>
      </c>
      <c r="AX216" s="254">
        <v>0</v>
      </c>
      <c r="AY216" s="254">
        <v>0</v>
      </c>
      <c r="AZ216" s="254">
        <v>0</v>
      </c>
      <c r="BA216" s="254">
        <v>0</v>
      </c>
      <c r="BB216" s="254">
        <v>0</v>
      </c>
      <c r="BC216" s="254">
        <v>0</v>
      </c>
      <c r="BD216" s="254">
        <v>0</v>
      </c>
      <c r="BE216" s="254">
        <v>0</v>
      </c>
      <c r="BF216" s="254">
        <v>0</v>
      </c>
    </row>
    <row r="217" spans="1:58" x14ac:dyDescent="0.3">
      <c r="A217" s="252" t="s">
        <v>973</v>
      </c>
      <c r="B217" s="254">
        <v>-12635</v>
      </c>
      <c r="C217" s="254">
        <v>-19339</v>
      </c>
      <c r="D217" s="254">
        <v>-38560</v>
      </c>
      <c r="E217" s="254">
        <v>-69596</v>
      </c>
      <c r="F217" s="254">
        <v>-142370</v>
      </c>
      <c r="G217" s="254">
        <v>-13852</v>
      </c>
      <c r="H217" s="254">
        <v>-67021</v>
      </c>
      <c r="I217" s="254">
        <v>-168347</v>
      </c>
      <c r="J217" s="254">
        <v>-304035</v>
      </c>
      <c r="K217" s="254">
        <v>53285</v>
      </c>
      <c r="L217" s="254">
        <v>2682</v>
      </c>
      <c r="M217" s="254">
        <v>-137519</v>
      </c>
      <c r="N217" s="254">
        <v>-277566</v>
      </c>
      <c r="O217" s="254">
        <v>-99181</v>
      </c>
      <c r="P217" s="254">
        <v>-645239</v>
      </c>
      <c r="Q217" s="254">
        <v>-1369483</v>
      </c>
      <c r="R217" s="254">
        <v>-2237870</v>
      </c>
      <c r="S217" s="254">
        <v>1699</v>
      </c>
      <c r="T217" s="254">
        <v>11442</v>
      </c>
      <c r="U217" s="254">
        <v>20978</v>
      </c>
      <c r="V217" s="254">
        <v>-1003073</v>
      </c>
      <c r="W217" s="254">
        <v>-53539</v>
      </c>
      <c r="X217" s="254">
        <v>-69774</v>
      </c>
      <c r="Y217" s="254">
        <v>-69739</v>
      </c>
      <c r="Z217" s="254">
        <v>110421</v>
      </c>
      <c r="AA217" s="254">
        <v>-65387</v>
      </c>
      <c r="AB217" s="254">
        <v>-116409</v>
      </c>
      <c r="AC217" s="254">
        <v>-44938</v>
      </c>
      <c r="AD217" s="254">
        <v>241622</v>
      </c>
      <c r="AE217" s="254">
        <v>4019</v>
      </c>
      <c r="AF217" s="254">
        <v>51125</v>
      </c>
      <c r="AG217" s="254">
        <v>67507</v>
      </c>
      <c r="AH217" s="254">
        <v>30627</v>
      </c>
      <c r="AI217" s="254">
        <v>2694</v>
      </c>
      <c r="AJ217" s="254">
        <v>73254</v>
      </c>
      <c r="AK217" s="254">
        <v>144712</v>
      </c>
      <c r="AL217" s="254">
        <v>204875</v>
      </c>
      <c r="AM217" s="254">
        <v>-53678</v>
      </c>
      <c r="AN217" s="254">
        <v>41858</v>
      </c>
      <c r="AO217" s="254">
        <v>47796</v>
      </c>
      <c r="AP217" s="254">
        <v>842346</v>
      </c>
      <c r="AQ217" s="254">
        <v>-61461</v>
      </c>
      <c r="AR217" s="254">
        <v>-161263</v>
      </c>
      <c r="AS217" s="254">
        <v>-271861</v>
      </c>
      <c r="AT217" s="254">
        <v>452766</v>
      </c>
      <c r="AU217" s="254">
        <v>-65792</v>
      </c>
      <c r="AV217" s="254">
        <v>355110</v>
      </c>
      <c r="AW217" s="254">
        <v>452214</v>
      </c>
      <c r="AX217" s="254">
        <v>1333046</v>
      </c>
      <c r="AY217" s="254">
        <v>1068970</v>
      </c>
      <c r="AZ217" s="254">
        <v>1708050</v>
      </c>
      <c r="BA217" s="254">
        <v>2500364</v>
      </c>
      <c r="BB217" s="254">
        <v>3427072</v>
      </c>
      <c r="BC217" s="254">
        <v>1162065</v>
      </c>
      <c r="BD217" s="254">
        <v>2003034</v>
      </c>
      <c r="BE217" s="254">
        <v>3631858</v>
      </c>
      <c r="BF217" s="254">
        <v>5179905</v>
      </c>
    </row>
    <row r="218" spans="1:58" x14ac:dyDescent="0.3">
      <c r="A218" s="252"/>
      <c r="B218" s="253"/>
      <c r="C218" s="253"/>
      <c r="D218" s="253"/>
      <c r="E218" s="253"/>
      <c r="F218" s="253"/>
      <c r="G218" s="253"/>
      <c r="H218" s="253"/>
      <c r="I218" s="253"/>
      <c r="J218" s="253"/>
      <c r="K218" s="253"/>
      <c r="L218" s="253"/>
      <c r="M218" s="253"/>
      <c r="N218" s="253"/>
      <c r="O218" s="253"/>
      <c r="P218" s="253"/>
      <c r="Q218" s="253"/>
      <c r="R218" s="253"/>
      <c r="S218" s="253"/>
      <c r="T218" s="253"/>
      <c r="U218" s="253"/>
      <c r="V218" s="253"/>
      <c r="W218" s="253"/>
      <c r="X218" s="253"/>
      <c r="Y218" s="253"/>
      <c r="Z218" s="253"/>
      <c r="AA218" s="253"/>
      <c r="AB218" s="253"/>
      <c r="AC218" s="253"/>
      <c r="AD218" s="253"/>
      <c r="AE218" s="253"/>
      <c r="AF218" s="253"/>
      <c r="AG218" s="253"/>
      <c r="AH218" s="253"/>
      <c r="AI218" s="253"/>
      <c r="AJ218" s="253"/>
      <c r="AK218" s="253"/>
      <c r="AL218" s="253"/>
      <c r="AM218" s="253"/>
      <c r="AN218" s="253"/>
      <c r="AO218" s="253"/>
      <c r="AP218" s="253"/>
      <c r="AQ218" s="253"/>
      <c r="AR218" s="253"/>
      <c r="AS218" s="253"/>
      <c r="AT218" s="253"/>
      <c r="AU218" s="253"/>
      <c r="AV218" s="253"/>
      <c r="AW218" s="253"/>
      <c r="AX218" s="253"/>
      <c r="AY218" s="253"/>
      <c r="AZ218" s="253"/>
      <c r="BA218" s="253"/>
      <c r="BB218" s="253"/>
      <c r="BC218" s="254">
        <f>BC217</f>
        <v>1162065</v>
      </c>
      <c r="BD218" s="254">
        <f>BD217-BC217</f>
        <v>840969</v>
      </c>
      <c r="BE218" s="254">
        <f>BE217-BD217</f>
        <v>1628824</v>
      </c>
      <c r="BF218" s="254">
        <f>BF217-BE217</f>
        <v>1548047</v>
      </c>
    </row>
    <row r="219" spans="1:58" x14ac:dyDescent="0.3">
      <c r="A219" s="252" t="s">
        <v>974</v>
      </c>
      <c r="B219" s="253" t="s">
        <v>5</v>
      </c>
      <c r="C219" s="253" t="s">
        <v>5</v>
      </c>
      <c r="D219" s="253" t="s">
        <v>5</v>
      </c>
      <c r="E219" s="253" t="s">
        <v>5</v>
      </c>
      <c r="F219" s="253" t="s">
        <v>5</v>
      </c>
      <c r="G219" s="253" t="s">
        <v>5</v>
      </c>
      <c r="H219" s="253" t="s">
        <v>5</v>
      </c>
      <c r="I219" s="253" t="s">
        <v>5</v>
      </c>
      <c r="J219" s="253" t="s">
        <v>5</v>
      </c>
      <c r="K219" s="253" t="s">
        <v>5</v>
      </c>
      <c r="L219" s="253" t="s">
        <v>5</v>
      </c>
      <c r="M219" s="253" t="s">
        <v>5</v>
      </c>
      <c r="N219" s="253" t="s">
        <v>5</v>
      </c>
      <c r="O219" s="253" t="s">
        <v>5</v>
      </c>
      <c r="P219" s="253" t="s">
        <v>5</v>
      </c>
      <c r="Q219" s="253" t="s">
        <v>5</v>
      </c>
      <c r="R219" s="253" t="s">
        <v>5</v>
      </c>
      <c r="S219" s="253" t="s">
        <v>5</v>
      </c>
      <c r="T219" s="253" t="s">
        <v>5</v>
      </c>
      <c r="U219" s="253" t="s">
        <v>5</v>
      </c>
      <c r="V219" s="253" t="s">
        <v>5</v>
      </c>
      <c r="W219" s="253" t="s">
        <v>5</v>
      </c>
      <c r="X219" s="253" t="s">
        <v>5</v>
      </c>
      <c r="Y219" s="253" t="s">
        <v>5</v>
      </c>
      <c r="Z219" s="253" t="s">
        <v>5</v>
      </c>
      <c r="AA219" s="253" t="s">
        <v>5</v>
      </c>
      <c r="AB219" s="253" t="s">
        <v>5</v>
      </c>
      <c r="AC219" s="253" t="s">
        <v>5</v>
      </c>
      <c r="AD219" s="253" t="s">
        <v>5</v>
      </c>
      <c r="AE219" s="253" t="s">
        <v>5</v>
      </c>
      <c r="AF219" s="253" t="s">
        <v>5</v>
      </c>
      <c r="AG219" s="253" t="s">
        <v>5</v>
      </c>
      <c r="AH219" s="253" t="s">
        <v>5</v>
      </c>
      <c r="AI219" s="253" t="s">
        <v>5</v>
      </c>
      <c r="AJ219" s="253" t="s">
        <v>5</v>
      </c>
      <c r="AK219" s="253" t="s">
        <v>5</v>
      </c>
      <c r="AL219" s="253" t="s">
        <v>5</v>
      </c>
      <c r="AM219" s="253" t="s">
        <v>5</v>
      </c>
      <c r="AN219" s="253" t="s">
        <v>5</v>
      </c>
      <c r="AO219" s="253" t="s">
        <v>5</v>
      </c>
      <c r="AP219" s="253" t="s">
        <v>5</v>
      </c>
      <c r="AQ219" s="253" t="s">
        <v>5</v>
      </c>
      <c r="AR219" s="253" t="s">
        <v>5</v>
      </c>
      <c r="AS219" s="253" t="s">
        <v>5</v>
      </c>
      <c r="AT219" s="253" t="s">
        <v>5</v>
      </c>
      <c r="AU219" s="253" t="s">
        <v>5</v>
      </c>
      <c r="AV219" s="253" t="s">
        <v>5</v>
      </c>
      <c r="AW219" s="253" t="s">
        <v>5</v>
      </c>
      <c r="AX219" s="253" t="s">
        <v>5</v>
      </c>
      <c r="AY219" s="253" t="s">
        <v>5</v>
      </c>
      <c r="AZ219" s="253" t="s">
        <v>5</v>
      </c>
      <c r="BA219" s="253" t="s">
        <v>5</v>
      </c>
      <c r="BB219" s="253" t="s">
        <v>5</v>
      </c>
      <c r="BC219" s="253" t="s">
        <v>5</v>
      </c>
      <c r="BD219" s="253" t="s">
        <v>5</v>
      </c>
      <c r="BE219" s="253" t="s">
        <v>5</v>
      </c>
      <c r="BF219" s="253" t="s">
        <v>5</v>
      </c>
    </row>
    <row r="220" spans="1:58" x14ac:dyDescent="0.3">
      <c r="A220" s="252" t="s">
        <v>948</v>
      </c>
      <c r="B220" s="253">
        <v>12</v>
      </c>
      <c r="C220" s="253">
        <v>3</v>
      </c>
      <c r="D220" s="253">
        <v>6</v>
      </c>
      <c r="E220" s="253">
        <v>9</v>
      </c>
      <c r="F220" s="253">
        <v>12</v>
      </c>
      <c r="G220" s="253">
        <v>3</v>
      </c>
      <c r="H220" s="253">
        <v>6</v>
      </c>
      <c r="I220" s="253">
        <v>9</v>
      </c>
      <c r="J220" s="253">
        <v>12</v>
      </c>
      <c r="K220" s="253">
        <v>3</v>
      </c>
      <c r="L220" s="253">
        <v>6</v>
      </c>
      <c r="M220" s="253">
        <v>9</v>
      </c>
      <c r="N220" s="253">
        <v>12</v>
      </c>
      <c r="O220" s="253">
        <v>3</v>
      </c>
      <c r="P220" s="253">
        <v>6</v>
      </c>
      <c r="Q220" s="253">
        <v>9</v>
      </c>
      <c r="R220" s="253">
        <v>12</v>
      </c>
      <c r="S220" s="253">
        <v>3</v>
      </c>
      <c r="T220" s="253">
        <v>6</v>
      </c>
      <c r="U220" s="253">
        <v>9</v>
      </c>
      <c r="V220" s="253">
        <v>12</v>
      </c>
      <c r="W220" s="253">
        <v>3</v>
      </c>
      <c r="X220" s="253">
        <v>6</v>
      </c>
      <c r="Y220" s="253">
        <v>9</v>
      </c>
      <c r="Z220" s="253">
        <v>12</v>
      </c>
      <c r="AA220" s="253">
        <v>3</v>
      </c>
      <c r="AB220" s="253">
        <v>6</v>
      </c>
      <c r="AC220" s="253">
        <v>9</v>
      </c>
      <c r="AD220" s="253">
        <v>12</v>
      </c>
      <c r="AE220" s="253">
        <v>3</v>
      </c>
      <c r="AF220" s="253">
        <v>6</v>
      </c>
      <c r="AG220" s="253">
        <v>9</v>
      </c>
      <c r="AH220" s="253">
        <v>12</v>
      </c>
      <c r="AI220" s="253">
        <v>3</v>
      </c>
      <c r="AJ220" s="253">
        <v>6</v>
      </c>
      <c r="AK220" s="253">
        <v>9</v>
      </c>
      <c r="AL220" s="253">
        <v>12</v>
      </c>
      <c r="AM220" s="253">
        <v>3</v>
      </c>
      <c r="AN220" s="253">
        <v>6</v>
      </c>
      <c r="AO220" s="253">
        <v>9</v>
      </c>
      <c r="AP220" s="253">
        <v>12</v>
      </c>
      <c r="AQ220" s="253">
        <v>3</v>
      </c>
      <c r="AR220" s="253">
        <v>6</v>
      </c>
      <c r="AS220" s="253">
        <v>9</v>
      </c>
      <c r="AT220" s="253">
        <v>12</v>
      </c>
      <c r="AU220" s="253">
        <v>3</v>
      </c>
      <c r="AV220" s="253">
        <v>6</v>
      </c>
      <c r="AW220" s="253">
        <v>9</v>
      </c>
      <c r="AX220" s="253">
        <v>12</v>
      </c>
      <c r="AY220" s="253">
        <v>3</v>
      </c>
      <c r="AZ220" s="253">
        <v>6</v>
      </c>
      <c r="BA220" s="253">
        <v>9</v>
      </c>
      <c r="BB220" s="253">
        <v>12</v>
      </c>
      <c r="BC220" s="253">
        <v>3</v>
      </c>
      <c r="BD220" s="253">
        <v>6</v>
      </c>
      <c r="BE220" s="253">
        <v>9</v>
      </c>
      <c r="BF220" s="253">
        <v>12</v>
      </c>
    </row>
    <row r="221" spans="1:58" x14ac:dyDescent="0.3">
      <c r="A221" s="252"/>
      <c r="B221" s="253"/>
      <c r="C221" s="253"/>
      <c r="D221" s="253"/>
      <c r="E221" s="253"/>
      <c r="F221" s="253"/>
      <c r="G221" s="253"/>
      <c r="H221" s="253"/>
      <c r="I221" s="253"/>
      <c r="J221" s="253"/>
      <c r="K221" s="253"/>
      <c r="L221" s="253"/>
      <c r="M221" s="253"/>
      <c r="N221" s="253"/>
      <c r="O221" s="253"/>
      <c r="P221" s="253"/>
      <c r="Q221" s="253"/>
      <c r="R221" s="253"/>
      <c r="S221" s="253"/>
      <c r="T221" s="253"/>
      <c r="U221" s="253"/>
      <c r="V221" s="253"/>
      <c r="W221" s="253"/>
      <c r="X221" s="253"/>
      <c r="Y221" s="253"/>
      <c r="Z221" s="253"/>
      <c r="AA221" s="253"/>
      <c r="AB221" s="253"/>
      <c r="AC221" s="253"/>
      <c r="AD221" s="253"/>
      <c r="AE221" s="253"/>
      <c r="AF221" s="253"/>
      <c r="AG221" s="253"/>
      <c r="AH221" s="253"/>
      <c r="AI221" s="253"/>
      <c r="AJ221" s="253"/>
      <c r="AK221" s="253"/>
      <c r="AL221" s="253"/>
      <c r="AM221" s="253"/>
      <c r="AN221" s="253"/>
      <c r="AO221" s="253"/>
      <c r="AP221" s="253"/>
      <c r="AQ221" s="253"/>
      <c r="AR221" s="253"/>
      <c r="AS221" s="253"/>
      <c r="AT221" s="253"/>
      <c r="AU221" s="253"/>
      <c r="AV221" s="253"/>
      <c r="AW221" s="253"/>
      <c r="AX221" s="253"/>
      <c r="AY221" s="253"/>
      <c r="AZ221" s="253"/>
      <c r="BA221" s="253"/>
      <c r="BB221" s="253"/>
      <c r="BC221" s="253"/>
      <c r="BD221" s="253"/>
      <c r="BE221" s="253"/>
      <c r="BF221" s="253"/>
    </row>
    <row r="222" spans="1:58" x14ac:dyDescent="0.3">
      <c r="A222" s="252" t="s">
        <v>975</v>
      </c>
      <c r="B222" s="254">
        <v>-17101</v>
      </c>
      <c r="C222" s="254">
        <v>-41746</v>
      </c>
      <c r="D222" s="254">
        <v>-71281</v>
      </c>
      <c r="E222" s="254">
        <v>-105881</v>
      </c>
      <c r="F222" s="254">
        <v>-2199821</v>
      </c>
      <c r="G222" s="254">
        <v>-74733</v>
      </c>
      <c r="H222" s="254">
        <v>-123467</v>
      </c>
      <c r="I222" s="254">
        <v>-385200</v>
      </c>
      <c r="J222" s="254">
        <v>-503418</v>
      </c>
      <c r="K222" s="254">
        <v>-1751309</v>
      </c>
      <c r="L222" s="254">
        <v>-109990</v>
      </c>
      <c r="M222" s="254">
        <v>-210821</v>
      </c>
      <c r="N222" s="254">
        <v>-234358</v>
      </c>
      <c r="O222" s="254">
        <v>-106346</v>
      </c>
      <c r="P222" s="254">
        <v>-167224</v>
      </c>
      <c r="Q222" s="254">
        <v>-379961</v>
      </c>
      <c r="R222" s="254">
        <v>-282875</v>
      </c>
      <c r="S222" s="254">
        <v>155697</v>
      </c>
      <c r="T222" s="254">
        <v>83788</v>
      </c>
      <c r="U222" s="254">
        <v>107602</v>
      </c>
      <c r="V222" s="254">
        <v>88168</v>
      </c>
      <c r="W222" s="254">
        <v>-34219</v>
      </c>
      <c r="X222" s="254">
        <v>-40219</v>
      </c>
      <c r="Y222" s="254">
        <v>-123640</v>
      </c>
      <c r="Z222" s="254">
        <v>-20171</v>
      </c>
      <c r="AA222" s="254">
        <v>45983</v>
      </c>
      <c r="AB222" s="254">
        <v>28497</v>
      </c>
      <c r="AC222" s="254">
        <v>36046</v>
      </c>
      <c r="AD222" s="254">
        <v>114000</v>
      </c>
      <c r="AE222" s="254">
        <v>-19201</v>
      </c>
      <c r="AF222" s="254">
        <v>-10072</v>
      </c>
      <c r="AG222" s="254">
        <v>26243</v>
      </c>
      <c r="AH222" s="254">
        <v>51536</v>
      </c>
      <c r="AI222" s="254">
        <v>-17962</v>
      </c>
      <c r="AJ222" s="254">
        <v>77058</v>
      </c>
      <c r="AK222" s="254">
        <v>167710</v>
      </c>
      <c r="AL222" s="254">
        <v>270116</v>
      </c>
      <c r="AM222" s="254">
        <v>44927</v>
      </c>
      <c r="AN222" s="254">
        <v>374038</v>
      </c>
      <c r="AO222" s="254">
        <v>521799</v>
      </c>
      <c r="AP222" s="254">
        <v>444671</v>
      </c>
      <c r="AQ222" s="254">
        <v>236752</v>
      </c>
      <c r="AR222" s="254">
        <v>791434</v>
      </c>
      <c r="AS222" s="254">
        <v>1254191</v>
      </c>
      <c r="AT222" s="254">
        <v>1617546</v>
      </c>
      <c r="AU222" s="254">
        <v>723130</v>
      </c>
      <c r="AV222" s="254">
        <v>804781</v>
      </c>
      <c r="AW222" s="254">
        <v>1514308</v>
      </c>
      <c r="AX222" s="254">
        <v>2183736</v>
      </c>
      <c r="AY222" s="254">
        <v>969766</v>
      </c>
      <c r="AZ222" s="254">
        <v>1671174</v>
      </c>
      <c r="BA222" s="254">
        <v>3517988</v>
      </c>
      <c r="BB222" s="254">
        <v>4927159</v>
      </c>
      <c r="BC222" s="254">
        <v>-90108</v>
      </c>
      <c r="BD222" s="254">
        <v>2327947</v>
      </c>
      <c r="BE222" s="254">
        <v>4939467</v>
      </c>
      <c r="BF222" s="254">
        <v>7740287</v>
      </c>
    </row>
    <row r="223" spans="1:58" x14ac:dyDescent="0.3">
      <c r="A223" s="255" t="s">
        <v>976</v>
      </c>
      <c r="B223" s="261" t="s">
        <v>784</v>
      </c>
      <c r="C223" s="256">
        <v>-17282</v>
      </c>
      <c r="D223" s="256">
        <v>-39705</v>
      </c>
      <c r="E223" s="256">
        <v>-65840</v>
      </c>
      <c r="F223" s="256">
        <v>-166322</v>
      </c>
      <c r="G223" s="256">
        <v>-67643</v>
      </c>
      <c r="H223" s="256">
        <v>-57358</v>
      </c>
      <c r="I223" s="256">
        <v>-329009</v>
      </c>
      <c r="J223" s="256">
        <v>-479854</v>
      </c>
      <c r="K223" s="256">
        <v>58525</v>
      </c>
      <c r="L223" s="256">
        <v>-57651</v>
      </c>
      <c r="M223" s="256">
        <v>-222875</v>
      </c>
      <c r="N223" s="256">
        <v>-309457</v>
      </c>
      <c r="O223" s="256">
        <v>-74513</v>
      </c>
      <c r="P223" s="256">
        <v>-177750</v>
      </c>
      <c r="Q223" s="256">
        <v>-340732</v>
      </c>
      <c r="R223" s="256">
        <v>-280263</v>
      </c>
      <c r="S223" s="256">
        <v>35788</v>
      </c>
      <c r="T223" s="256">
        <v>69884</v>
      </c>
      <c r="U223" s="256">
        <v>107578</v>
      </c>
      <c r="V223" s="256">
        <v>125303</v>
      </c>
      <c r="W223" s="256">
        <v>-13600</v>
      </c>
      <c r="X223" s="256">
        <v>41226</v>
      </c>
      <c r="Y223" s="256">
        <v>98831</v>
      </c>
      <c r="Z223" s="256">
        <v>61306</v>
      </c>
      <c r="AA223" s="256">
        <v>-29348</v>
      </c>
      <c r="AB223" s="256">
        <v>-48277</v>
      </c>
      <c r="AC223" s="256">
        <v>-23124</v>
      </c>
      <c r="AD223" s="256">
        <v>19115</v>
      </c>
      <c r="AE223" s="256">
        <v>5590</v>
      </c>
      <c r="AF223" s="256">
        <v>31803</v>
      </c>
      <c r="AG223" s="256">
        <v>64321</v>
      </c>
      <c r="AH223" s="256">
        <v>58112</v>
      </c>
      <c r="AI223" s="256">
        <v>29129</v>
      </c>
      <c r="AJ223" s="256">
        <v>133722</v>
      </c>
      <c r="AK223" s="256">
        <v>203660</v>
      </c>
      <c r="AL223" s="256">
        <v>278298</v>
      </c>
      <c r="AM223" s="256">
        <v>46002</v>
      </c>
      <c r="AN223" s="256">
        <v>343124</v>
      </c>
      <c r="AO223" s="256">
        <v>563148</v>
      </c>
      <c r="AP223" s="256">
        <v>777216</v>
      </c>
      <c r="AQ223" s="256">
        <v>150865</v>
      </c>
      <c r="AR223" s="256">
        <v>660609</v>
      </c>
      <c r="AS223" s="256">
        <v>988411</v>
      </c>
      <c r="AT223" s="256">
        <v>1403316</v>
      </c>
      <c r="AU223" s="256">
        <v>500674</v>
      </c>
      <c r="AV223" s="256">
        <v>902712</v>
      </c>
      <c r="AW223" s="256">
        <v>1571991</v>
      </c>
      <c r="AX223" s="256">
        <v>2876959</v>
      </c>
      <c r="AY223" s="256">
        <v>1146417</v>
      </c>
      <c r="AZ223" s="256">
        <v>2015705</v>
      </c>
      <c r="BA223" s="256">
        <v>4024648</v>
      </c>
      <c r="BB223" s="256">
        <v>4591578</v>
      </c>
      <c r="BC223" s="256">
        <v>1890978</v>
      </c>
      <c r="BD223" s="256">
        <v>3458389</v>
      </c>
      <c r="BE223" s="256">
        <v>6712087</v>
      </c>
      <c r="BF223" s="256">
        <v>9746434</v>
      </c>
    </row>
    <row r="224" spans="1:58" x14ac:dyDescent="0.3">
      <c r="A224" s="257" t="s">
        <v>977</v>
      </c>
      <c r="B224" s="258" t="s">
        <v>784</v>
      </c>
      <c r="C224" s="259">
        <v>-19339</v>
      </c>
      <c r="D224" s="259">
        <v>-38560</v>
      </c>
      <c r="E224" s="259">
        <v>-69596</v>
      </c>
      <c r="F224" s="259">
        <v>-142370</v>
      </c>
      <c r="G224" s="259">
        <v>-13852</v>
      </c>
      <c r="H224" s="259">
        <v>-67021</v>
      </c>
      <c r="I224" s="259">
        <v>-168347</v>
      </c>
      <c r="J224" s="259">
        <v>-280819</v>
      </c>
      <c r="K224" s="259">
        <v>80800</v>
      </c>
      <c r="L224" s="259">
        <v>11716</v>
      </c>
      <c r="M224" s="259">
        <v>-127234</v>
      </c>
      <c r="N224" s="259">
        <v>-277566</v>
      </c>
      <c r="O224" s="259">
        <v>-99181</v>
      </c>
      <c r="P224" s="259">
        <v>-644183</v>
      </c>
      <c r="Q224" s="259">
        <v>-1459542</v>
      </c>
      <c r="R224" s="259">
        <v>-2561163</v>
      </c>
      <c r="S224" s="259">
        <v>3244</v>
      </c>
      <c r="T224" s="259">
        <v>12485</v>
      </c>
      <c r="U224" s="259">
        <v>30396</v>
      </c>
      <c r="V224" s="259">
        <v>-1052003</v>
      </c>
      <c r="W224" s="259">
        <v>-54002</v>
      </c>
      <c r="X224" s="259">
        <v>-72395</v>
      </c>
      <c r="Y224" s="259">
        <v>-75064</v>
      </c>
      <c r="Z224" s="259">
        <v>104894</v>
      </c>
      <c r="AA224" s="259">
        <v>-65027</v>
      </c>
      <c r="AB224" s="259">
        <v>-116385</v>
      </c>
      <c r="AC224" s="259">
        <v>-22497</v>
      </c>
      <c r="AD224" s="259">
        <v>252951</v>
      </c>
      <c r="AE224" s="259">
        <v>9323</v>
      </c>
      <c r="AF224" s="259">
        <v>58699</v>
      </c>
      <c r="AG224" s="259">
        <v>72417</v>
      </c>
      <c r="AH224" s="259">
        <v>28434</v>
      </c>
      <c r="AI224" s="259">
        <v>2378</v>
      </c>
      <c r="AJ224" s="259">
        <v>73264</v>
      </c>
      <c r="AK224" s="259">
        <v>170476</v>
      </c>
      <c r="AL224" s="259">
        <v>241377</v>
      </c>
      <c r="AM224" s="259">
        <v>-48917</v>
      </c>
      <c r="AN224" s="259">
        <v>82305</v>
      </c>
      <c r="AO224" s="259">
        <v>-88884</v>
      </c>
      <c r="AP224" s="259">
        <v>541002</v>
      </c>
      <c r="AQ224" s="259">
        <v>-52571</v>
      </c>
      <c r="AR224" s="259">
        <v>-175325</v>
      </c>
      <c r="AS224" s="259">
        <v>-249483</v>
      </c>
      <c r="AT224" s="259">
        <v>484080</v>
      </c>
      <c r="AU224" s="259">
        <v>-45275</v>
      </c>
      <c r="AV224" s="259">
        <v>516566</v>
      </c>
      <c r="AW224" s="259">
        <v>683987</v>
      </c>
      <c r="AX224" s="259">
        <v>1499121</v>
      </c>
      <c r="AY224" s="259">
        <v>905243</v>
      </c>
      <c r="AZ224" s="259">
        <v>1735988</v>
      </c>
      <c r="BA224" s="259">
        <v>2982382</v>
      </c>
      <c r="BB224" s="259">
        <v>3661820</v>
      </c>
      <c r="BC224" s="259">
        <v>1255553</v>
      </c>
      <c r="BD224" s="259">
        <v>2095688</v>
      </c>
      <c r="BE224" s="259">
        <v>4215915</v>
      </c>
      <c r="BF224" s="259">
        <v>6104672</v>
      </c>
    </row>
    <row r="225" spans="1:58" x14ac:dyDescent="0.3">
      <c r="A225" s="257" t="s">
        <v>978</v>
      </c>
      <c r="B225" s="258" t="s">
        <v>784</v>
      </c>
      <c r="C225" s="259">
        <v>280</v>
      </c>
      <c r="D225" s="259">
        <v>694</v>
      </c>
      <c r="E225" s="259">
        <v>1191</v>
      </c>
      <c r="F225" s="259">
        <v>1894</v>
      </c>
      <c r="G225" s="259">
        <v>3644</v>
      </c>
      <c r="H225" s="259">
        <v>6149</v>
      </c>
      <c r="I225" s="259">
        <v>8728</v>
      </c>
      <c r="J225" s="259">
        <v>17454</v>
      </c>
      <c r="K225" s="259">
        <v>7590</v>
      </c>
      <c r="L225" s="259">
        <v>13506</v>
      </c>
      <c r="M225" s="259">
        <v>31248</v>
      </c>
      <c r="N225" s="259">
        <v>35607</v>
      </c>
      <c r="O225" s="259">
        <v>6419</v>
      </c>
      <c r="P225" s="259">
        <v>14482</v>
      </c>
      <c r="Q225" s="259">
        <v>15164</v>
      </c>
      <c r="R225" s="259">
        <v>25333</v>
      </c>
      <c r="S225" s="259">
        <v>25434</v>
      </c>
      <c r="T225" s="259">
        <v>48578</v>
      </c>
      <c r="U225" s="259">
        <v>76844</v>
      </c>
      <c r="V225" s="259">
        <v>176338</v>
      </c>
      <c r="W225" s="259">
        <v>4851</v>
      </c>
      <c r="X225" s="259">
        <v>48535</v>
      </c>
      <c r="Y225" s="259">
        <v>103804</v>
      </c>
      <c r="Z225" s="259">
        <v>65836</v>
      </c>
      <c r="AA225" s="259">
        <v>11581</v>
      </c>
      <c r="AB225" s="259">
        <v>32980</v>
      </c>
      <c r="AC225" s="259">
        <v>48428</v>
      </c>
      <c r="AD225" s="259">
        <v>69571</v>
      </c>
      <c r="AE225" s="259">
        <v>12715</v>
      </c>
      <c r="AF225" s="259">
        <v>44269</v>
      </c>
      <c r="AG225" s="259">
        <v>67986</v>
      </c>
      <c r="AH225" s="259">
        <v>89457</v>
      </c>
      <c r="AI225" s="259">
        <v>26164</v>
      </c>
      <c r="AJ225" s="259">
        <v>71763</v>
      </c>
      <c r="AK225" s="259">
        <v>66457</v>
      </c>
      <c r="AL225" s="259">
        <v>76920</v>
      </c>
      <c r="AM225" s="259">
        <v>34034</v>
      </c>
      <c r="AN225" s="259">
        <v>121783</v>
      </c>
      <c r="AO225" s="259">
        <v>278366</v>
      </c>
      <c r="AP225" s="259">
        <v>508958</v>
      </c>
      <c r="AQ225" s="259">
        <v>131655</v>
      </c>
      <c r="AR225" s="259">
        <v>351579</v>
      </c>
      <c r="AS225" s="259">
        <v>555846</v>
      </c>
      <c r="AT225" s="259">
        <v>843800</v>
      </c>
      <c r="AU225" s="259">
        <v>131950</v>
      </c>
      <c r="AV225" s="259">
        <v>368124</v>
      </c>
      <c r="AW225" s="259">
        <v>576228</v>
      </c>
      <c r="AX225" s="259">
        <v>881271</v>
      </c>
      <c r="AY225" s="259">
        <v>184255</v>
      </c>
      <c r="AZ225" s="259">
        <v>392317</v>
      </c>
      <c r="BA225" s="259">
        <v>657418</v>
      </c>
      <c r="BB225" s="259">
        <v>854256</v>
      </c>
      <c r="BC225" s="259">
        <v>302943</v>
      </c>
      <c r="BD225" s="259">
        <v>845349</v>
      </c>
      <c r="BE225" s="259">
        <v>1691569</v>
      </c>
      <c r="BF225" s="259">
        <v>2054585</v>
      </c>
    </row>
    <row r="226" spans="1:58" x14ac:dyDescent="0.3">
      <c r="A226" s="257" t="s">
        <v>979</v>
      </c>
      <c r="B226" s="258" t="s">
        <v>784</v>
      </c>
      <c r="C226" s="259">
        <v>-6167</v>
      </c>
      <c r="D226" s="259">
        <v>-12444</v>
      </c>
      <c r="E226" s="259">
        <v>-18648</v>
      </c>
      <c r="F226" s="259">
        <v>-52497</v>
      </c>
      <c r="G226" s="259">
        <v>-61799</v>
      </c>
      <c r="H226" s="259">
        <v>-3495</v>
      </c>
      <c r="I226" s="259">
        <v>-178336</v>
      </c>
      <c r="J226" s="259">
        <v>-226078</v>
      </c>
      <c r="K226" s="259">
        <v>-29776</v>
      </c>
      <c r="L226" s="259">
        <v>-82897</v>
      </c>
      <c r="M226" s="259">
        <v>-113812</v>
      </c>
      <c r="N226" s="259">
        <v>-126618</v>
      </c>
      <c r="O226" s="259">
        <v>-4827</v>
      </c>
      <c r="P226" s="259">
        <v>-30823</v>
      </c>
      <c r="Q226" s="259">
        <v>-33870</v>
      </c>
      <c r="R226" s="259">
        <v>-44066</v>
      </c>
      <c r="S226" s="259">
        <v>7110</v>
      </c>
      <c r="T226" s="259">
        <v>8747</v>
      </c>
      <c r="U226" s="259">
        <v>-12112</v>
      </c>
      <c r="V226" s="259">
        <v>-15872</v>
      </c>
      <c r="W226" s="259">
        <v>15804</v>
      </c>
      <c r="X226" s="259">
        <v>66703</v>
      </c>
      <c r="Y226" s="259">
        <v>60410</v>
      </c>
      <c r="Z226" s="259">
        <v>45270</v>
      </c>
      <c r="AA226" s="259">
        <v>19959</v>
      </c>
      <c r="AB226" s="259">
        <v>52480</v>
      </c>
      <c r="AC226" s="259">
        <v>-53968</v>
      </c>
      <c r="AD226" s="259">
        <v>-3859</v>
      </c>
      <c r="AE226" s="259">
        <v>-16447</v>
      </c>
      <c r="AF226" s="259">
        <v>-29087</v>
      </c>
      <c r="AG226" s="259">
        <v>-36068</v>
      </c>
      <c r="AH226" s="259">
        <v>-8328</v>
      </c>
      <c r="AI226" s="259">
        <v>-5362</v>
      </c>
      <c r="AJ226" s="259">
        <v>-22756</v>
      </c>
      <c r="AK226" s="259">
        <v>-58519</v>
      </c>
      <c r="AL226" s="259">
        <v>-71543</v>
      </c>
      <c r="AM226" s="259">
        <v>57499</v>
      </c>
      <c r="AN226" s="259">
        <v>134719</v>
      </c>
      <c r="AO226" s="259">
        <v>247970</v>
      </c>
      <c r="AP226" s="259">
        <v>323082</v>
      </c>
      <c r="AQ226" s="259">
        <v>157918</v>
      </c>
      <c r="AR226" s="259">
        <v>569688</v>
      </c>
      <c r="AS226" s="259">
        <v>786031</v>
      </c>
      <c r="AT226" s="259">
        <v>670384</v>
      </c>
      <c r="AU226" s="259">
        <v>406862</v>
      </c>
      <c r="AV226" s="259">
        <v>-33128</v>
      </c>
      <c r="AW226" s="259">
        <v>332939</v>
      </c>
      <c r="AX226" s="259">
        <v>533817</v>
      </c>
      <c r="AY226" s="259">
        <v>71608</v>
      </c>
      <c r="AZ226" s="259">
        <v>-195138</v>
      </c>
      <c r="BA226" s="259">
        <v>363462</v>
      </c>
      <c r="BB226" s="259">
        <v>330951</v>
      </c>
      <c r="BC226" s="259">
        <v>279902</v>
      </c>
      <c r="BD226" s="259">
        <v>430601</v>
      </c>
      <c r="BE226" s="259">
        <v>575703</v>
      </c>
      <c r="BF226" s="259">
        <v>1683473</v>
      </c>
    </row>
    <row r="227" spans="1:58" x14ac:dyDescent="0.3">
      <c r="A227" s="257" t="s">
        <v>980</v>
      </c>
      <c r="B227" s="258" t="s">
        <v>784</v>
      </c>
      <c r="C227" s="259">
        <v>0</v>
      </c>
      <c r="D227" s="259">
        <v>0</v>
      </c>
      <c r="E227" s="259">
        <v>0</v>
      </c>
      <c r="F227" s="259">
        <v>0</v>
      </c>
      <c r="G227" s="259">
        <v>0</v>
      </c>
      <c r="H227" s="259">
        <v>0</v>
      </c>
      <c r="I227" s="259">
        <v>0</v>
      </c>
      <c r="J227" s="259">
        <v>0</v>
      </c>
      <c r="K227" s="259">
        <v>0</v>
      </c>
      <c r="L227" s="259">
        <v>0</v>
      </c>
      <c r="M227" s="259">
        <v>0</v>
      </c>
      <c r="N227" s="259">
        <v>0</v>
      </c>
      <c r="O227" s="259">
        <v>0</v>
      </c>
      <c r="P227" s="259">
        <v>0</v>
      </c>
      <c r="Q227" s="259">
        <v>0</v>
      </c>
      <c r="R227" s="259">
        <v>0</v>
      </c>
      <c r="S227" s="259">
        <v>0</v>
      </c>
      <c r="T227" s="259">
        <v>0</v>
      </c>
      <c r="U227" s="259">
        <v>0</v>
      </c>
      <c r="V227" s="259">
        <v>28635</v>
      </c>
      <c r="W227" s="259">
        <v>0</v>
      </c>
      <c r="X227" s="259">
        <v>0</v>
      </c>
      <c r="Y227" s="259">
        <v>0</v>
      </c>
      <c r="Z227" s="259">
        <v>9201</v>
      </c>
      <c r="AA227" s="259">
        <v>0</v>
      </c>
      <c r="AB227" s="259">
        <v>0</v>
      </c>
      <c r="AC227" s="259">
        <v>0</v>
      </c>
      <c r="AD227" s="259">
        <v>321</v>
      </c>
      <c r="AE227" s="259">
        <v>0</v>
      </c>
      <c r="AF227" s="259">
        <v>0</v>
      </c>
      <c r="AG227" s="259">
        <v>0</v>
      </c>
      <c r="AH227" s="259">
        <v>0</v>
      </c>
      <c r="AI227" s="259">
        <v>0</v>
      </c>
      <c r="AJ227" s="259">
        <v>0</v>
      </c>
      <c r="AK227" s="259">
        <v>1316</v>
      </c>
      <c r="AL227" s="259">
        <v>1321</v>
      </c>
      <c r="AM227" s="259">
        <v>0</v>
      </c>
      <c r="AN227" s="259">
        <v>0</v>
      </c>
      <c r="AO227" s="259">
        <v>0</v>
      </c>
      <c r="AP227" s="259">
        <v>0</v>
      </c>
      <c r="AQ227" s="259">
        <v>0</v>
      </c>
      <c r="AR227" s="259">
        <v>0</v>
      </c>
      <c r="AS227" s="259">
        <v>0</v>
      </c>
      <c r="AT227" s="259">
        <v>0</v>
      </c>
      <c r="AU227" s="259">
        <v>0</v>
      </c>
      <c r="AV227" s="259">
        <v>0</v>
      </c>
      <c r="AW227" s="259">
        <v>0</v>
      </c>
      <c r="AX227" s="259">
        <v>0</v>
      </c>
      <c r="AY227" s="259">
        <v>0</v>
      </c>
      <c r="AZ227" s="259">
        <v>0</v>
      </c>
      <c r="BA227" s="259">
        <v>0</v>
      </c>
      <c r="BB227" s="259">
        <v>0</v>
      </c>
      <c r="BC227" s="259">
        <v>0</v>
      </c>
      <c r="BD227" s="259">
        <v>0</v>
      </c>
      <c r="BE227" s="259">
        <v>0</v>
      </c>
      <c r="BF227" s="259">
        <v>0</v>
      </c>
    </row>
    <row r="228" spans="1:58" x14ac:dyDescent="0.3">
      <c r="A228" s="257" t="s">
        <v>981</v>
      </c>
      <c r="B228" s="258" t="s">
        <v>784</v>
      </c>
      <c r="C228" s="259">
        <v>0</v>
      </c>
      <c r="D228" s="259">
        <v>0</v>
      </c>
      <c r="E228" s="259">
        <v>0</v>
      </c>
      <c r="F228" s="259">
        <v>0</v>
      </c>
      <c r="G228" s="259">
        <v>0</v>
      </c>
      <c r="H228" s="259">
        <v>0</v>
      </c>
      <c r="I228" s="259">
        <v>0</v>
      </c>
      <c r="J228" s="259">
        <v>0</v>
      </c>
      <c r="K228" s="259">
        <v>0</v>
      </c>
      <c r="L228" s="259">
        <v>0</v>
      </c>
      <c r="M228" s="259">
        <v>0</v>
      </c>
      <c r="N228" s="259">
        <v>44115</v>
      </c>
      <c r="O228" s="259">
        <v>0</v>
      </c>
      <c r="P228" s="259">
        <v>457458</v>
      </c>
      <c r="Q228" s="259">
        <v>584146</v>
      </c>
      <c r="R228" s="259">
        <v>591165</v>
      </c>
      <c r="S228" s="259">
        <v>0</v>
      </c>
      <c r="T228" s="259">
        <v>0</v>
      </c>
      <c r="U228" s="259">
        <v>0</v>
      </c>
      <c r="V228" s="259">
        <v>541791</v>
      </c>
      <c r="W228" s="259">
        <v>0</v>
      </c>
      <c r="X228" s="259">
        <v>0</v>
      </c>
      <c r="Y228" s="259">
        <v>0</v>
      </c>
      <c r="Z228" s="259">
        <v>0</v>
      </c>
      <c r="AA228" s="259">
        <v>0</v>
      </c>
      <c r="AB228" s="259">
        <v>0</v>
      </c>
      <c r="AC228" s="259">
        <v>0</v>
      </c>
      <c r="AD228" s="259">
        <v>0</v>
      </c>
      <c r="AE228" s="259">
        <v>0</v>
      </c>
      <c r="AF228" s="259">
        <v>0</v>
      </c>
      <c r="AG228" s="259">
        <v>0</v>
      </c>
      <c r="AH228" s="259">
        <v>0</v>
      </c>
      <c r="AI228" s="259">
        <v>0</v>
      </c>
      <c r="AJ228" s="259">
        <v>0</v>
      </c>
      <c r="AK228" s="259">
        <v>0</v>
      </c>
      <c r="AL228" s="259">
        <v>0</v>
      </c>
      <c r="AM228" s="259">
        <v>0</v>
      </c>
      <c r="AN228" s="259">
        <v>0</v>
      </c>
      <c r="AO228" s="259">
        <v>0</v>
      </c>
      <c r="AP228" s="259">
        <v>0</v>
      </c>
      <c r="AQ228" s="259">
        <v>0</v>
      </c>
      <c r="AR228" s="259">
        <v>0</v>
      </c>
      <c r="AS228" s="259">
        <v>0</v>
      </c>
      <c r="AT228" s="259">
        <v>0</v>
      </c>
      <c r="AU228" s="259">
        <v>0</v>
      </c>
      <c r="AV228" s="259">
        <v>0</v>
      </c>
      <c r="AW228" s="259">
        <v>0</v>
      </c>
      <c r="AX228" s="259">
        <v>0</v>
      </c>
      <c r="AY228" s="259">
        <v>0</v>
      </c>
      <c r="AZ228" s="259">
        <v>0</v>
      </c>
      <c r="BA228" s="259">
        <v>0</v>
      </c>
      <c r="BB228" s="259">
        <v>0</v>
      </c>
      <c r="BC228" s="259">
        <v>0</v>
      </c>
      <c r="BD228" s="259">
        <v>0</v>
      </c>
      <c r="BE228" s="259">
        <v>0</v>
      </c>
      <c r="BF228" s="259">
        <v>0</v>
      </c>
    </row>
    <row r="229" spans="1:58" x14ac:dyDescent="0.3">
      <c r="A229" s="257" t="s">
        <v>982</v>
      </c>
      <c r="B229" s="258" t="s">
        <v>784</v>
      </c>
      <c r="C229" s="259">
        <v>0</v>
      </c>
      <c r="D229" s="259">
        <v>0</v>
      </c>
      <c r="E229" s="259">
        <v>0</v>
      </c>
      <c r="F229" s="259">
        <v>0</v>
      </c>
      <c r="G229" s="259">
        <v>0</v>
      </c>
      <c r="H229" s="259">
        <v>0</v>
      </c>
      <c r="I229" s="259">
        <v>0</v>
      </c>
      <c r="J229" s="259">
        <v>0</v>
      </c>
      <c r="K229" s="259">
        <v>0</v>
      </c>
      <c r="L229" s="259">
        <v>0</v>
      </c>
      <c r="M229" s="259">
        <v>0</v>
      </c>
      <c r="N229" s="259">
        <v>0</v>
      </c>
      <c r="O229" s="259">
        <v>0</v>
      </c>
      <c r="P229" s="259">
        <v>0</v>
      </c>
      <c r="Q229" s="259">
        <v>0</v>
      </c>
      <c r="R229" s="259">
        <v>0</v>
      </c>
      <c r="S229" s="259">
        <v>0</v>
      </c>
      <c r="T229" s="259">
        <v>0</v>
      </c>
      <c r="U229" s="259">
        <v>0</v>
      </c>
      <c r="V229" s="259">
        <v>0</v>
      </c>
      <c r="W229" s="259">
        <v>0</v>
      </c>
      <c r="X229" s="259">
        <v>0</v>
      </c>
      <c r="Y229" s="259">
        <v>0</v>
      </c>
      <c r="Z229" s="259">
        <v>0</v>
      </c>
      <c r="AA229" s="259">
        <v>0</v>
      </c>
      <c r="AB229" s="259">
        <v>0</v>
      </c>
      <c r="AC229" s="259">
        <v>0</v>
      </c>
      <c r="AD229" s="259">
        <v>0</v>
      </c>
      <c r="AE229" s="259">
        <v>0</v>
      </c>
      <c r="AF229" s="259">
        <v>0</v>
      </c>
      <c r="AG229" s="259">
        <v>0</v>
      </c>
      <c r="AH229" s="259">
        <v>0</v>
      </c>
      <c r="AI229" s="259">
        <v>119</v>
      </c>
      <c r="AJ229" s="259">
        <v>119</v>
      </c>
      <c r="AK229" s="259">
        <v>119</v>
      </c>
      <c r="AL229" s="259">
        <v>119</v>
      </c>
      <c r="AM229" s="259">
        <v>0</v>
      </c>
      <c r="AN229" s="259">
        <v>0</v>
      </c>
      <c r="AO229" s="259">
        <v>0</v>
      </c>
      <c r="AP229" s="259">
        <v>0</v>
      </c>
      <c r="AQ229" s="259">
        <v>0</v>
      </c>
      <c r="AR229" s="259">
        <v>0</v>
      </c>
      <c r="AS229" s="259">
        <v>0</v>
      </c>
      <c r="AT229" s="259">
        <v>0</v>
      </c>
      <c r="AU229" s="259">
        <v>0</v>
      </c>
      <c r="AV229" s="259">
        <v>0</v>
      </c>
      <c r="AW229" s="259">
        <v>0</v>
      </c>
      <c r="AX229" s="259">
        <v>0</v>
      </c>
      <c r="AY229" s="259">
        <v>0</v>
      </c>
      <c r="AZ229" s="259">
        <v>0</v>
      </c>
      <c r="BA229" s="259">
        <v>0</v>
      </c>
      <c r="BB229" s="259">
        <v>38399</v>
      </c>
      <c r="BC229" s="259">
        <v>0</v>
      </c>
      <c r="BD229" s="259">
        <v>0</v>
      </c>
      <c r="BE229" s="259">
        <v>0</v>
      </c>
      <c r="BF229" s="259">
        <v>-65173</v>
      </c>
    </row>
    <row r="230" spans="1:58" x14ac:dyDescent="0.3">
      <c r="A230" s="257" t="s">
        <v>983</v>
      </c>
      <c r="B230" s="258" t="s">
        <v>784</v>
      </c>
      <c r="C230" s="259">
        <v>0</v>
      </c>
      <c r="D230" s="259">
        <v>0</v>
      </c>
      <c r="E230" s="259">
        <v>0</v>
      </c>
      <c r="F230" s="259">
        <v>0</v>
      </c>
      <c r="G230" s="259">
        <v>0</v>
      </c>
      <c r="H230" s="259">
        <v>0</v>
      </c>
      <c r="I230" s="259">
        <v>0</v>
      </c>
      <c r="J230" s="259">
        <v>0</v>
      </c>
      <c r="K230" s="259">
        <v>0</v>
      </c>
      <c r="L230" s="259">
        <v>0</v>
      </c>
      <c r="M230" s="259">
        <v>0</v>
      </c>
      <c r="N230" s="259">
        <v>0</v>
      </c>
      <c r="O230" s="259">
        <v>0</v>
      </c>
      <c r="P230" s="259">
        <v>0</v>
      </c>
      <c r="Q230" s="259">
        <v>-90059</v>
      </c>
      <c r="R230" s="259">
        <v>0</v>
      </c>
      <c r="S230" s="259">
        <v>0</v>
      </c>
      <c r="T230" s="259">
        <v>0</v>
      </c>
      <c r="U230" s="259">
        <v>0</v>
      </c>
      <c r="V230" s="259">
        <v>0</v>
      </c>
      <c r="W230" s="259">
        <v>0</v>
      </c>
      <c r="X230" s="259">
        <v>0</v>
      </c>
      <c r="Y230" s="259">
        <v>0</v>
      </c>
      <c r="Z230" s="259">
        <v>0</v>
      </c>
      <c r="AA230" s="259">
        <v>0</v>
      </c>
      <c r="AB230" s="259">
        <v>0</v>
      </c>
      <c r="AC230" s="259">
        <v>0</v>
      </c>
      <c r="AD230" s="259">
        <v>0</v>
      </c>
      <c r="AE230" s="259">
        <v>0</v>
      </c>
      <c r="AF230" s="259">
        <v>0</v>
      </c>
      <c r="AG230" s="259">
        <v>0</v>
      </c>
      <c r="AH230" s="259">
        <v>0</v>
      </c>
      <c r="AI230" s="259">
        <v>0</v>
      </c>
      <c r="AJ230" s="259">
        <v>0</v>
      </c>
      <c r="AK230" s="259">
        <v>0</v>
      </c>
      <c r="AL230" s="259">
        <v>0</v>
      </c>
      <c r="AM230" s="259">
        <v>0</v>
      </c>
      <c r="AN230" s="259">
        <v>0</v>
      </c>
      <c r="AO230" s="259">
        <v>0</v>
      </c>
      <c r="AP230" s="259">
        <v>0</v>
      </c>
      <c r="AQ230" s="259">
        <v>0</v>
      </c>
      <c r="AR230" s="259">
        <v>0</v>
      </c>
      <c r="AS230" s="259">
        <v>0</v>
      </c>
      <c r="AT230" s="259">
        <v>0</v>
      </c>
      <c r="AU230" s="259">
        <v>0</v>
      </c>
      <c r="AV230" s="259">
        <v>0</v>
      </c>
      <c r="AW230" s="259">
        <v>0</v>
      </c>
      <c r="AX230" s="259">
        <v>0</v>
      </c>
      <c r="AY230" s="259">
        <v>0</v>
      </c>
      <c r="AZ230" s="259">
        <v>0</v>
      </c>
      <c r="BA230" s="259">
        <v>0</v>
      </c>
      <c r="BB230" s="259">
        <v>0</v>
      </c>
      <c r="BC230" s="259">
        <v>0</v>
      </c>
      <c r="BD230" s="259">
        <v>0</v>
      </c>
      <c r="BE230" s="259">
        <v>0</v>
      </c>
      <c r="BF230" s="259">
        <v>0</v>
      </c>
    </row>
    <row r="231" spans="1:58" x14ac:dyDescent="0.3">
      <c r="A231" s="257" t="s">
        <v>984</v>
      </c>
      <c r="B231" s="258" t="s">
        <v>784</v>
      </c>
      <c r="C231" s="259">
        <v>0</v>
      </c>
      <c r="D231" s="259">
        <v>0</v>
      </c>
      <c r="E231" s="259">
        <v>0</v>
      </c>
      <c r="F231" s="259">
        <v>0</v>
      </c>
      <c r="G231" s="259">
        <v>0</v>
      </c>
      <c r="H231" s="259">
        <v>0</v>
      </c>
      <c r="I231" s="259">
        <v>0</v>
      </c>
      <c r="J231" s="259">
        <v>0</v>
      </c>
      <c r="K231" s="259">
        <v>0</v>
      </c>
      <c r="L231" s="259">
        <v>0</v>
      </c>
      <c r="M231" s="259">
        <v>0</v>
      </c>
      <c r="N231" s="259">
        <v>0</v>
      </c>
      <c r="O231" s="259">
        <v>0</v>
      </c>
      <c r="P231" s="259">
        <v>0</v>
      </c>
      <c r="Q231" s="259">
        <v>0</v>
      </c>
      <c r="R231" s="259">
        <v>0</v>
      </c>
      <c r="S231" s="259">
        <v>0</v>
      </c>
      <c r="T231" s="259">
        <v>0</v>
      </c>
      <c r="U231" s="259">
        <v>0</v>
      </c>
      <c r="V231" s="259">
        <v>0</v>
      </c>
      <c r="W231" s="259">
        <v>0</v>
      </c>
      <c r="X231" s="259">
        <v>0</v>
      </c>
      <c r="Y231" s="259">
        <v>0</v>
      </c>
      <c r="Z231" s="259">
        <v>0</v>
      </c>
      <c r="AA231" s="259">
        <v>0</v>
      </c>
      <c r="AB231" s="259">
        <v>0</v>
      </c>
      <c r="AC231" s="259">
        <v>0</v>
      </c>
      <c r="AD231" s="259">
        <v>0</v>
      </c>
      <c r="AE231" s="259">
        <v>0</v>
      </c>
      <c r="AF231" s="259">
        <v>0</v>
      </c>
      <c r="AG231" s="259">
        <v>0</v>
      </c>
      <c r="AH231" s="259">
        <v>0</v>
      </c>
      <c r="AI231" s="259">
        <v>0</v>
      </c>
      <c r="AJ231" s="259">
        <v>0</v>
      </c>
      <c r="AK231" s="259">
        <v>0</v>
      </c>
      <c r="AL231" s="259">
        <v>0</v>
      </c>
      <c r="AM231" s="259">
        <v>0</v>
      </c>
      <c r="AN231" s="259">
        <v>0</v>
      </c>
      <c r="AO231" s="259">
        <v>0</v>
      </c>
      <c r="AP231" s="259">
        <v>0</v>
      </c>
      <c r="AQ231" s="259">
        <v>0</v>
      </c>
      <c r="AR231" s="259">
        <v>0</v>
      </c>
      <c r="AS231" s="259">
        <v>0</v>
      </c>
      <c r="AT231" s="259">
        <v>0</v>
      </c>
      <c r="AU231" s="259">
        <v>0</v>
      </c>
      <c r="AV231" s="259">
        <v>0</v>
      </c>
      <c r="AW231" s="259">
        <v>0</v>
      </c>
      <c r="AX231" s="259">
        <v>0</v>
      </c>
      <c r="AY231" s="259">
        <v>0</v>
      </c>
      <c r="AZ231" s="259">
        <v>0</v>
      </c>
      <c r="BA231" s="259">
        <v>0</v>
      </c>
      <c r="BB231" s="259">
        <v>0</v>
      </c>
      <c r="BC231" s="259">
        <v>0</v>
      </c>
      <c r="BD231" s="259">
        <v>0</v>
      </c>
      <c r="BE231" s="259">
        <v>0</v>
      </c>
      <c r="BF231" s="259">
        <v>0</v>
      </c>
    </row>
    <row r="232" spans="1:58" x14ac:dyDescent="0.3">
      <c r="A232" s="257" t="s">
        <v>985</v>
      </c>
      <c r="B232" s="258" t="s">
        <v>784</v>
      </c>
      <c r="C232" s="259">
        <v>7944</v>
      </c>
      <c r="D232" s="259">
        <v>10605</v>
      </c>
      <c r="E232" s="259">
        <v>21213</v>
      </c>
      <c r="F232" s="259">
        <v>26651</v>
      </c>
      <c r="G232" s="259">
        <v>4364</v>
      </c>
      <c r="H232" s="259">
        <v>7009</v>
      </c>
      <c r="I232" s="259">
        <v>8946</v>
      </c>
      <c r="J232" s="259">
        <v>9589</v>
      </c>
      <c r="K232" s="259">
        <v>-89</v>
      </c>
      <c r="L232" s="259">
        <v>24</v>
      </c>
      <c r="M232" s="259">
        <v>-13077</v>
      </c>
      <c r="N232" s="259">
        <v>15005</v>
      </c>
      <c r="O232" s="259">
        <v>23076</v>
      </c>
      <c r="P232" s="259">
        <v>25316</v>
      </c>
      <c r="Q232" s="259">
        <v>643429</v>
      </c>
      <c r="R232" s="259">
        <v>1708468</v>
      </c>
      <c r="S232" s="259">
        <v>0</v>
      </c>
      <c r="T232" s="259">
        <v>74</v>
      </c>
      <c r="U232" s="259">
        <v>12450</v>
      </c>
      <c r="V232" s="259">
        <v>446414</v>
      </c>
      <c r="W232" s="259">
        <v>19747</v>
      </c>
      <c r="X232" s="259">
        <v>-1617</v>
      </c>
      <c r="Y232" s="259">
        <v>9681</v>
      </c>
      <c r="Z232" s="259">
        <v>-163895</v>
      </c>
      <c r="AA232" s="259">
        <v>4139</v>
      </c>
      <c r="AB232" s="259">
        <v>-17352</v>
      </c>
      <c r="AC232" s="259">
        <v>4913</v>
      </c>
      <c r="AD232" s="259">
        <v>-299869</v>
      </c>
      <c r="AE232" s="259">
        <v>-1</v>
      </c>
      <c r="AF232" s="259">
        <v>-42078</v>
      </c>
      <c r="AG232" s="259">
        <v>-40014</v>
      </c>
      <c r="AH232" s="259">
        <v>-51451</v>
      </c>
      <c r="AI232" s="259">
        <v>5830</v>
      </c>
      <c r="AJ232" s="259">
        <v>11332</v>
      </c>
      <c r="AK232" s="259">
        <v>23811</v>
      </c>
      <c r="AL232" s="259">
        <v>30104</v>
      </c>
      <c r="AM232" s="259">
        <v>3386</v>
      </c>
      <c r="AN232" s="259">
        <v>4317</v>
      </c>
      <c r="AO232" s="259">
        <v>125696</v>
      </c>
      <c r="AP232" s="259">
        <v>-595826</v>
      </c>
      <c r="AQ232" s="259">
        <v>-86137</v>
      </c>
      <c r="AR232" s="259">
        <v>-85333</v>
      </c>
      <c r="AS232" s="259">
        <v>-103983</v>
      </c>
      <c r="AT232" s="259">
        <v>-594948</v>
      </c>
      <c r="AU232" s="259">
        <v>7137</v>
      </c>
      <c r="AV232" s="259">
        <v>51150</v>
      </c>
      <c r="AW232" s="259">
        <v>-21163</v>
      </c>
      <c r="AX232" s="259">
        <v>-37250</v>
      </c>
      <c r="AY232" s="259">
        <v>-14689</v>
      </c>
      <c r="AZ232" s="259">
        <v>82538</v>
      </c>
      <c r="BA232" s="259">
        <v>21386</v>
      </c>
      <c r="BB232" s="259">
        <v>-293848</v>
      </c>
      <c r="BC232" s="259">
        <v>52580</v>
      </c>
      <c r="BD232" s="259">
        <v>86751</v>
      </c>
      <c r="BE232" s="259">
        <v>228900</v>
      </c>
      <c r="BF232" s="259">
        <v>-31123</v>
      </c>
    </row>
    <row r="233" spans="1:58" x14ac:dyDescent="0.3">
      <c r="A233" s="255" t="s">
        <v>986</v>
      </c>
      <c r="B233" s="261" t="s">
        <v>784</v>
      </c>
      <c r="C233" s="256">
        <v>-24464</v>
      </c>
      <c r="D233" s="256">
        <v>-31576</v>
      </c>
      <c r="E233" s="256">
        <v>-40041</v>
      </c>
      <c r="F233" s="256">
        <v>-2031651</v>
      </c>
      <c r="G233" s="256">
        <v>-7731</v>
      </c>
      <c r="H233" s="256">
        <v>-66412</v>
      </c>
      <c r="I233" s="256">
        <v>-56602</v>
      </c>
      <c r="J233" s="256">
        <v>-18376</v>
      </c>
      <c r="K233" s="256">
        <v>-1806900</v>
      </c>
      <c r="L233" s="256">
        <v>-52339</v>
      </c>
      <c r="M233" s="256">
        <v>15420</v>
      </c>
      <c r="N233" s="256">
        <v>75164</v>
      </c>
      <c r="O233" s="256">
        <v>-26338</v>
      </c>
      <c r="P233" s="256">
        <v>14050</v>
      </c>
      <c r="Q233" s="256">
        <v>-46960</v>
      </c>
      <c r="R233" s="256">
        <v>204</v>
      </c>
      <c r="S233" s="256">
        <v>89052</v>
      </c>
      <c r="T233" s="256">
        <v>477</v>
      </c>
      <c r="U233" s="256">
        <v>-5126</v>
      </c>
      <c r="V233" s="256">
        <v>-37677</v>
      </c>
      <c r="W233" s="256">
        <v>-47256</v>
      </c>
      <c r="X233" s="256">
        <v>-80247</v>
      </c>
      <c r="Y233" s="256">
        <v>-221467</v>
      </c>
      <c r="Z233" s="256">
        <v>-80887</v>
      </c>
      <c r="AA233" s="256">
        <v>75513</v>
      </c>
      <c r="AB233" s="256">
        <v>79621</v>
      </c>
      <c r="AC233" s="256">
        <v>61761</v>
      </c>
      <c r="AD233" s="256">
        <v>95440</v>
      </c>
      <c r="AE233" s="256">
        <v>-27088</v>
      </c>
      <c r="AF233" s="256">
        <v>-40450</v>
      </c>
      <c r="AG233" s="256">
        <v>-36711</v>
      </c>
      <c r="AH233" s="256">
        <v>-18602</v>
      </c>
      <c r="AI233" s="256">
        <v>-35318</v>
      </c>
      <c r="AJ233" s="256">
        <v>-44689</v>
      </c>
      <c r="AK233" s="256">
        <v>-23699</v>
      </c>
      <c r="AL233" s="256">
        <v>-12204</v>
      </c>
      <c r="AM233" s="256">
        <v>15185</v>
      </c>
      <c r="AN233" s="256">
        <v>44996</v>
      </c>
      <c r="AO233" s="256">
        <v>-26396</v>
      </c>
      <c r="AP233" s="256">
        <v>-330974</v>
      </c>
      <c r="AQ233" s="256">
        <v>98065</v>
      </c>
      <c r="AR233" s="256">
        <v>150992</v>
      </c>
      <c r="AS233" s="256">
        <v>288953</v>
      </c>
      <c r="AT233" s="256">
        <v>226429</v>
      </c>
      <c r="AU233" s="256">
        <v>223068</v>
      </c>
      <c r="AV233" s="256">
        <v>-97188</v>
      </c>
      <c r="AW233" s="256">
        <v>-57817</v>
      </c>
      <c r="AX233" s="256">
        <v>-692112</v>
      </c>
      <c r="AY233" s="256">
        <v>-177655</v>
      </c>
      <c r="AZ233" s="256">
        <v>-346447</v>
      </c>
      <c r="BA233" s="256">
        <v>-505318</v>
      </c>
      <c r="BB233" s="256">
        <v>331420</v>
      </c>
      <c r="BC233" s="256">
        <v>-1993975</v>
      </c>
      <c r="BD233" s="256">
        <v>-1124977</v>
      </c>
      <c r="BE233" s="256">
        <v>-1765227</v>
      </c>
      <c r="BF233" s="256">
        <v>-2040161</v>
      </c>
    </row>
    <row r="234" spans="1:58" x14ac:dyDescent="0.3">
      <c r="A234" s="257" t="s">
        <v>987</v>
      </c>
      <c r="B234" s="258" t="s">
        <v>784</v>
      </c>
      <c r="C234" s="259">
        <v>6009</v>
      </c>
      <c r="D234" s="259">
        <v>3230</v>
      </c>
      <c r="E234" s="259">
        <v>6069</v>
      </c>
      <c r="F234" s="259">
        <v>6075</v>
      </c>
      <c r="G234" s="259">
        <v>1743</v>
      </c>
      <c r="H234" s="259">
        <v>-12355</v>
      </c>
      <c r="I234" s="259">
        <v>-80812</v>
      </c>
      <c r="J234" s="259">
        <v>562</v>
      </c>
      <c r="K234" s="259">
        <v>-1820528</v>
      </c>
      <c r="L234" s="259">
        <v>0</v>
      </c>
      <c r="M234" s="259">
        <v>0</v>
      </c>
      <c r="N234" s="259">
        <v>-1995</v>
      </c>
      <c r="O234" s="259">
        <v>1320</v>
      </c>
      <c r="P234" s="259">
        <v>1597</v>
      </c>
      <c r="Q234" s="259">
        <v>1906</v>
      </c>
      <c r="R234" s="259">
        <v>2388</v>
      </c>
      <c r="S234" s="259">
        <v>-14059</v>
      </c>
      <c r="T234" s="259">
        <v>-19874</v>
      </c>
      <c r="U234" s="259">
        <v>-18605</v>
      </c>
      <c r="V234" s="259">
        <v>-846</v>
      </c>
      <c r="W234" s="259">
        <v>71</v>
      </c>
      <c r="X234" s="259">
        <v>-1862</v>
      </c>
      <c r="Y234" s="259">
        <v>-267017</v>
      </c>
      <c r="Z234" s="259">
        <v>-110013</v>
      </c>
      <c r="AA234" s="259">
        <v>102821</v>
      </c>
      <c r="AB234" s="259">
        <v>119642</v>
      </c>
      <c r="AC234" s="259">
        <v>81282</v>
      </c>
      <c r="AD234" s="259">
        <v>164960</v>
      </c>
      <c r="AE234" s="259">
        <v>6813</v>
      </c>
      <c r="AF234" s="259">
        <v>-30059</v>
      </c>
      <c r="AG234" s="259">
        <v>-3779</v>
      </c>
      <c r="AH234" s="259">
        <v>-12303</v>
      </c>
      <c r="AI234" s="259">
        <v>-1514</v>
      </c>
      <c r="AJ234" s="259">
        <v>-20734</v>
      </c>
      <c r="AK234" s="259">
        <v>16188</v>
      </c>
      <c r="AL234" s="259">
        <v>18009</v>
      </c>
      <c r="AM234" s="259">
        <v>17070</v>
      </c>
      <c r="AN234" s="259">
        <v>-581</v>
      </c>
      <c r="AO234" s="259">
        <v>-49944</v>
      </c>
      <c r="AP234" s="259">
        <v>-335770</v>
      </c>
      <c r="AQ234" s="259">
        <v>182992</v>
      </c>
      <c r="AR234" s="259">
        <v>186482</v>
      </c>
      <c r="AS234" s="259">
        <v>217467</v>
      </c>
      <c r="AT234" s="259">
        <v>31557</v>
      </c>
      <c r="AU234" s="259">
        <v>377596</v>
      </c>
      <c r="AV234" s="259">
        <v>49280</v>
      </c>
      <c r="AW234" s="259">
        <v>103914</v>
      </c>
      <c r="AX234" s="259">
        <v>-503581</v>
      </c>
      <c r="AY234" s="259">
        <v>29089</v>
      </c>
      <c r="AZ234" s="259">
        <v>-49861</v>
      </c>
      <c r="BA234" s="259">
        <v>-155261</v>
      </c>
      <c r="BB234" s="259">
        <v>731806</v>
      </c>
      <c r="BC234" s="259">
        <v>-1946769</v>
      </c>
      <c r="BD234" s="259">
        <v>-1074506</v>
      </c>
      <c r="BE234" s="259">
        <v>-1331715</v>
      </c>
      <c r="BF234" s="259">
        <v>-1459931</v>
      </c>
    </row>
    <row r="235" spans="1:58" x14ac:dyDescent="0.3">
      <c r="A235" s="257" t="s">
        <v>988</v>
      </c>
      <c r="B235" s="258" t="s">
        <v>784</v>
      </c>
      <c r="C235" s="259">
        <v>0</v>
      </c>
      <c r="D235" s="259">
        <v>0</v>
      </c>
      <c r="E235" s="259">
        <v>0</v>
      </c>
      <c r="F235" s="259">
        <v>0</v>
      </c>
      <c r="G235" s="259">
        <v>0</v>
      </c>
      <c r="H235" s="259">
        <v>0</v>
      </c>
      <c r="I235" s="259">
        <v>0</v>
      </c>
      <c r="J235" s="259">
        <v>0</v>
      </c>
      <c r="K235" s="259">
        <v>0</v>
      </c>
      <c r="L235" s="259">
        <v>0</v>
      </c>
      <c r="M235" s="259">
        <v>0</v>
      </c>
      <c r="N235" s="259">
        <v>0</v>
      </c>
      <c r="O235" s="259">
        <v>0</v>
      </c>
      <c r="P235" s="259">
        <v>0</v>
      </c>
      <c r="Q235" s="259">
        <v>0</v>
      </c>
      <c r="R235" s="259">
        <v>0</v>
      </c>
      <c r="S235" s="259">
        <v>23271</v>
      </c>
      <c r="T235" s="259">
        <v>-8256</v>
      </c>
      <c r="U235" s="259">
        <v>-5851</v>
      </c>
      <c r="V235" s="259">
        <v>-5646</v>
      </c>
      <c r="W235" s="259">
        <v>-61433</v>
      </c>
      <c r="X235" s="259">
        <v>-44863</v>
      </c>
      <c r="Y235" s="259">
        <v>-4197</v>
      </c>
      <c r="Z235" s="259">
        <v>-30969</v>
      </c>
      <c r="AA235" s="259">
        <v>-35722</v>
      </c>
      <c r="AB235" s="259">
        <v>-24827</v>
      </c>
      <c r="AC235" s="259">
        <v>8057</v>
      </c>
      <c r="AD235" s="259">
        <v>9909</v>
      </c>
      <c r="AE235" s="259">
        <v>-28977</v>
      </c>
      <c r="AF235" s="259">
        <v>-10897</v>
      </c>
      <c r="AG235" s="259">
        <v>-24772</v>
      </c>
      <c r="AH235" s="259">
        <v>-7323</v>
      </c>
      <c r="AI235" s="259">
        <v>-25819</v>
      </c>
      <c r="AJ235" s="259">
        <v>-32746</v>
      </c>
      <c r="AK235" s="259">
        <v>-34671</v>
      </c>
      <c r="AL235" s="259">
        <v>-14638</v>
      </c>
      <c r="AM235" s="259">
        <v>-14401</v>
      </c>
      <c r="AN235" s="259">
        <v>21883</v>
      </c>
      <c r="AO235" s="259">
        <v>26968</v>
      </c>
      <c r="AP235" s="259">
        <v>59465</v>
      </c>
      <c r="AQ235" s="259">
        <v>6017</v>
      </c>
      <c r="AR235" s="259">
        <v>-51684</v>
      </c>
      <c r="AS235" s="259">
        <v>-113256</v>
      </c>
      <c r="AT235" s="259">
        <v>-31345</v>
      </c>
      <c r="AU235" s="259">
        <v>-86788</v>
      </c>
      <c r="AV235" s="259">
        <v>-101538</v>
      </c>
      <c r="AW235" s="259">
        <v>-116378</v>
      </c>
      <c r="AX235" s="259">
        <v>-51033</v>
      </c>
      <c r="AY235" s="259">
        <v>-75001</v>
      </c>
      <c r="AZ235" s="259">
        <v>-29638</v>
      </c>
      <c r="BA235" s="259">
        <v>-57164</v>
      </c>
      <c r="BB235" s="259">
        <v>-223015</v>
      </c>
      <c r="BC235" s="259">
        <v>237537</v>
      </c>
      <c r="BD235" s="259">
        <v>150307</v>
      </c>
      <c r="BE235" s="259">
        <v>143677</v>
      </c>
      <c r="BF235" s="259">
        <v>213845</v>
      </c>
    </row>
    <row r="236" spans="1:58" x14ac:dyDescent="0.3">
      <c r="A236" s="257" t="s">
        <v>989</v>
      </c>
      <c r="B236" s="258" t="s">
        <v>784</v>
      </c>
      <c r="C236" s="259">
        <v>-26810</v>
      </c>
      <c r="D236" s="259">
        <v>-41459</v>
      </c>
      <c r="E236" s="259">
        <v>-41842</v>
      </c>
      <c r="F236" s="259">
        <v>-2049583</v>
      </c>
      <c r="G236" s="259">
        <v>-32656</v>
      </c>
      <c r="H236" s="259">
        <v>-61696</v>
      </c>
      <c r="I236" s="259">
        <v>-20183</v>
      </c>
      <c r="J236" s="259">
        <v>-59251</v>
      </c>
      <c r="K236" s="259">
        <v>-18213</v>
      </c>
      <c r="L236" s="259">
        <v>-18234</v>
      </c>
      <c r="M236" s="259">
        <v>-8927</v>
      </c>
      <c r="N236" s="259">
        <v>-6497</v>
      </c>
      <c r="O236" s="259">
        <v>-10766</v>
      </c>
      <c r="P236" s="259">
        <v>-72306</v>
      </c>
      <c r="Q236" s="259">
        <v>-82285</v>
      </c>
      <c r="R236" s="259">
        <v>4025</v>
      </c>
      <c r="S236" s="259">
        <v>-7872</v>
      </c>
      <c r="T236" s="259">
        <v>-30904</v>
      </c>
      <c r="U236" s="259">
        <v>-40187</v>
      </c>
      <c r="V236" s="259">
        <v>-18401</v>
      </c>
      <c r="W236" s="259">
        <v>-4232</v>
      </c>
      <c r="X236" s="259">
        <v>-8155</v>
      </c>
      <c r="Y236" s="259">
        <v>-1397</v>
      </c>
      <c r="Z236" s="259">
        <v>-11705</v>
      </c>
      <c r="AA236" s="259">
        <v>-12897</v>
      </c>
      <c r="AB236" s="259">
        <v>-8817</v>
      </c>
      <c r="AC236" s="259">
        <v>-3730</v>
      </c>
      <c r="AD236" s="259">
        <v>-62813</v>
      </c>
      <c r="AE236" s="259">
        <v>4947</v>
      </c>
      <c r="AF236" s="259">
        <v>6115</v>
      </c>
      <c r="AG236" s="259">
        <v>-603</v>
      </c>
      <c r="AH236" s="259">
        <v>-3239</v>
      </c>
      <c r="AI236" s="259">
        <v>1037</v>
      </c>
      <c r="AJ236" s="259">
        <v>-1562</v>
      </c>
      <c r="AK236" s="259">
        <v>1385</v>
      </c>
      <c r="AL236" s="259">
        <v>15770</v>
      </c>
      <c r="AM236" s="259">
        <v>-6727</v>
      </c>
      <c r="AN236" s="259">
        <v>7986</v>
      </c>
      <c r="AO236" s="259">
        <v>12233</v>
      </c>
      <c r="AP236" s="259">
        <v>-43552</v>
      </c>
      <c r="AQ236" s="259">
        <v>-16514</v>
      </c>
      <c r="AR236" s="259">
        <v>-4245</v>
      </c>
      <c r="AS236" s="259">
        <v>-17451</v>
      </c>
      <c r="AT236" s="259">
        <v>-7622</v>
      </c>
      <c r="AU236" s="259">
        <v>23533</v>
      </c>
      <c r="AV236" s="259">
        <v>49144</v>
      </c>
      <c r="AW236" s="259">
        <v>-10172</v>
      </c>
      <c r="AX236" s="259">
        <v>-29291</v>
      </c>
      <c r="AY236" s="259">
        <v>-14071</v>
      </c>
      <c r="AZ236" s="259">
        <v>-148832</v>
      </c>
      <c r="BA236" s="259">
        <v>-7846</v>
      </c>
      <c r="BB236" s="259">
        <v>4415</v>
      </c>
      <c r="BC236" s="259">
        <v>27108</v>
      </c>
      <c r="BD236" s="259">
        <v>117838</v>
      </c>
      <c r="BE236" s="259">
        <v>-92114</v>
      </c>
      <c r="BF236" s="259">
        <v>-245903</v>
      </c>
    </row>
    <row r="237" spans="1:58" x14ac:dyDescent="0.3">
      <c r="A237" s="257" t="s">
        <v>990</v>
      </c>
      <c r="B237" s="258" t="s">
        <v>784</v>
      </c>
      <c r="C237" s="259">
        <v>1003</v>
      </c>
      <c r="D237" s="259">
        <v>11129</v>
      </c>
      <c r="E237" s="259">
        <v>2437</v>
      </c>
      <c r="F237" s="259">
        <v>7720</v>
      </c>
      <c r="G237" s="259">
        <v>14428</v>
      </c>
      <c r="H237" s="259">
        <v>3601</v>
      </c>
      <c r="I237" s="259">
        <v>38330</v>
      </c>
      <c r="J237" s="259">
        <v>46466</v>
      </c>
      <c r="K237" s="259">
        <v>21105</v>
      </c>
      <c r="L237" s="259">
        <v>-24057</v>
      </c>
      <c r="M237" s="259">
        <v>15564</v>
      </c>
      <c r="N237" s="259">
        <v>47145</v>
      </c>
      <c r="O237" s="259">
        <v>19178</v>
      </c>
      <c r="P237" s="259">
        <v>91656</v>
      </c>
      <c r="Q237" s="259">
        <v>94560</v>
      </c>
      <c r="R237" s="259">
        <v>-38125</v>
      </c>
      <c r="S237" s="259">
        <v>112324</v>
      </c>
      <c r="T237" s="259">
        <v>41818</v>
      </c>
      <c r="U237" s="259">
        <v>46266</v>
      </c>
      <c r="V237" s="259">
        <v>-145</v>
      </c>
      <c r="W237" s="259">
        <v>5466</v>
      </c>
      <c r="X237" s="259">
        <v>-27451</v>
      </c>
      <c r="Y237" s="259">
        <v>12071</v>
      </c>
      <c r="Z237" s="259">
        <v>11240</v>
      </c>
      <c r="AA237" s="259">
        <v>21074</v>
      </c>
      <c r="AB237" s="259">
        <v>338</v>
      </c>
      <c r="AC237" s="259">
        <v>-13794</v>
      </c>
      <c r="AD237" s="259">
        <v>-498</v>
      </c>
      <c r="AE237" s="259">
        <v>-2738</v>
      </c>
      <c r="AF237" s="259">
        <v>-1332</v>
      </c>
      <c r="AG237" s="259">
        <v>6465</v>
      </c>
      <c r="AH237" s="259">
        <v>12928</v>
      </c>
      <c r="AI237" s="259">
        <v>711</v>
      </c>
      <c r="AJ237" s="259">
        <v>14754</v>
      </c>
      <c r="AK237" s="259">
        <v>12722</v>
      </c>
      <c r="AL237" s="259">
        <v>-3613</v>
      </c>
      <c r="AM237" s="259">
        <v>22101</v>
      </c>
      <c r="AN237" s="259">
        <v>30081</v>
      </c>
      <c r="AO237" s="259">
        <v>30142</v>
      </c>
      <c r="AP237" s="259">
        <v>-35543</v>
      </c>
      <c r="AQ237" s="259">
        <v>-8906</v>
      </c>
      <c r="AR237" s="259">
        <v>19263</v>
      </c>
      <c r="AS237" s="259">
        <v>153510</v>
      </c>
      <c r="AT237" s="259">
        <v>80863</v>
      </c>
      <c r="AU237" s="259">
        <v>-103950</v>
      </c>
      <c r="AV237" s="259">
        <v>-51161</v>
      </c>
      <c r="AW237" s="259">
        <v>-14037</v>
      </c>
      <c r="AX237" s="259">
        <v>63670</v>
      </c>
      <c r="AY237" s="259">
        <v>41468</v>
      </c>
      <c r="AZ237" s="259">
        <v>81250</v>
      </c>
      <c r="BA237" s="259">
        <v>149097</v>
      </c>
      <c r="BB237" s="259">
        <v>396785</v>
      </c>
      <c r="BC237" s="259">
        <v>-233067</v>
      </c>
      <c r="BD237" s="259">
        <v>-147934</v>
      </c>
      <c r="BE237" s="259">
        <v>-303405</v>
      </c>
      <c r="BF237" s="259">
        <v>-79935</v>
      </c>
    </row>
    <row r="238" spans="1:58" x14ac:dyDescent="0.3">
      <c r="A238" s="257" t="s">
        <v>991</v>
      </c>
      <c r="B238" s="258" t="s">
        <v>784</v>
      </c>
      <c r="C238" s="259">
        <v>-5634</v>
      </c>
      <c r="D238" s="259">
        <v>-3401</v>
      </c>
      <c r="E238" s="259">
        <v>-1344</v>
      </c>
      <c r="F238" s="259">
        <v>-2940</v>
      </c>
      <c r="G238" s="259">
        <v>4864</v>
      </c>
      <c r="H238" s="259">
        <v>10136</v>
      </c>
      <c r="I238" s="259">
        <v>12760</v>
      </c>
      <c r="J238" s="259">
        <v>-6153</v>
      </c>
      <c r="K238" s="259">
        <v>10736</v>
      </c>
      <c r="L238" s="259">
        <v>-8151</v>
      </c>
      <c r="M238" s="259">
        <v>8783</v>
      </c>
      <c r="N238" s="259">
        <v>36511</v>
      </c>
      <c r="O238" s="259">
        <v>-36070</v>
      </c>
      <c r="P238" s="259">
        <v>-6897</v>
      </c>
      <c r="Q238" s="259">
        <v>-61141</v>
      </c>
      <c r="R238" s="259">
        <v>6020</v>
      </c>
      <c r="S238" s="259">
        <v>654</v>
      </c>
      <c r="T238" s="259">
        <v>-1324</v>
      </c>
      <c r="U238" s="259">
        <v>13251</v>
      </c>
      <c r="V238" s="259">
        <v>-19580</v>
      </c>
      <c r="W238" s="259">
        <v>1928</v>
      </c>
      <c r="X238" s="259">
        <v>-1592</v>
      </c>
      <c r="Y238" s="259">
        <v>1093</v>
      </c>
      <c r="Z238" s="259">
        <v>1273</v>
      </c>
      <c r="AA238" s="259">
        <v>237</v>
      </c>
      <c r="AB238" s="259">
        <v>-5891</v>
      </c>
      <c r="AC238" s="259">
        <v>-8840</v>
      </c>
      <c r="AD238" s="259">
        <v>-11429</v>
      </c>
      <c r="AE238" s="259">
        <v>-7141</v>
      </c>
      <c r="AF238" s="259">
        <v>-7816</v>
      </c>
      <c r="AG238" s="259">
        <v>-17072</v>
      </c>
      <c r="AH238" s="259">
        <v>-8478</v>
      </c>
      <c r="AI238" s="259">
        <v>-9192</v>
      </c>
      <c r="AJ238" s="259">
        <v>-3036</v>
      </c>
      <c r="AK238" s="259">
        <v>-16056</v>
      </c>
      <c r="AL238" s="259">
        <v>-26457</v>
      </c>
      <c r="AM238" s="259">
        <v>-5865</v>
      </c>
      <c r="AN238" s="259">
        <v>8990</v>
      </c>
      <c r="AO238" s="259">
        <v>12024</v>
      </c>
      <c r="AP238" s="259">
        <v>16227</v>
      </c>
      <c r="AQ238" s="259">
        <v>-21983</v>
      </c>
      <c r="AR238" s="259">
        <v>-45136</v>
      </c>
      <c r="AS238" s="259">
        <v>-35708</v>
      </c>
      <c r="AT238" s="259">
        <v>-66652</v>
      </c>
      <c r="AU238" s="259">
        <v>-67259</v>
      </c>
      <c r="AV238" s="259">
        <v>-123748</v>
      </c>
      <c r="AW238" s="259">
        <v>-87561</v>
      </c>
      <c r="AX238" s="259">
        <v>-120433</v>
      </c>
      <c r="AY238" s="259">
        <v>-137006</v>
      </c>
      <c r="AZ238" s="259">
        <v>-170524</v>
      </c>
      <c r="BA238" s="259">
        <v>-434064</v>
      </c>
      <c r="BB238" s="259">
        <v>-585792</v>
      </c>
      <c r="BC238" s="259">
        <v>-64435</v>
      </c>
      <c r="BD238" s="259">
        <v>-160105</v>
      </c>
      <c r="BE238" s="259">
        <v>-224615</v>
      </c>
      <c r="BF238" s="259">
        <v>-344725</v>
      </c>
    </row>
    <row r="239" spans="1:58" x14ac:dyDescent="0.3">
      <c r="A239" s="257" t="s">
        <v>992</v>
      </c>
      <c r="B239" s="258" t="s">
        <v>784</v>
      </c>
      <c r="C239" s="259">
        <v>968</v>
      </c>
      <c r="D239" s="259">
        <v>-1075</v>
      </c>
      <c r="E239" s="259">
        <v>-5361</v>
      </c>
      <c r="F239" s="259">
        <v>7077</v>
      </c>
      <c r="G239" s="259">
        <v>3890</v>
      </c>
      <c r="H239" s="259">
        <v>-6098</v>
      </c>
      <c r="I239" s="259">
        <v>-6697</v>
      </c>
      <c r="J239" s="259">
        <v>0</v>
      </c>
      <c r="K239" s="259">
        <v>0</v>
      </c>
      <c r="L239" s="259">
        <v>-1897</v>
      </c>
      <c r="M239" s="259">
        <v>0</v>
      </c>
      <c r="N239" s="259">
        <v>0</v>
      </c>
      <c r="O239" s="259">
        <v>0</v>
      </c>
      <c r="P239" s="259">
        <v>0</v>
      </c>
      <c r="Q239" s="259">
        <v>0</v>
      </c>
      <c r="R239" s="259">
        <v>25896</v>
      </c>
      <c r="S239" s="259">
        <v>-25266</v>
      </c>
      <c r="T239" s="259">
        <v>19017</v>
      </c>
      <c r="U239" s="259">
        <v>0</v>
      </c>
      <c r="V239" s="259">
        <v>6941</v>
      </c>
      <c r="W239" s="259">
        <v>10944</v>
      </c>
      <c r="X239" s="259">
        <v>3676</v>
      </c>
      <c r="Y239" s="259">
        <v>37980</v>
      </c>
      <c r="Z239" s="259">
        <v>59287</v>
      </c>
      <c r="AA239" s="259">
        <v>0</v>
      </c>
      <c r="AB239" s="259">
        <v>-824</v>
      </c>
      <c r="AC239" s="259">
        <v>-1214</v>
      </c>
      <c r="AD239" s="259">
        <v>-4689</v>
      </c>
      <c r="AE239" s="259">
        <v>8</v>
      </c>
      <c r="AF239" s="259">
        <v>3539</v>
      </c>
      <c r="AG239" s="259">
        <v>3050</v>
      </c>
      <c r="AH239" s="259">
        <v>-187</v>
      </c>
      <c r="AI239" s="259">
        <v>-541</v>
      </c>
      <c r="AJ239" s="259">
        <v>-1365</v>
      </c>
      <c r="AK239" s="259">
        <v>-3267</v>
      </c>
      <c r="AL239" s="259">
        <v>-1275</v>
      </c>
      <c r="AM239" s="259">
        <v>3007</v>
      </c>
      <c r="AN239" s="259">
        <v>-23363</v>
      </c>
      <c r="AO239" s="259">
        <v>-57819</v>
      </c>
      <c r="AP239" s="259">
        <v>8199</v>
      </c>
      <c r="AQ239" s="259">
        <v>-43541</v>
      </c>
      <c r="AR239" s="259">
        <v>46312</v>
      </c>
      <c r="AS239" s="259">
        <v>84391</v>
      </c>
      <c r="AT239" s="259">
        <v>219628</v>
      </c>
      <c r="AU239" s="259">
        <v>79936</v>
      </c>
      <c r="AV239" s="259">
        <v>80835</v>
      </c>
      <c r="AW239" s="259">
        <v>66417</v>
      </c>
      <c r="AX239" s="259">
        <v>-51444</v>
      </c>
      <c r="AY239" s="259">
        <v>-22134</v>
      </c>
      <c r="AZ239" s="259">
        <v>-28842</v>
      </c>
      <c r="BA239" s="259">
        <v>-80</v>
      </c>
      <c r="BB239" s="259">
        <v>7221</v>
      </c>
      <c r="BC239" s="259">
        <v>-14349</v>
      </c>
      <c r="BD239" s="259">
        <v>-10577</v>
      </c>
      <c r="BE239" s="259">
        <v>42945</v>
      </c>
      <c r="BF239" s="259">
        <v>-123512</v>
      </c>
    </row>
    <row r="240" spans="1:58" x14ac:dyDescent="0.3">
      <c r="A240" s="255" t="s">
        <v>993</v>
      </c>
      <c r="B240" s="261" t="s">
        <v>784</v>
      </c>
      <c r="C240" s="256">
        <v>0</v>
      </c>
      <c r="D240" s="256">
        <v>0</v>
      </c>
      <c r="E240" s="256">
        <v>0</v>
      </c>
      <c r="F240" s="256">
        <v>-1848</v>
      </c>
      <c r="G240" s="256">
        <v>641</v>
      </c>
      <c r="H240" s="256">
        <v>303</v>
      </c>
      <c r="I240" s="256">
        <v>411</v>
      </c>
      <c r="J240" s="256">
        <v>-5188</v>
      </c>
      <c r="K240" s="256">
        <v>-2934</v>
      </c>
      <c r="L240" s="256">
        <v>0</v>
      </c>
      <c r="M240" s="256">
        <v>-3366</v>
      </c>
      <c r="N240" s="256">
        <v>-65</v>
      </c>
      <c r="O240" s="256">
        <v>-5495</v>
      </c>
      <c r="P240" s="256">
        <v>-3524</v>
      </c>
      <c r="Q240" s="256">
        <v>7731</v>
      </c>
      <c r="R240" s="256">
        <v>-2816</v>
      </c>
      <c r="S240" s="256">
        <v>30857</v>
      </c>
      <c r="T240" s="256">
        <v>13427</v>
      </c>
      <c r="U240" s="256">
        <v>5150</v>
      </c>
      <c r="V240" s="256">
        <v>542</v>
      </c>
      <c r="W240" s="256">
        <v>26637</v>
      </c>
      <c r="X240" s="256">
        <v>-1198</v>
      </c>
      <c r="Y240" s="256">
        <v>-1004</v>
      </c>
      <c r="Z240" s="256">
        <v>-590</v>
      </c>
      <c r="AA240" s="256">
        <v>-182</v>
      </c>
      <c r="AB240" s="256">
        <v>-2847</v>
      </c>
      <c r="AC240" s="256">
        <v>-2591</v>
      </c>
      <c r="AD240" s="256">
        <v>-555</v>
      </c>
      <c r="AE240" s="256">
        <v>2297</v>
      </c>
      <c r="AF240" s="256">
        <v>-1425</v>
      </c>
      <c r="AG240" s="256">
        <v>-1367</v>
      </c>
      <c r="AH240" s="256">
        <v>12026</v>
      </c>
      <c r="AI240" s="256">
        <v>-11773</v>
      </c>
      <c r="AJ240" s="256">
        <v>-11975</v>
      </c>
      <c r="AK240" s="256">
        <v>-12251</v>
      </c>
      <c r="AL240" s="256">
        <v>4022</v>
      </c>
      <c r="AM240" s="256">
        <v>-16260</v>
      </c>
      <c r="AN240" s="256">
        <v>-14082</v>
      </c>
      <c r="AO240" s="256">
        <v>-14953</v>
      </c>
      <c r="AP240" s="256">
        <v>-1571</v>
      </c>
      <c r="AQ240" s="256">
        <v>-12178</v>
      </c>
      <c r="AR240" s="256">
        <v>-20167</v>
      </c>
      <c r="AS240" s="256">
        <v>-23173</v>
      </c>
      <c r="AT240" s="256">
        <v>-12199</v>
      </c>
      <c r="AU240" s="256">
        <v>-612</v>
      </c>
      <c r="AV240" s="256">
        <v>-743</v>
      </c>
      <c r="AW240" s="256">
        <v>134</v>
      </c>
      <c r="AX240" s="256">
        <v>-1111</v>
      </c>
      <c r="AY240" s="256">
        <v>1004</v>
      </c>
      <c r="AZ240" s="256">
        <v>1916</v>
      </c>
      <c r="BA240" s="256">
        <v>-1342</v>
      </c>
      <c r="BB240" s="256">
        <v>4161</v>
      </c>
      <c r="BC240" s="256">
        <v>12889</v>
      </c>
      <c r="BD240" s="256">
        <v>-5465</v>
      </c>
      <c r="BE240" s="256">
        <v>-7393</v>
      </c>
      <c r="BF240" s="256">
        <v>34014</v>
      </c>
    </row>
    <row r="241" spans="1:58" x14ac:dyDescent="0.3">
      <c r="A241" s="252" t="s">
        <v>994</v>
      </c>
      <c r="B241" s="254">
        <v>-83670</v>
      </c>
      <c r="C241" s="254">
        <v>40780</v>
      </c>
      <c r="D241" s="254">
        <v>66223</v>
      </c>
      <c r="E241" s="254">
        <v>99722</v>
      </c>
      <c r="F241" s="254">
        <v>-131067</v>
      </c>
      <c r="G241" s="254">
        <v>57780</v>
      </c>
      <c r="H241" s="254">
        <v>126529</v>
      </c>
      <c r="I241" s="254">
        <v>311832</v>
      </c>
      <c r="J241" s="254">
        <v>378206</v>
      </c>
      <c r="K241" s="254">
        <v>1756206</v>
      </c>
      <c r="L241" s="254">
        <v>135620</v>
      </c>
      <c r="M241" s="254">
        <v>202381</v>
      </c>
      <c r="N241" s="254">
        <v>207005</v>
      </c>
      <c r="O241" s="254">
        <v>117242</v>
      </c>
      <c r="P241" s="254">
        <v>-2433</v>
      </c>
      <c r="Q241" s="254">
        <v>185844</v>
      </c>
      <c r="R241" s="254">
        <v>223935</v>
      </c>
      <c r="S241" s="254">
        <v>79201</v>
      </c>
      <c r="T241" s="254">
        <v>268746</v>
      </c>
      <c r="U241" s="254">
        <v>357565</v>
      </c>
      <c r="V241" s="254">
        <v>222858</v>
      </c>
      <c r="W241" s="254">
        <v>-7228</v>
      </c>
      <c r="X241" s="254">
        <v>14610</v>
      </c>
      <c r="Y241" s="254">
        <v>-48621</v>
      </c>
      <c r="Z241" s="254">
        <v>-17367</v>
      </c>
      <c r="AA241" s="254">
        <v>-163305</v>
      </c>
      <c r="AB241" s="254">
        <v>-282995</v>
      </c>
      <c r="AC241" s="254">
        <v>-303750</v>
      </c>
      <c r="AD241" s="254">
        <v>-391101</v>
      </c>
      <c r="AE241" s="254">
        <v>-110650</v>
      </c>
      <c r="AF241" s="254">
        <v>-83207</v>
      </c>
      <c r="AG241" s="254">
        <v>-46896</v>
      </c>
      <c r="AH241" s="254">
        <v>174</v>
      </c>
      <c r="AI241" s="254">
        <v>34632</v>
      </c>
      <c r="AJ241" s="254">
        <v>-182290</v>
      </c>
      <c r="AK241" s="254">
        <v>-117220</v>
      </c>
      <c r="AL241" s="254">
        <v>-338004</v>
      </c>
      <c r="AM241" s="254">
        <v>-1107043</v>
      </c>
      <c r="AN241" s="254">
        <v>-1181035</v>
      </c>
      <c r="AO241" s="254">
        <v>-1243758</v>
      </c>
      <c r="AP241" s="254">
        <v>-1383308</v>
      </c>
      <c r="AQ241" s="254">
        <v>-693448</v>
      </c>
      <c r="AR241" s="254">
        <v>-685886</v>
      </c>
      <c r="AS241" s="254">
        <v>-829124</v>
      </c>
      <c r="AT241" s="254">
        <v>-585142</v>
      </c>
      <c r="AU241" s="254">
        <v>-376098</v>
      </c>
      <c r="AV241" s="254">
        <v>-1545634</v>
      </c>
      <c r="AW241" s="254">
        <v>-3402632</v>
      </c>
      <c r="AX241" s="254">
        <v>-4743320</v>
      </c>
      <c r="AY241" s="254">
        <v>549472</v>
      </c>
      <c r="AZ241" s="254">
        <v>-932880</v>
      </c>
      <c r="BA241" s="254">
        <v>-300711</v>
      </c>
      <c r="BB241" s="254">
        <v>-175963.00823000001</v>
      </c>
      <c r="BC241" s="254">
        <v>-10018922</v>
      </c>
      <c r="BD241" s="254">
        <v>-11401193</v>
      </c>
      <c r="BE241" s="254">
        <v>-12533960</v>
      </c>
      <c r="BF241" s="254">
        <v>-13244756</v>
      </c>
    </row>
    <row r="242" spans="1:58" x14ac:dyDescent="0.3">
      <c r="A242" s="255" t="s">
        <v>995</v>
      </c>
      <c r="B242" s="261" t="s">
        <v>784</v>
      </c>
      <c r="C242" s="256">
        <v>-6607</v>
      </c>
      <c r="D242" s="256">
        <v>-39444</v>
      </c>
      <c r="E242" s="256">
        <v>-106842</v>
      </c>
      <c r="F242" s="256">
        <v>-131067</v>
      </c>
      <c r="G242" s="256">
        <v>-144280</v>
      </c>
      <c r="H242" s="256">
        <v>-186674</v>
      </c>
      <c r="I242" s="256">
        <v>-371007</v>
      </c>
      <c r="J242" s="256">
        <v>-867646</v>
      </c>
      <c r="K242" s="256">
        <v>-156399</v>
      </c>
      <c r="L242" s="256">
        <v>23181</v>
      </c>
      <c r="M242" s="256">
        <v>-436746</v>
      </c>
      <c r="N242" s="256">
        <v>-350172</v>
      </c>
      <c r="O242" s="256">
        <v>-122415</v>
      </c>
      <c r="P242" s="256">
        <v>-272543</v>
      </c>
      <c r="Q242" s="256">
        <v>-402541</v>
      </c>
      <c r="R242" s="256">
        <v>-467691</v>
      </c>
      <c r="S242" s="256">
        <v>-204001</v>
      </c>
      <c r="T242" s="256">
        <v>-132329</v>
      </c>
      <c r="U242" s="256">
        <v>-99805</v>
      </c>
      <c r="V242" s="256">
        <v>-124829</v>
      </c>
      <c r="W242" s="256">
        <v>-60766</v>
      </c>
      <c r="X242" s="256">
        <v>-58417</v>
      </c>
      <c r="Y242" s="256">
        <v>84462</v>
      </c>
      <c r="Z242" s="256">
        <v>84275</v>
      </c>
      <c r="AA242" s="256">
        <v>-24197</v>
      </c>
      <c r="AB242" s="256">
        <v>-48226</v>
      </c>
      <c r="AC242" s="256">
        <v>-68499</v>
      </c>
      <c r="AD242" s="256">
        <v>-69708</v>
      </c>
      <c r="AE242" s="256">
        <v>-122920</v>
      </c>
      <c r="AF242" s="256">
        <v>-108045</v>
      </c>
      <c r="AG242" s="256">
        <v>-112400</v>
      </c>
      <c r="AH242" s="256">
        <v>-110181</v>
      </c>
      <c r="AI242" s="256">
        <v>-16653</v>
      </c>
      <c r="AJ242" s="256">
        <v>-86152</v>
      </c>
      <c r="AK242" s="256">
        <v>-146751</v>
      </c>
      <c r="AL242" s="256">
        <v>-192588</v>
      </c>
      <c r="AM242" s="256">
        <v>-8516</v>
      </c>
      <c r="AN242" s="256">
        <v>-32820</v>
      </c>
      <c r="AO242" s="256">
        <v>-61673</v>
      </c>
      <c r="AP242" s="256">
        <v>-1772759</v>
      </c>
      <c r="AQ242" s="256">
        <v>-665202</v>
      </c>
      <c r="AR242" s="256">
        <v>-114362</v>
      </c>
      <c r="AS242" s="256">
        <v>-839995</v>
      </c>
      <c r="AT242" s="256">
        <v>-857582</v>
      </c>
      <c r="AU242" s="256">
        <v>-269498</v>
      </c>
      <c r="AV242" s="256">
        <v>-235931</v>
      </c>
      <c r="AW242" s="256">
        <v>-1046292</v>
      </c>
      <c r="AX242" s="256">
        <v>-1312614</v>
      </c>
      <c r="AY242" s="256">
        <v>-327275</v>
      </c>
      <c r="AZ242" s="256">
        <v>-2280695</v>
      </c>
      <c r="BA242" s="256">
        <v>-2883833</v>
      </c>
      <c r="BB242" s="256">
        <v>-3730320.0082</v>
      </c>
      <c r="BC242" s="256">
        <v>-9991351</v>
      </c>
      <c r="BD242" s="256">
        <v>-11421484</v>
      </c>
      <c r="BE242" s="256">
        <v>-12533545</v>
      </c>
      <c r="BF242" s="256">
        <v>-13244756</v>
      </c>
    </row>
    <row r="243" spans="1:58" x14ac:dyDescent="0.3">
      <c r="A243" s="257" t="s">
        <v>996</v>
      </c>
      <c r="B243" s="258" t="s">
        <v>784</v>
      </c>
      <c r="C243" s="259">
        <v>0</v>
      </c>
      <c r="D243" s="259">
        <v>-9020</v>
      </c>
      <c r="E243" s="259">
        <v>-9020</v>
      </c>
      <c r="F243" s="259">
        <v>0</v>
      </c>
      <c r="G243" s="259">
        <v>0</v>
      </c>
      <c r="H243" s="259">
        <v>0</v>
      </c>
      <c r="I243" s="259">
        <v>0</v>
      </c>
      <c r="J243" s="259">
        <v>0</v>
      </c>
      <c r="K243" s="259">
        <v>0</v>
      </c>
      <c r="L243" s="258" t="s">
        <v>784</v>
      </c>
      <c r="M243" s="258" t="s">
        <v>784</v>
      </c>
      <c r="N243" s="259">
        <v>0</v>
      </c>
      <c r="O243" s="258" t="s">
        <v>784</v>
      </c>
      <c r="P243" s="258" t="s">
        <v>784</v>
      </c>
      <c r="Q243" s="258" t="s">
        <v>784</v>
      </c>
      <c r="R243" s="259">
        <v>0</v>
      </c>
      <c r="S243" s="259">
        <v>0</v>
      </c>
      <c r="T243" s="259">
        <v>0</v>
      </c>
      <c r="U243" s="259">
        <v>0</v>
      </c>
      <c r="V243" s="259">
        <v>0</v>
      </c>
      <c r="W243" s="259">
        <v>0</v>
      </c>
      <c r="X243" s="259">
        <v>0</v>
      </c>
      <c r="Y243" s="259">
        <v>0</v>
      </c>
      <c r="Z243" s="259">
        <v>0</v>
      </c>
      <c r="AA243" s="259">
        <v>0</v>
      </c>
      <c r="AB243" s="259">
        <v>0</v>
      </c>
      <c r="AC243" s="259">
        <v>0</v>
      </c>
      <c r="AD243" s="259">
        <v>0</v>
      </c>
      <c r="AE243" s="259">
        <v>0</v>
      </c>
      <c r="AF243" s="259">
        <v>0</v>
      </c>
      <c r="AG243" s="259">
        <v>0</v>
      </c>
      <c r="AH243" s="259">
        <v>0</v>
      </c>
      <c r="AI243" s="259">
        <v>0</v>
      </c>
      <c r="AJ243" s="259">
        <v>0</v>
      </c>
      <c r="AK243" s="259">
        <v>0</v>
      </c>
      <c r="AL243" s="259">
        <v>0</v>
      </c>
      <c r="AM243" s="259">
        <v>0</v>
      </c>
      <c r="AN243" s="259">
        <v>0</v>
      </c>
      <c r="AO243" s="259">
        <v>0</v>
      </c>
      <c r="AP243" s="259">
        <v>0</v>
      </c>
      <c r="AQ243" s="259">
        <v>0</v>
      </c>
      <c r="AR243" s="259">
        <v>0</v>
      </c>
      <c r="AS243" s="259">
        <v>0</v>
      </c>
      <c r="AT243" s="259">
        <v>0</v>
      </c>
      <c r="AU243" s="259">
        <v>0</v>
      </c>
      <c r="AV243" s="259">
        <v>0</v>
      </c>
      <c r="AW243" s="259">
        <v>0</v>
      </c>
      <c r="AX243" s="259">
        <v>0</v>
      </c>
      <c r="AY243" s="259">
        <v>0</v>
      </c>
      <c r="AZ243" s="259">
        <v>0</v>
      </c>
      <c r="BA243" s="259">
        <v>0</v>
      </c>
      <c r="BB243" s="259">
        <v>0</v>
      </c>
      <c r="BC243" s="259">
        <v>0</v>
      </c>
      <c r="BD243" s="259">
        <v>0</v>
      </c>
      <c r="BE243" s="259">
        <v>0</v>
      </c>
      <c r="BF243" s="259">
        <v>0</v>
      </c>
    </row>
    <row r="244" spans="1:58" x14ac:dyDescent="0.3">
      <c r="A244" s="257" t="s">
        <v>997</v>
      </c>
      <c r="B244" s="258" t="s">
        <v>784</v>
      </c>
      <c r="C244" s="259">
        <v>-6607</v>
      </c>
      <c r="D244" s="259">
        <v>-30424</v>
      </c>
      <c r="E244" s="259">
        <v>-97822</v>
      </c>
      <c r="F244" s="259">
        <v>-131067</v>
      </c>
      <c r="G244" s="259">
        <v>-144280</v>
      </c>
      <c r="H244" s="259">
        <v>-186674</v>
      </c>
      <c r="I244" s="259">
        <v>-371007</v>
      </c>
      <c r="J244" s="259">
        <v>-867646</v>
      </c>
      <c r="K244" s="259">
        <v>-156399</v>
      </c>
      <c r="L244" s="258" t="s">
        <v>784</v>
      </c>
      <c r="M244" s="258" t="s">
        <v>784</v>
      </c>
      <c r="N244" s="259">
        <v>-350172</v>
      </c>
      <c r="O244" s="258" t="s">
        <v>784</v>
      </c>
      <c r="P244" s="258" t="s">
        <v>784</v>
      </c>
      <c r="Q244" s="258" t="s">
        <v>784</v>
      </c>
      <c r="R244" s="259">
        <v>-483336</v>
      </c>
      <c r="S244" s="259">
        <v>-207614</v>
      </c>
      <c r="T244" s="259">
        <v>-132329</v>
      </c>
      <c r="U244" s="259">
        <v>-143923</v>
      </c>
      <c r="V244" s="259">
        <v>-172641</v>
      </c>
      <c r="W244" s="259">
        <v>-78649</v>
      </c>
      <c r="X244" s="259">
        <v>-78541</v>
      </c>
      <c r="Y244" s="259">
        <v>-96109</v>
      </c>
      <c r="Z244" s="259">
        <v>-96633</v>
      </c>
      <c r="AA244" s="259">
        <v>-24966</v>
      </c>
      <c r="AB244" s="259">
        <v>-54517</v>
      </c>
      <c r="AC244" s="259">
        <v>-72288</v>
      </c>
      <c r="AD244" s="259">
        <v>-73786</v>
      </c>
      <c r="AE244" s="259">
        <v>-122920</v>
      </c>
      <c r="AF244" s="259">
        <v>-130739</v>
      </c>
      <c r="AG244" s="259">
        <v>-134132</v>
      </c>
      <c r="AH244" s="259">
        <v>-132874</v>
      </c>
      <c r="AI244" s="259">
        <v>-16653</v>
      </c>
      <c r="AJ244" s="259">
        <v>-89622</v>
      </c>
      <c r="AK244" s="259">
        <v>-153558</v>
      </c>
      <c r="AL244" s="259">
        <v>-199175</v>
      </c>
      <c r="AM244" s="259">
        <v>-8516</v>
      </c>
      <c r="AN244" s="259">
        <v>-33112</v>
      </c>
      <c r="AO244" s="259">
        <v>-61673</v>
      </c>
      <c r="AP244" s="259">
        <v>-1772759</v>
      </c>
      <c r="AQ244" s="259">
        <v>-864406</v>
      </c>
      <c r="AR244" s="259">
        <v>-114362</v>
      </c>
      <c r="AS244" s="259">
        <v>-839995</v>
      </c>
      <c r="AT244" s="259">
        <v>-857582</v>
      </c>
      <c r="AU244" s="259">
        <v>-269498</v>
      </c>
      <c r="AV244" s="259">
        <v>-235931</v>
      </c>
      <c r="AW244" s="259">
        <v>-1046292</v>
      </c>
      <c r="AX244" s="259">
        <v>-1312612</v>
      </c>
      <c r="AY244" s="259">
        <v>-327275</v>
      </c>
      <c r="AZ244" s="259">
        <v>-2280695</v>
      </c>
      <c r="BA244" s="259">
        <v>-2883833</v>
      </c>
      <c r="BB244" s="259">
        <v>-1900161.0082</v>
      </c>
      <c r="BC244" s="259">
        <v>-9991351</v>
      </c>
      <c r="BD244" s="259">
        <v>-11421484</v>
      </c>
      <c r="BE244" s="259">
        <v>-12533545</v>
      </c>
      <c r="BF244" s="259">
        <v>-13323637</v>
      </c>
    </row>
    <row r="245" spans="1:58" x14ac:dyDescent="0.3">
      <c r="A245" s="257" t="s">
        <v>998</v>
      </c>
      <c r="B245" s="258" t="s">
        <v>784</v>
      </c>
      <c r="C245" s="259">
        <v>0</v>
      </c>
      <c r="D245" s="259">
        <v>0</v>
      </c>
      <c r="E245" s="259">
        <v>0</v>
      </c>
      <c r="F245" s="259">
        <v>0</v>
      </c>
      <c r="G245" s="259">
        <v>0</v>
      </c>
      <c r="H245" s="259">
        <v>0</v>
      </c>
      <c r="I245" s="259">
        <v>0</v>
      </c>
      <c r="J245" s="259">
        <v>0</v>
      </c>
      <c r="K245" s="259">
        <v>0</v>
      </c>
      <c r="L245" s="258" t="s">
        <v>784</v>
      </c>
      <c r="M245" s="258" t="s">
        <v>784</v>
      </c>
      <c r="N245" s="259">
        <v>0</v>
      </c>
      <c r="O245" s="258" t="s">
        <v>784</v>
      </c>
      <c r="P245" s="258" t="s">
        <v>784</v>
      </c>
      <c r="Q245" s="258" t="s">
        <v>784</v>
      </c>
      <c r="R245" s="259">
        <v>15645</v>
      </c>
      <c r="S245" s="259">
        <v>3613</v>
      </c>
      <c r="T245" s="259">
        <v>0</v>
      </c>
      <c r="U245" s="259">
        <v>44118</v>
      </c>
      <c r="V245" s="259">
        <v>47812</v>
      </c>
      <c r="W245" s="259">
        <v>17883</v>
      </c>
      <c r="X245" s="259">
        <v>20124</v>
      </c>
      <c r="Y245" s="259">
        <v>180571</v>
      </c>
      <c r="Z245" s="259">
        <v>180908</v>
      </c>
      <c r="AA245" s="259">
        <v>769</v>
      </c>
      <c r="AB245" s="259">
        <v>6291</v>
      </c>
      <c r="AC245" s="259">
        <v>3789</v>
      </c>
      <c r="AD245" s="259">
        <v>4078</v>
      </c>
      <c r="AE245" s="259">
        <v>0</v>
      </c>
      <c r="AF245" s="259">
        <v>22694</v>
      </c>
      <c r="AG245" s="259">
        <v>21732</v>
      </c>
      <c r="AH245" s="259">
        <v>22693</v>
      </c>
      <c r="AI245" s="259">
        <v>0</v>
      </c>
      <c r="AJ245" s="259">
        <v>3470</v>
      </c>
      <c r="AK245" s="259">
        <v>6807</v>
      </c>
      <c r="AL245" s="259">
        <v>6587</v>
      </c>
      <c r="AM245" s="259">
        <v>0</v>
      </c>
      <c r="AN245" s="259">
        <v>292</v>
      </c>
      <c r="AO245" s="259">
        <v>0</v>
      </c>
      <c r="AP245" s="259">
        <v>0</v>
      </c>
      <c r="AQ245" s="259">
        <v>199204</v>
      </c>
      <c r="AR245" s="259">
        <v>0</v>
      </c>
      <c r="AS245" s="259">
        <v>0</v>
      </c>
      <c r="AT245" s="259">
        <v>0</v>
      </c>
      <c r="AU245" s="259">
        <v>0</v>
      </c>
      <c r="AV245" s="259">
        <v>0</v>
      </c>
      <c r="AW245" s="259">
        <v>0</v>
      </c>
      <c r="AX245" s="259">
        <v>-2</v>
      </c>
      <c r="AY245" s="259">
        <v>0</v>
      </c>
      <c r="AZ245" s="259">
        <v>0</v>
      </c>
      <c r="BA245" s="259">
        <v>0</v>
      </c>
      <c r="BB245" s="259">
        <v>-1830159</v>
      </c>
      <c r="BC245" s="259">
        <v>0</v>
      </c>
      <c r="BD245" s="259">
        <v>0</v>
      </c>
      <c r="BE245" s="259">
        <v>0</v>
      </c>
      <c r="BF245" s="259">
        <v>78881</v>
      </c>
    </row>
    <row r="246" spans="1:58" x14ac:dyDescent="0.3">
      <c r="A246" s="255" t="s">
        <v>999</v>
      </c>
      <c r="B246" s="261" t="s">
        <v>784</v>
      </c>
      <c r="C246" s="256">
        <v>0</v>
      </c>
      <c r="D246" s="256">
        <v>0</v>
      </c>
      <c r="E246" s="256">
        <v>0</v>
      </c>
      <c r="F246" s="256">
        <v>0</v>
      </c>
      <c r="G246" s="256">
        <v>0</v>
      </c>
      <c r="H246" s="256">
        <v>0</v>
      </c>
      <c r="I246" s="256">
        <v>0</v>
      </c>
      <c r="J246" s="256">
        <v>0</v>
      </c>
      <c r="K246" s="256">
        <v>0</v>
      </c>
      <c r="L246" s="256">
        <v>0</v>
      </c>
      <c r="M246" s="256">
        <v>0</v>
      </c>
      <c r="N246" s="256">
        <v>0</v>
      </c>
      <c r="O246" s="256">
        <v>0</v>
      </c>
      <c r="P246" s="256">
        <v>0</v>
      </c>
      <c r="Q246" s="256">
        <v>0</v>
      </c>
      <c r="R246" s="256">
        <v>0</v>
      </c>
      <c r="S246" s="256">
        <v>0</v>
      </c>
      <c r="T246" s="256">
        <v>0</v>
      </c>
      <c r="U246" s="256">
        <v>0</v>
      </c>
      <c r="V246" s="256">
        <v>0</v>
      </c>
      <c r="W246" s="256">
        <v>0</v>
      </c>
      <c r="X246" s="256">
        <v>0</v>
      </c>
      <c r="Y246" s="256">
        <v>0</v>
      </c>
      <c r="Z246" s="256">
        <v>0</v>
      </c>
      <c r="AA246" s="256">
        <v>0</v>
      </c>
      <c r="AB246" s="256">
        <v>0</v>
      </c>
      <c r="AC246" s="256">
        <v>0</v>
      </c>
      <c r="AD246" s="256">
        <v>0</v>
      </c>
      <c r="AE246" s="256">
        <v>0</v>
      </c>
      <c r="AF246" s="256">
        <v>0</v>
      </c>
      <c r="AG246" s="256">
        <v>0</v>
      </c>
      <c r="AH246" s="256">
        <v>0</v>
      </c>
      <c r="AI246" s="256">
        <v>0</v>
      </c>
      <c r="AJ246" s="256">
        <v>0</v>
      </c>
      <c r="AK246" s="256">
        <v>0</v>
      </c>
      <c r="AL246" s="256">
        <v>0</v>
      </c>
      <c r="AM246" s="256">
        <v>0</v>
      </c>
      <c r="AN246" s="256">
        <v>0</v>
      </c>
      <c r="AO246" s="256">
        <v>0</v>
      </c>
      <c r="AP246" s="256">
        <v>0</v>
      </c>
      <c r="AQ246" s="256">
        <v>0</v>
      </c>
      <c r="AR246" s="256">
        <v>0</v>
      </c>
      <c r="AS246" s="256">
        <v>0</v>
      </c>
      <c r="AT246" s="256">
        <v>0</v>
      </c>
      <c r="AU246" s="256">
        <v>0</v>
      </c>
      <c r="AV246" s="256">
        <v>0</v>
      </c>
      <c r="AW246" s="256">
        <v>0</v>
      </c>
      <c r="AX246" s="256">
        <v>0</v>
      </c>
      <c r="AY246" s="256">
        <v>0</v>
      </c>
      <c r="AZ246" s="256">
        <v>0</v>
      </c>
      <c r="BA246" s="256">
        <v>0</v>
      </c>
      <c r="BB246" s="256">
        <v>0</v>
      </c>
      <c r="BC246" s="256">
        <v>0</v>
      </c>
      <c r="BD246" s="256">
        <v>0</v>
      </c>
      <c r="BE246" s="256">
        <v>0</v>
      </c>
      <c r="BF246" s="256">
        <v>0</v>
      </c>
    </row>
    <row r="247" spans="1:58" x14ac:dyDescent="0.3">
      <c r="A247" s="255" t="s">
        <v>1000</v>
      </c>
      <c r="B247" s="261" t="s">
        <v>784</v>
      </c>
      <c r="C247" s="256">
        <v>47387</v>
      </c>
      <c r="D247" s="256">
        <v>105667</v>
      </c>
      <c r="E247" s="256">
        <v>206564</v>
      </c>
      <c r="F247" s="256">
        <v>0</v>
      </c>
      <c r="G247" s="256">
        <v>202060</v>
      </c>
      <c r="H247" s="256">
        <v>1601877</v>
      </c>
      <c r="I247" s="256">
        <v>682839</v>
      </c>
      <c r="J247" s="256">
        <v>1211352</v>
      </c>
      <c r="K247" s="256">
        <v>287876</v>
      </c>
      <c r="L247" s="256">
        <v>173083</v>
      </c>
      <c r="M247" s="256">
        <v>434605</v>
      </c>
      <c r="N247" s="256">
        <v>700294</v>
      </c>
      <c r="O247" s="256">
        <v>242442</v>
      </c>
      <c r="P247" s="256">
        <v>271715</v>
      </c>
      <c r="Q247" s="256">
        <v>456715</v>
      </c>
      <c r="R247" s="256">
        <v>825658</v>
      </c>
      <c r="S247" s="256">
        <v>283202</v>
      </c>
      <c r="T247" s="256">
        <v>128297</v>
      </c>
      <c r="U247" s="256">
        <v>166808</v>
      </c>
      <c r="V247" s="256">
        <v>75122</v>
      </c>
      <c r="W247" s="256">
        <v>53538</v>
      </c>
      <c r="X247" s="256">
        <v>73197</v>
      </c>
      <c r="Y247" s="256">
        <v>-132656</v>
      </c>
      <c r="Z247" s="256">
        <v>-100712</v>
      </c>
      <c r="AA247" s="256">
        <v>-139108</v>
      </c>
      <c r="AB247" s="256">
        <v>-234381</v>
      </c>
      <c r="AC247" s="256">
        <v>-234063</v>
      </c>
      <c r="AD247" s="256">
        <v>-319800</v>
      </c>
      <c r="AE247" s="256">
        <v>14147</v>
      </c>
      <c r="AF247" s="256">
        <v>26975</v>
      </c>
      <c r="AG247" s="256">
        <v>71896</v>
      </c>
      <c r="AH247" s="256">
        <v>113751</v>
      </c>
      <c r="AI247" s="256">
        <v>51860</v>
      </c>
      <c r="AJ247" s="256">
        <v>-95254</v>
      </c>
      <c r="AK247" s="256">
        <v>18385</v>
      </c>
      <c r="AL247" s="256">
        <v>-130664</v>
      </c>
      <c r="AM247" s="256">
        <v>458719</v>
      </c>
      <c r="AN247" s="256">
        <v>446437</v>
      </c>
      <c r="AO247" s="256">
        <v>348170</v>
      </c>
      <c r="AP247" s="256">
        <v>395073</v>
      </c>
      <c r="AQ247" s="256">
        <v>-28246</v>
      </c>
      <c r="AR247" s="256">
        <v>202294</v>
      </c>
      <c r="AS247" s="256">
        <v>200253</v>
      </c>
      <c r="AT247" s="256">
        <v>272440</v>
      </c>
      <c r="AU247" s="256">
        <v>-106600</v>
      </c>
      <c r="AV247" s="256">
        <v>-1108273</v>
      </c>
      <c r="AW247" s="256">
        <v>-2389815</v>
      </c>
      <c r="AX247" s="256">
        <v>-3430706</v>
      </c>
      <c r="AY247" s="256">
        <v>876747</v>
      </c>
      <c r="AZ247" s="256">
        <v>1347815</v>
      </c>
      <c r="BA247" s="256">
        <v>2583122</v>
      </c>
      <c r="BB247" s="256">
        <v>3554357</v>
      </c>
      <c r="BC247" s="256">
        <v>-27571</v>
      </c>
      <c r="BD247" s="256">
        <v>20291</v>
      </c>
      <c r="BE247" s="256">
        <v>-415</v>
      </c>
      <c r="BF247" s="256">
        <v>0</v>
      </c>
    </row>
    <row r="248" spans="1:58" x14ac:dyDescent="0.3">
      <c r="A248" s="255" t="s">
        <v>1001</v>
      </c>
      <c r="B248" s="261" t="s">
        <v>784</v>
      </c>
      <c r="C248" s="256">
        <v>0</v>
      </c>
      <c r="D248" s="256">
        <v>0</v>
      </c>
      <c r="E248" s="256">
        <v>0</v>
      </c>
      <c r="F248" s="256">
        <v>0</v>
      </c>
      <c r="G248" s="256">
        <v>0</v>
      </c>
      <c r="H248" s="256">
        <v>-1288674</v>
      </c>
      <c r="I248" s="256">
        <v>0</v>
      </c>
      <c r="J248" s="256">
        <v>34500</v>
      </c>
      <c r="K248" s="256">
        <v>1624729</v>
      </c>
      <c r="L248" s="256">
        <v>-60644</v>
      </c>
      <c r="M248" s="256">
        <v>204522</v>
      </c>
      <c r="N248" s="256">
        <v>-143117</v>
      </c>
      <c r="O248" s="256">
        <v>-2785</v>
      </c>
      <c r="P248" s="256">
        <v>-1605</v>
      </c>
      <c r="Q248" s="256">
        <v>131670</v>
      </c>
      <c r="R248" s="256">
        <v>-134032</v>
      </c>
      <c r="S248" s="256">
        <v>0</v>
      </c>
      <c r="T248" s="256">
        <v>272778</v>
      </c>
      <c r="U248" s="256">
        <v>290562</v>
      </c>
      <c r="V248" s="256">
        <v>272565</v>
      </c>
      <c r="W248" s="256">
        <v>0</v>
      </c>
      <c r="X248" s="256">
        <v>-170</v>
      </c>
      <c r="Y248" s="256">
        <v>-427</v>
      </c>
      <c r="Z248" s="256">
        <v>-930</v>
      </c>
      <c r="AA248" s="256">
        <v>0</v>
      </c>
      <c r="AB248" s="256">
        <v>-388</v>
      </c>
      <c r="AC248" s="256">
        <v>-1188</v>
      </c>
      <c r="AD248" s="256">
        <v>-1593</v>
      </c>
      <c r="AE248" s="256">
        <v>-1877</v>
      </c>
      <c r="AF248" s="256">
        <v>-2137</v>
      </c>
      <c r="AG248" s="256">
        <v>-6392</v>
      </c>
      <c r="AH248" s="256">
        <v>-3396</v>
      </c>
      <c r="AI248" s="256">
        <v>-575</v>
      </c>
      <c r="AJ248" s="256">
        <v>-884</v>
      </c>
      <c r="AK248" s="256">
        <v>11146</v>
      </c>
      <c r="AL248" s="256">
        <v>-14752</v>
      </c>
      <c r="AM248" s="256">
        <v>-1557246</v>
      </c>
      <c r="AN248" s="256">
        <v>-1594652</v>
      </c>
      <c r="AO248" s="256">
        <v>-1530255</v>
      </c>
      <c r="AP248" s="256">
        <v>-5622</v>
      </c>
      <c r="AQ248" s="256">
        <v>0</v>
      </c>
      <c r="AR248" s="256">
        <v>-773818</v>
      </c>
      <c r="AS248" s="256">
        <v>-189382</v>
      </c>
      <c r="AT248" s="256">
        <v>0</v>
      </c>
      <c r="AU248" s="256">
        <v>0</v>
      </c>
      <c r="AV248" s="256">
        <v>-201430</v>
      </c>
      <c r="AW248" s="256">
        <v>33475</v>
      </c>
      <c r="AX248" s="256">
        <v>0</v>
      </c>
      <c r="AY248" s="256">
        <v>0</v>
      </c>
      <c r="AZ248" s="256">
        <v>0</v>
      </c>
      <c r="BA248" s="256">
        <v>0</v>
      </c>
      <c r="BB248" s="256">
        <v>0</v>
      </c>
      <c r="BC248" s="256">
        <v>0</v>
      </c>
      <c r="BD248" s="256">
        <v>0</v>
      </c>
      <c r="BE248" s="256">
        <v>0</v>
      </c>
      <c r="BF248" s="256">
        <v>0</v>
      </c>
    </row>
    <row r="249" spans="1:58" x14ac:dyDescent="0.3">
      <c r="A249" s="252" t="s">
        <v>1002</v>
      </c>
      <c r="B249" s="254">
        <v>445530</v>
      </c>
      <c r="C249" s="254">
        <v>-992</v>
      </c>
      <c r="D249" s="254">
        <v>5273</v>
      </c>
      <c r="E249" s="254">
        <v>4335</v>
      </c>
      <c r="F249" s="254">
        <v>2347949</v>
      </c>
      <c r="G249" s="254">
        <v>2839</v>
      </c>
      <c r="H249" s="254">
        <v>60345</v>
      </c>
      <c r="I249" s="254">
        <v>129990</v>
      </c>
      <c r="J249" s="254">
        <v>161364</v>
      </c>
      <c r="K249" s="254">
        <v>1372</v>
      </c>
      <c r="L249" s="254">
        <v>7293</v>
      </c>
      <c r="M249" s="254">
        <v>1816</v>
      </c>
      <c r="N249" s="254">
        <v>9581</v>
      </c>
      <c r="O249" s="254">
        <v>905</v>
      </c>
      <c r="P249" s="254">
        <v>172576</v>
      </c>
      <c r="Q249" s="254">
        <v>168482</v>
      </c>
      <c r="R249" s="254">
        <v>48880</v>
      </c>
      <c r="S249" s="254">
        <v>-81543</v>
      </c>
      <c r="T249" s="254">
        <v>-36535</v>
      </c>
      <c r="U249" s="254">
        <v>-101061</v>
      </c>
      <c r="V249" s="254">
        <v>6026</v>
      </c>
      <c r="W249" s="254">
        <v>0</v>
      </c>
      <c r="X249" s="254">
        <v>-3160</v>
      </c>
      <c r="Y249" s="254">
        <v>-3160</v>
      </c>
      <c r="Z249" s="254">
        <v>-8532</v>
      </c>
      <c r="AA249" s="254">
        <v>-384</v>
      </c>
      <c r="AB249" s="254">
        <v>-7038</v>
      </c>
      <c r="AC249" s="254">
        <v>-8577</v>
      </c>
      <c r="AD249" s="254">
        <v>-5699</v>
      </c>
      <c r="AE249" s="254">
        <v>119367</v>
      </c>
      <c r="AF249" s="254">
        <v>109115</v>
      </c>
      <c r="AG249" s="254">
        <v>23222</v>
      </c>
      <c r="AH249" s="254">
        <v>13860</v>
      </c>
      <c r="AI249" s="254">
        <v>-20496</v>
      </c>
      <c r="AJ249" s="254">
        <v>74677</v>
      </c>
      <c r="AK249" s="254">
        <v>-126571</v>
      </c>
      <c r="AL249" s="254">
        <v>121032</v>
      </c>
      <c r="AM249" s="254">
        <v>989764</v>
      </c>
      <c r="AN249" s="254">
        <v>986569</v>
      </c>
      <c r="AO249" s="254">
        <v>858950</v>
      </c>
      <c r="AP249" s="254">
        <v>1189756</v>
      </c>
      <c r="AQ249" s="254">
        <v>262977</v>
      </c>
      <c r="AR249" s="254">
        <v>-311639</v>
      </c>
      <c r="AS249" s="254">
        <v>-522248</v>
      </c>
      <c r="AT249" s="254">
        <v>-713295</v>
      </c>
      <c r="AU249" s="254">
        <v>1940661</v>
      </c>
      <c r="AV249" s="254">
        <v>3340055</v>
      </c>
      <c r="AW249" s="254">
        <v>2961208</v>
      </c>
      <c r="AX249" s="254">
        <v>2627429</v>
      </c>
      <c r="AY249" s="254">
        <v>992899</v>
      </c>
      <c r="AZ249" s="254">
        <v>2104128</v>
      </c>
      <c r="BA249" s="254">
        <v>4039527</v>
      </c>
      <c r="BB249" s="254">
        <v>4009917</v>
      </c>
      <c r="BC249" s="254">
        <v>1280916</v>
      </c>
      <c r="BD249" s="254">
        <v>823286</v>
      </c>
      <c r="BE249" s="254">
        <v>184543</v>
      </c>
      <c r="BF249" s="254">
        <v>-917103</v>
      </c>
    </row>
    <row r="250" spans="1:58" x14ac:dyDescent="0.3">
      <c r="A250" s="255" t="s">
        <v>1003</v>
      </c>
      <c r="B250" s="261" t="s">
        <v>784</v>
      </c>
      <c r="C250" s="256">
        <v>-1085</v>
      </c>
      <c r="D250" s="256">
        <v>468</v>
      </c>
      <c r="E250" s="256">
        <v>4242</v>
      </c>
      <c r="F250" s="256">
        <v>4046</v>
      </c>
      <c r="G250" s="256">
        <v>-10182</v>
      </c>
      <c r="H250" s="256">
        <v>-13582</v>
      </c>
      <c r="I250" s="256">
        <v>-16969</v>
      </c>
      <c r="J250" s="256">
        <v>-27026</v>
      </c>
      <c r="K250" s="256">
        <v>-4972</v>
      </c>
      <c r="L250" s="256">
        <v>831</v>
      </c>
      <c r="M250" s="256">
        <v>-4655</v>
      </c>
      <c r="N250" s="256">
        <v>1986</v>
      </c>
      <c r="O250" s="256">
        <v>-630</v>
      </c>
      <c r="P250" s="256">
        <v>168501</v>
      </c>
      <c r="Q250" s="256">
        <v>164407</v>
      </c>
      <c r="R250" s="256">
        <v>44805</v>
      </c>
      <c r="S250" s="256">
        <v>-81543</v>
      </c>
      <c r="T250" s="256">
        <v>-36536</v>
      </c>
      <c r="U250" s="256">
        <v>-101062</v>
      </c>
      <c r="V250" s="256">
        <v>6025</v>
      </c>
      <c r="W250" s="256">
        <v>0</v>
      </c>
      <c r="X250" s="256">
        <v>-3160</v>
      </c>
      <c r="Y250" s="256">
        <v>-3160</v>
      </c>
      <c r="Z250" s="261" t="s">
        <v>784</v>
      </c>
      <c r="AA250" s="256">
        <v>0</v>
      </c>
      <c r="AB250" s="256">
        <v>-1880</v>
      </c>
      <c r="AC250" s="256">
        <v>-1880</v>
      </c>
      <c r="AD250" s="256">
        <v>-5699</v>
      </c>
      <c r="AE250" s="256">
        <v>123693</v>
      </c>
      <c r="AF250" s="256">
        <v>121544</v>
      </c>
      <c r="AG250" s="256">
        <v>47519</v>
      </c>
      <c r="AH250" s="256">
        <v>34563</v>
      </c>
      <c r="AI250" s="256">
        <v>-20953</v>
      </c>
      <c r="AJ250" s="256">
        <v>100055</v>
      </c>
      <c r="AK250" s="256">
        <v>-98644</v>
      </c>
      <c r="AL250" s="256">
        <v>146521</v>
      </c>
      <c r="AM250" s="256">
        <v>957430</v>
      </c>
      <c r="AN250" s="256">
        <v>1025986</v>
      </c>
      <c r="AO250" s="256">
        <v>927156</v>
      </c>
      <c r="AP250" s="256">
        <v>1292716</v>
      </c>
      <c r="AQ250" s="256">
        <v>256617</v>
      </c>
      <c r="AR250" s="256">
        <v>-213555</v>
      </c>
      <c r="AS250" s="256">
        <v>-296165</v>
      </c>
      <c r="AT250" s="256">
        <v>-565397</v>
      </c>
      <c r="AU250" s="256">
        <v>-37545</v>
      </c>
      <c r="AV250" s="256">
        <v>1501702</v>
      </c>
      <c r="AW250" s="256">
        <v>1204617</v>
      </c>
      <c r="AX250" s="256">
        <v>835273</v>
      </c>
      <c r="AY250" s="256">
        <v>987602</v>
      </c>
      <c r="AZ250" s="256">
        <v>2170171</v>
      </c>
      <c r="BA250" s="256">
        <v>4149117</v>
      </c>
      <c r="BB250" s="256">
        <v>4384220</v>
      </c>
      <c r="BC250" s="256">
        <v>1338827</v>
      </c>
      <c r="BD250" s="256">
        <v>1252167</v>
      </c>
      <c r="BE250" s="256">
        <v>732074</v>
      </c>
      <c r="BF250" s="256">
        <v>-137558</v>
      </c>
    </row>
    <row r="251" spans="1:58" x14ac:dyDescent="0.3">
      <c r="A251" s="257" t="s">
        <v>1004</v>
      </c>
      <c r="B251" s="258" t="s">
        <v>784</v>
      </c>
      <c r="C251" s="259">
        <v>0</v>
      </c>
      <c r="D251" s="259">
        <v>468</v>
      </c>
      <c r="E251" s="259">
        <v>4502</v>
      </c>
      <c r="F251" s="259">
        <v>4556</v>
      </c>
      <c r="G251" s="259">
        <v>0</v>
      </c>
      <c r="H251" s="259">
        <v>0</v>
      </c>
      <c r="I251" s="259">
        <v>0</v>
      </c>
      <c r="J251" s="259">
        <v>0</v>
      </c>
      <c r="K251" s="259">
        <v>3780</v>
      </c>
      <c r="L251" s="259">
        <v>3780</v>
      </c>
      <c r="M251" s="259">
        <v>3226</v>
      </c>
      <c r="N251" s="259">
        <v>3234</v>
      </c>
      <c r="O251" s="259">
        <v>0</v>
      </c>
      <c r="P251" s="259">
        <v>168501</v>
      </c>
      <c r="Q251" s="259">
        <v>164407</v>
      </c>
      <c r="R251" s="259">
        <v>62060</v>
      </c>
      <c r="S251" s="259">
        <v>0</v>
      </c>
      <c r="T251" s="259">
        <v>0</v>
      </c>
      <c r="U251" s="259">
        <v>0</v>
      </c>
      <c r="V251" s="259">
        <v>87568</v>
      </c>
      <c r="W251" s="259">
        <v>0</v>
      </c>
      <c r="X251" s="259">
        <v>0</v>
      </c>
      <c r="Y251" s="259">
        <v>0</v>
      </c>
      <c r="Z251" s="258" t="s">
        <v>784</v>
      </c>
      <c r="AA251" s="259">
        <v>0</v>
      </c>
      <c r="AB251" s="259">
        <v>0</v>
      </c>
      <c r="AC251" s="259">
        <v>0</v>
      </c>
      <c r="AD251" s="259">
        <v>0</v>
      </c>
      <c r="AE251" s="259">
        <v>123855</v>
      </c>
      <c r="AF251" s="259">
        <v>123455</v>
      </c>
      <c r="AG251" s="259">
        <v>70304</v>
      </c>
      <c r="AH251" s="259">
        <v>67286</v>
      </c>
      <c r="AI251" s="259">
        <v>374</v>
      </c>
      <c r="AJ251" s="259">
        <v>123170</v>
      </c>
      <c r="AK251" s="259">
        <v>0</v>
      </c>
      <c r="AL251" s="259">
        <v>171708</v>
      </c>
      <c r="AM251" s="259">
        <v>1005424</v>
      </c>
      <c r="AN251" s="259">
        <v>1026825</v>
      </c>
      <c r="AO251" s="259">
        <v>934764</v>
      </c>
      <c r="AP251" s="259">
        <v>1298886</v>
      </c>
      <c r="AQ251" s="259">
        <v>309575</v>
      </c>
      <c r="AR251" s="259">
        <v>-225658</v>
      </c>
      <c r="AS251" s="259">
        <v>-296165</v>
      </c>
      <c r="AT251" s="259">
        <v>1250509</v>
      </c>
      <c r="AU251" s="259">
        <v>568463</v>
      </c>
      <c r="AV251" s="259">
        <v>1548246</v>
      </c>
      <c r="AW251" s="259">
        <v>1204617</v>
      </c>
      <c r="AX251" s="259">
        <v>4191053</v>
      </c>
      <c r="AY251" s="259">
        <v>1013211</v>
      </c>
      <c r="AZ251" s="259">
        <v>2170171</v>
      </c>
      <c r="BA251" s="259">
        <v>4149117</v>
      </c>
      <c r="BB251" s="259">
        <v>4386823</v>
      </c>
      <c r="BC251" s="259">
        <v>1467650</v>
      </c>
      <c r="BD251" s="259">
        <v>1318564</v>
      </c>
      <c r="BE251" s="259">
        <v>914596</v>
      </c>
      <c r="BF251" s="259">
        <v>1711425</v>
      </c>
    </row>
    <row r="252" spans="1:58" x14ac:dyDescent="0.3">
      <c r="A252" s="257" t="s">
        <v>1005</v>
      </c>
      <c r="B252" s="258" t="s">
        <v>784</v>
      </c>
      <c r="C252" s="259">
        <v>-1085</v>
      </c>
      <c r="D252" s="259">
        <v>0</v>
      </c>
      <c r="E252" s="259">
        <v>-260</v>
      </c>
      <c r="F252" s="259">
        <v>-510</v>
      </c>
      <c r="G252" s="259">
        <v>-10182</v>
      </c>
      <c r="H252" s="259">
        <v>-13582</v>
      </c>
      <c r="I252" s="259">
        <v>-16969</v>
      </c>
      <c r="J252" s="259">
        <v>-27026</v>
      </c>
      <c r="K252" s="259">
        <v>-8752</v>
      </c>
      <c r="L252" s="259">
        <v>-2949</v>
      </c>
      <c r="M252" s="259">
        <v>-7881</v>
      </c>
      <c r="N252" s="259">
        <v>-1248</v>
      </c>
      <c r="O252" s="259">
        <v>-630</v>
      </c>
      <c r="P252" s="259">
        <v>0</v>
      </c>
      <c r="Q252" s="259">
        <v>0</v>
      </c>
      <c r="R252" s="259">
        <v>-17255</v>
      </c>
      <c r="S252" s="259">
        <v>-81543</v>
      </c>
      <c r="T252" s="259">
        <v>-36536</v>
      </c>
      <c r="U252" s="259">
        <v>-101062</v>
      </c>
      <c r="V252" s="259">
        <v>-81543</v>
      </c>
      <c r="W252" s="259">
        <v>0</v>
      </c>
      <c r="X252" s="259">
        <v>-3160</v>
      </c>
      <c r="Y252" s="259">
        <v>-3160</v>
      </c>
      <c r="Z252" s="258" t="s">
        <v>784</v>
      </c>
      <c r="AA252" s="259">
        <v>0</v>
      </c>
      <c r="AB252" s="259">
        <v>-1880</v>
      </c>
      <c r="AC252" s="259">
        <v>-1880</v>
      </c>
      <c r="AD252" s="259">
        <v>-5699</v>
      </c>
      <c r="AE252" s="259">
        <v>-162</v>
      </c>
      <c r="AF252" s="259">
        <v>-1911</v>
      </c>
      <c r="AG252" s="259">
        <v>-22785</v>
      </c>
      <c r="AH252" s="259">
        <v>-32723</v>
      </c>
      <c r="AI252" s="259">
        <v>-21327</v>
      </c>
      <c r="AJ252" s="259">
        <v>-23115</v>
      </c>
      <c r="AK252" s="259">
        <v>-98644</v>
      </c>
      <c r="AL252" s="259">
        <v>-25187</v>
      </c>
      <c r="AM252" s="259">
        <v>-47994</v>
      </c>
      <c r="AN252" s="259">
        <v>-839</v>
      </c>
      <c r="AO252" s="259">
        <v>-7608</v>
      </c>
      <c r="AP252" s="259">
        <v>-6170</v>
      </c>
      <c r="AQ252" s="259">
        <v>-52958</v>
      </c>
      <c r="AR252" s="259">
        <v>12103</v>
      </c>
      <c r="AS252" s="259">
        <v>0</v>
      </c>
      <c r="AT252" s="259">
        <v>-1815906</v>
      </c>
      <c r="AU252" s="259">
        <v>-606008</v>
      </c>
      <c r="AV252" s="259">
        <v>-46544</v>
      </c>
      <c r="AW252" s="259">
        <v>0</v>
      </c>
      <c r="AX252" s="259">
        <v>-3355780</v>
      </c>
      <c r="AY252" s="259">
        <v>-25609</v>
      </c>
      <c r="AZ252" s="259">
        <v>0</v>
      </c>
      <c r="BA252" s="259">
        <v>0</v>
      </c>
      <c r="BB252" s="259">
        <v>-2603</v>
      </c>
      <c r="BC252" s="259">
        <v>-128823</v>
      </c>
      <c r="BD252" s="259">
        <v>-66397</v>
      </c>
      <c r="BE252" s="259">
        <v>-182522</v>
      </c>
      <c r="BF252" s="259">
        <v>-1848983</v>
      </c>
    </row>
    <row r="253" spans="1:58" x14ac:dyDescent="0.3">
      <c r="A253" s="255" t="s">
        <v>1006</v>
      </c>
      <c r="B253" s="261" t="s">
        <v>784</v>
      </c>
      <c r="C253" s="256">
        <v>93</v>
      </c>
      <c r="D253" s="256">
        <v>303</v>
      </c>
      <c r="E253" s="256">
        <v>93</v>
      </c>
      <c r="F253" s="256">
        <v>2343903</v>
      </c>
      <c r="G253" s="256">
        <v>13021</v>
      </c>
      <c r="H253" s="256">
        <v>73927</v>
      </c>
      <c r="I253" s="256">
        <v>146959</v>
      </c>
      <c r="J253" s="256">
        <v>188390</v>
      </c>
      <c r="K253" s="256">
        <v>6344</v>
      </c>
      <c r="L253" s="256">
        <v>6462</v>
      </c>
      <c r="M253" s="256">
        <v>6471</v>
      </c>
      <c r="N253" s="256">
        <v>7595</v>
      </c>
      <c r="O253" s="256">
        <v>1535</v>
      </c>
      <c r="P253" s="256">
        <v>0</v>
      </c>
      <c r="Q253" s="256">
        <v>4075</v>
      </c>
      <c r="R253" s="256">
        <v>4075</v>
      </c>
      <c r="S253" s="256">
        <v>0</v>
      </c>
      <c r="T253" s="256">
        <v>1</v>
      </c>
      <c r="U253" s="256">
        <v>1</v>
      </c>
      <c r="V253" s="256">
        <v>1</v>
      </c>
      <c r="W253" s="256">
        <v>0</v>
      </c>
      <c r="X253" s="256">
        <v>0</v>
      </c>
      <c r="Y253" s="256">
        <v>0</v>
      </c>
      <c r="Z253" s="261" t="s">
        <v>784</v>
      </c>
      <c r="AA253" s="256">
        <v>0</v>
      </c>
      <c r="AB253" s="256">
        <v>0</v>
      </c>
      <c r="AC253" s="256">
        <v>0</v>
      </c>
      <c r="AD253" s="256">
        <v>0</v>
      </c>
      <c r="AE253" s="256">
        <v>-4326</v>
      </c>
      <c r="AF253" s="256">
        <v>-12429</v>
      </c>
      <c r="AG253" s="256">
        <v>-24949</v>
      </c>
      <c r="AH253" s="256">
        <v>-23579</v>
      </c>
      <c r="AI253" s="256">
        <v>457</v>
      </c>
      <c r="AJ253" s="256">
        <v>-25378</v>
      </c>
      <c r="AK253" s="256">
        <v>-25840</v>
      </c>
      <c r="AL253" s="256">
        <v>-25489</v>
      </c>
      <c r="AM253" s="256">
        <v>32334</v>
      </c>
      <c r="AN253" s="256">
        <v>55535</v>
      </c>
      <c r="AO253" s="256">
        <v>55535</v>
      </c>
      <c r="AP253" s="256">
        <v>55535</v>
      </c>
      <c r="AQ253" s="256">
        <v>0</v>
      </c>
      <c r="AR253" s="256">
        <v>10587</v>
      </c>
      <c r="AS253" s="256">
        <v>0</v>
      </c>
      <c r="AT253" s="256">
        <v>85787</v>
      </c>
      <c r="AU253" s="256">
        <v>0</v>
      </c>
      <c r="AV253" s="256">
        <v>1976744</v>
      </c>
      <c r="AW253" s="256">
        <v>0</v>
      </c>
      <c r="AX253" s="256">
        <v>1976744</v>
      </c>
      <c r="AY253" s="256">
        <v>0</v>
      </c>
      <c r="AZ253" s="256">
        <v>0</v>
      </c>
      <c r="BA253" s="256">
        <v>16030</v>
      </c>
      <c r="BB253" s="256">
        <v>-21544</v>
      </c>
      <c r="BC253" s="256">
        <v>-49933</v>
      </c>
      <c r="BD253" s="256">
        <v>-426401</v>
      </c>
      <c r="BE253" s="256">
        <v>0</v>
      </c>
      <c r="BF253" s="256">
        <v>-497523</v>
      </c>
    </row>
    <row r="254" spans="1:58" x14ac:dyDescent="0.3">
      <c r="A254" s="257" t="s">
        <v>1007</v>
      </c>
      <c r="B254" s="258" t="s">
        <v>784</v>
      </c>
      <c r="C254" s="259">
        <v>93</v>
      </c>
      <c r="D254" s="259">
        <v>303</v>
      </c>
      <c r="E254" s="259">
        <v>93</v>
      </c>
      <c r="F254" s="259">
        <v>2343903</v>
      </c>
      <c r="G254" s="259">
        <v>13021</v>
      </c>
      <c r="H254" s="259">
        <v>73927</v>
      </c>
      <c r="I254" s="259">
        <v>146959</v>
      </c>
      <c r="J254" s="259">
        <v>188390</v>
      </c>
      <c r="K254" s="259">
        <v>6344</v>
      </c>
      <c r="L254" s="259">
        <v>6462</v>
      </c>
      <c r="M254" s="259">
        <v>6471</v>
      </c>
      <c r="N254" s="259">
        <v>7595</v>
      </c>
      <c r="O254" s="259">
        <v>1535</v>
      </c>
      <c r="P254" s="259">
        <v>0</v>
      </c>
      <c r="Q254" s="259">
        <v>4075</v>
      </c>
      <c r="R254" s="259">
        <v>4075</v>
      </c>
      <c r="S254" s="259">
        <v>0</v>
      </c>
      <c r="T254" s="259">
        <v>1</v>
      </c>
      <c r="U254" s="259">
        <v>1</v>
      </c>
      <c r="V254" s="259">
        <v>1</v>
      </c>
      <c r="W254" s="259">
        <v>0</v>
      </c>
      <c r="X254" s="259">
        <v>0</v>
      </c>
      <c r="Y254" s="259">
        <v>0</v>
      </c>
      <c r="Z254" s="258" t="s">
        <v>784</v>
      </c>
      <c r="AA254" s="259">
        <v>0</v>
      </c>
      <c r="AB254" s="259">
        <v>0</v>
      </c>
      <c r="AC254" s="259">
        <v>0</v>
      </c>
      <c r="AD254" s="259">
        <v>0</v>
      </c>
      <c r="AE254" s="259">
        <v>0</v>
      </c>
      <c r="AF254" s="259">
        <v>0</v>
      </c>
      <c r="AG254" s="259">
        <v>0</v>
      </c>
      <c r="AH254" s="259">
        <v>0</v>
      </c>
      <c r="AI254" s="259">
        <v>7709</v>
      </c>
      <c r="AJ254" s="259">
        <v>7709</v>
      </c>
      <c r="AK254" s="259">
        <v>7709</v>
      </c>
      <c r="AL254" s="259">
        <v>7709</v>
      </c>
      <c r="AM254" s="259">
        <v>32334</v>
      </c>
      <c r="AN254" s="258" t="s">
        <v>784</v>
      </c>
      <c r="AO254" s="259">
        <v>12055</v>
      </c>
      <c r="AP254" s="258" t="s">
        <v>784</v>
      </c>
      <c r="AQ254" s="259">
        <v>0</v>
      </c>
      <c r="AR254" s="258" t="s">
        <v>784</v>
      </c>
      <c r="AS254" s="259">
        <v>0</v>
      </c>
      <c r="AT254" s="258" t="s">
        <v>784</v>
      </c>
      <c r="AU254" s="259">
        <v>0</v>
      </c>
      <c r="AV254" s="258" t="s">
        <v>784</v>
      </c>
      <c r="AW254" s="259">
        <v>0</v>
      </c>
      <c r="AX254" s="259">
        <v>1976744</v>
      </c>
      <c r="AY254" s="259">
        <v>0</v>
      </c>
      <c r="AZ254" s="259">
        <v>0</v>
      </c>
      <c r="BA254" s="258" t="s">
        <v>784</v>
      </c>
      <c r="BB254" s="258" t="s">
        <v>784</v>
      </c>
      <c r="BC254" s="259">
        <v>-49933</v>
      </c>
      <c r="BD254" s="258" t="s">
        <v>784</v>
      </c>
      <c r="BE254" s="259">
        <v>0</v>
      </c>
      <c r="BF254" s="258" t="s">
        <v>784</v>
      </c>
    </row>
    <row r="255" spans="1:58" x14ac:dyDescent="0.3">
      <c r="A255" s="257" t="s">
        <v>1008</v>
      </c>
      <c r="B255" s="258" t="s">
        <v>784</v>
      </c>
      <c r="C255" s="259">
        <v>0</v>
      </c>
      <c r="D255" s="259">
        <v>0</v>
      </c>
      <c r="E255" s="259">
        <v>0</v>
      </c>
      <c r="F255" s="259">
        <v>0</v>
      </c>
      <c r="G255" s="259">
        <v>0</v>
      </c>
      <c r="H255" s="259">
        <v>0</v>
      </c>
      <c r="I255" s="259">
        <v>0</v>
      </c>
      <c r="J255" s="259">
        <v>0</v>
      </c>
      <c r="K255" s="259">
        <v>0</v>
      </c>
      <c r="L255" s="259">
        <v>0</v>
      </c>
      <c r="M255" s="259">
        <v>0</v>
      </c>
      <c r="N255" s="259">
        <v>0</v>
      </c>
      <c r="O255" s="259">
        <v>0</v>
      </c>
      <c r="P255" s="259">
        <v>0</v>
      </c>
      <c r="Q255" s="259">
        <v>0</v>
      </c>
      <c r="R255" s="259">
        <v>0</v>
      </c>
      <c r="S255" s="259">
        <v>0</v>
      </c>
      <c r="T255" s="259">
        <v>0</v>
      </c>
      <c r="U255" s="259">
        <v>0</v>
      </c>
      <c r="V255" s="259">
        <v>0</v>
      </c>
      <c r="W255" s="259">
        <v>0</v>
      </c>
      <c r="X255" s="259">
        <v>0</v>
      </c>
      <c r="Y255" s="259">
        <v>0</v>
      </c>
      <c r="Z255" s="258" t="s">
        <v>784</v>
      </c>
      <c r="AA255" s="259">
        <v>0</v>
      </c>
      <c r="AB255" s="259">
        <v>0</v>
      </c>
      <c r="AC255" s="259">
        <v>0</v>
      </c>
      <c r="AD255" s="259">
        <v>0</v>
      </c>
      <c r="AE255" s="259">
        <v>-4326</v>
      </c>
      <c r="AF255" s="259">
        <v>-12429</v>
      </c>
      <c r="AG255" s="259">
        <v>-24949</v>
      </c>
      <c r="AH255" s="259">
        <v>-23579</v>
      </c>
      <c r="AI255" s="259">
        <v>-7252</v>
      </c>
      <c r="AJ255" s="259">
        <v>-33087</v>
      </c>
      <c r="AK255" s="259">
        <v>-33549</v>
      </c>
      <c r="AL255" s="259">
        <v>-33198</v>
      </c>
      <c r="AM255" s="259">
        <v>0</v>
      </c>
      <c r="AN255" s="258" t="s">
        <v>784</v>
      </c>
      <c r="AO255" s="259">
        <v>43480</v>
      </c>
      <c r="AP255" s="258" t="s">
        <v>784</v>
      </c>
      <c r="AQ255" s="259">
        <v>0</v>
      </c>
      <c r="AR255" s="258" t="s">
        <v>784</v>
      </c>
      <c r="AS255" s="259">
        <v>0</v>
      </c>
      <c r="AT255" s="258" t="s">
        <v>784</v>
      </c>
      <c r="AU255" s="259">
        <v>0</v>
      </c>
      <c r="AV255" s="258" t="s">
        <v>784</v>
      </c>
      <c r="AW255" s="259">
        <v>0</v>
      </c>
      <c r="AX255" s="259">
        <v>0</v>
      </c>
      <c r="AY255" s="259">
        <v>0</v>
      </c>
      <c r="AZ255" s="259">
        <v>0</v>
      </c>
      <c r="BA255" s="258" t="s">
        <v>784</v>
      </c>
      <c r="BB255" s="258" t="s">
        <v>784</v>
      </c>
      <c r="BC255" s="259">
        <v>0</v>
      </c>
      <c r="BD255" s="258" t="s">
        <v>784</v>
      </c>
      <c r="BE255" s="259">
        <v>0</v>
      </c>
      <c r="BF255" s="258" t="s">
        <v>784</v>
      </c>
    </row>
    <row r="256" spans="1:58" x14ac:dyDescent="0.3">
      <c r="A256" s="255" t="s">
        <v>1009</v>
      </c>
      <c r="B256" s="261" t="s">
        <v>784</v>
      </c>
      <c r="C256" s="256">
        <v>0</v>
      </c>
      <c r="D256" s="256">
        <v>0</v>
      </c>
      <c r="E256" s="256">
        <v>0</v>
      </c>
      <c r="F256" s="256">
        <v>0</v>
      </c>
      <c r="G256" s="256">
        <v>0</v>
      </c>
      <c r="H256" s="256">
        <v>0</v>
      </c>
      <c r="I256" s="256">
        <v>0</v>
      </c>
      <c r="J256" s="256">
        <v>0</v>
      </c>
      <c r="K256" s="256">
        <v>0</v>
      </c>
      <c r="L256" s="256">
        <v>0</v>
      </c>
      <c r="M256" s="256">
        <v>0</v>
      </c>
      <c r="N256" s="256">
        <v>0</v>
      </c>
      <c r="O256" s="256">
        <v>0</v>
      </c>
      <c r="P256" s="256">
        <v>0</v>
      </c>
      <c r="Q256" s="256">
        <v>0</v>
      </c>
      <c r="R256" s="256">
        <v>0</v>
      </c>
      <c r="S256" s="256">
        <v>0</v>
      </c>
      <c r="T256" s="256">
        <v>0</v>
      </c>
      <c r="U256" s="256">
        <v>0</v>
      </c>
      <c r="V256" s="256">
        <v>0</v>
      </c>
      <c r="W256" s="256">
        <v>0</v>
      </c>
      <c r="X256" s="256">
        <v>0</v>
      </c>
      <c r="Y256" s="256">
        <v>0</v>
      </c>
      <c r="Z256" s="261" t="s">
        <v>784</v>
      </c>
      <c r="AA256" s="256">
        <v>0</v>
      </c>
      <c r="AB256" s="256">
        <v>0</v>
      </c>
      <c r="AC256" s="256">
        <v>0</v>
      </c>
      <c r="AD256" s="256">
        <v>0</v>
      </c>
      <c r="AE256" s="256">
        <v>0</v>
      </c>
      <c r="AF256" s="256">
        <v>0</v>
      </c>
      <c r="AG256" s="256">
        <v>0</v>
      </c>
      <c r="AH256" s="256">
        <v>0</v>
      </c>
      <c r="AI256" s="256">
        <v>0</v>
      </c>
      <c r="AJ256" s="256">
        <v>0</v>
      </c>
      <c r="AK256" s="256">
        <v>0</v>
      </c>
      <c r="AL256" s="256">
        <v>0</v>
      </c>
      <c r="AM256" s="256">
        <v>0</v>
      </c>
      <c r="AN256" s="256">
        <v>0</v>
      </c>
      <c r="AO256" s="256">
        <v>0</v>
      </c>
      <c r="AP256" s="256">
        <v>0</v>
      </c>
      <c r="AQ256" s="256">
        <v>0</v>
      </c>
      <c r="AR256" s="256">
        <v>0</v>
      </c>
      <c r="AS256" s="256">
        <v>0</v>
      </c>
      <c r="AT256" s="256">
        <v>0</v>
      </c>
      <c r="AU256" s="256">
        <v>0</v>
      </c>
      <c r="AV256" s="256">
        <v>0</v>
      </c>
      <c r="AW256" s="256">
        <v>0</v>
      </c>
      <c r="AX256" s="256">
        <v>0</v>
      </c>
      <c r="AY256" s="256">
        <v>0</v>
      </c>
      <c r="AZ256" s="256">
        <v>0</v>
      </c>
      <c r="BA256" s="256">
        <v>0</v>
      </c>
      <c r="BB256" s="256">
        <v>0</v>
      </c>
      <c r="BC256" s="256">
        <v>0</v>
      </c>
      <c r="BD256" s="256">
        <v>0</v>
      </c>
      <c r="BE256" s="256">
        <v>0</v>
      </c>
      <c r="BF256" s="256">
        <v>-60618</v>
      </c>
    </row>
    <row r="257" spans="1:58" x14ac:dyDescent="0.3">
      <c r="A257" s="255" t="s">
        <v>1010</v>
      </c>
      <c r="B257" s="261" t="s">
        <v>784</v>
      </c>
      <c r="C257" s="256">
        <v>0</v>
      </c>
      <c r="D257" s="256">
        <v>4502</v>
      </c>
      <c r="E257" s="256">
        <v>0</v>
      </c>
      <c r="F257" s="256">
        <v>0</v>
      </c>
      <c r="G257" s="256">
        <v>0</v>
      </c>
      <c r="H257" s="256">
        <v>0</v>
      </c>
      <c r="I257" s="256">
        <v>0</v>
      </c>
      <c r="J257" s="256">
        <v>0</v>
      </c>
      <c r="K257" s="256">
        <v>0</v>
      </c>
      <c r="L257" s="256">
        <v>0</v>
      </c>
      <c r="M257" s="256">
        <v>0</v>
      </c>
      <c r="N257" s="256">
        <v>0</v>
      </c>
      <c r="O257" s="256">
        <v>0</v>
      </c>
      <c r="P257" s="256">
        <v>4075</v>
      </c>
      <c r="Q257" s="256">
        <v>0</v>
      </c>
      <c r="R257" s="256">
        <v>0</v>
      </c>
      <c r="S257" s="256">
        <v>0</v>
      </c>
      <c r="T257" s="256">
        <v>0</v>
      </c>
      <c r="U257" s="256">
        <v>0</v>
      </c>
      <c r="V257" s="256">
        <v>0</v>
      </c>
      <c r="W257" s="256">
        <v>0</v>
      </c>
      <c r="X257" s="256">
        <v>0</v>
      </c>
      <c r="Y257" s="256">
        <v>0</v>
      </c>
      <c r="Z257" s="261" t="s">
        <v>784</v>
      </c>
      <c r="AA257" s="256">
        <v>-384</v>
      </c>
      <c r="AB257" s="256">
        <v>-5158</v>
      </c>
      <c r="AC257" s="256">
        <v>-6697</v>
      </c>
      <c r="AD257" s="256">
        <v>0</v>
      </c>
      <c r="AE257" s="256">
        <v>0</v>
      </c>
      <c r="AF257" s="256">
        <v>0</v>
      </c>
      <c r="AG257" s="256">
        <v>652</v>
      </c>
      <c r="AH257" s="256">
        <v>2876</v>
      </c>
      <c r="AI257" s="256">
        <v>0</v>
      </c>
      <c r="AJ257" s="256">
        <v>0</v>
      </c>
      <c r="AK257" s="256">
        <v>-2087</v>
      </c>
      <c r="AL257" s="256">
        <v>0</v>
      </c>
      <c r="AM257" s="256">
        <v>0</v>
      </c>
      <c r="AN257" s="256">
        <v>-94952</v>
      </c>
      <c r="AO257" s="256">
        <v>-123741</v>
      </c>
      <c r="AP257" s="256">
        <v>-158495</v>
      </c>
      <c r="AQ257" s="256">
        <v>6360</v>
      </c>
      <c r="AR257" s="256">
        <v>-108671</v>
      </c>
      <c r="AS257" s="256">
        <v>-226083</v>
      </c>
      <c r="AT257" s="256">
        <v>-233685</v>
      </c>
      <c r="AU257" s="256">
        <v>1978206</v>
      </c>
      <c r="AV257" s="256">
        <v>-138391</v>
      </c>
      <c r="AW257" s="256">
        <v>1756591</v>
      </c>
      <c r="AX257" s="256">
        <v>-184588</v>
      </c>
      <c r="AY257" s="256">
        <v>5297</v>
      </c>
      <c r="AZ257" s="256">
        <v>-66043</v>
      </c>
      <c r="BA257" s="256">
        <v>-125620</v>
      </c>
      <c r="BB257" s="256">
        <v>-352759</v>
      </c>
      <c r="BC257" s="256">
        <v>-7978</v>
      </c>
      <c r="BD257" s="256">
        <v>-2480</v>
      </c>
      <c r="BE257" s="256">
        <v>-547531</v>
      </c>
      <c r="BF257" s="256">
        <v>-221404</v>
      </c>
    </row>
    <row r="258" spans="1:58" x14ac:dyDescent="0.3">
      <c r="A258" s="252" t="s">
        <v>1011</v>
      </c>
      <c r="B258" s="254">
        <v>0</v>
      </c>
      <c r="C258" s="254">
        <v>0</v>
      </c>
      <c r="D258" s="254">
        <v>0</v>
      </c>
      <c r="E258" s="254">
        <v>0</v>
      </c>
      <c r="F258" s="254">
        <v>0</v>
      </c>
      <c r="G258" s="254">
        <v>0</v>
      </c>
      <c r="H258" s="254">
        <v>0</v>
      </c>
      <c r="I258" s="254">
        <v>0</v>
      </c>
      <c r="J258" s="254">
        <v>0</v>
      </c>
      <c r="K258" s="254">
        <v>-21138</v>
      </c>
      <c r="L258" s="254">
        <v>-33444</v>
      </c>
      <c r="M258" s="254">
        <v>2635</v>
      </c>
      <c r="N258" s="254">
        <v>-1622</v>
      </c>
      <c r="O258" s="254">
        <v>0</v>
      </c>
      <c r="P258" s="254">
        <v>0</v>
      </c>
      <c r="Q258" s="254">
        <v>0</v>
      </c>
      <c r="R258" s="254">
        <v>6034</v>
      </c>
      <c r="S258" s="254">
        <v>0</v>
      </c>
      <c r="T258" s="254">
        <v>0</v>
      </c>
      <c r="U258" s="254">
        <v>0</v>
      </c>
      <c r="V258" s="254">
        <v>0</v>
      </c>
      <c r="W258" s="254">
        <v>0</v>
      </c>
      <c r="X258" s="254">
        <v>5992</v>
      </c>
      <c r="Y258" s="254">
        <v>-8019</v>
      </c>
      <c r="Z258" s="254">
        <v>-20613</v>
      </c>
      <c r="AA258" s="254">
        <v>-758</v>
      </c>
      <c r="AB258" s="254">
        <v>5654</v>
      </c>
      <c r="AC258" s="254">
        <v>5603</v>
      </c>
      <c r="AD258" s="254">
        <v>23642</v>
      </c>
      <c r="AE258" s="254">
        <v>-956</v>
      </c>
      <c r="AF258" s="254">
        <v>401</v>
      </c>
      <c r="AG258" s="254">
        <v>516</v>
      </c>
      <c r="AH258" s="254">
        <v>2082</v>
      </c>
      <c r="AI258" s="254">
        <v>-1956</v>
      </c>
      <c r="AJ258" s="254">
        <v>7441</v>
      </c>
      <c r="AK258" s="254">
        <v>11796</v>
      </c>
      <c r="AL258" s="254">
        <v>8520</v>
      </c>
      <c r="AM258" s="254">
        <v>25605</v>
      </c>
      <c r="AN258" s="254">
        <v>26314</v>
      </c>
      <c r="AO258" s="254">
        <v>34937</v>
      </c>
      <c r="AP258" s="254">
        <v>21285</v>
      </c>
      <c r="AQ258" s="254">
        <v>49501</v>
      </c>
      <c r="AR258" s="254">
        <v>66382</v>
      </c>
      <c r="AS258" s="254">
        <v>60370</v>
      </c>
      <c r="AT258" s="254">
        <v>30767</v>
      </c>
      <c r="AU258" s="254">
        <v>88065</v>
      </c>
      <c r="AV258" s="254">
        <v>-26856</v>
      </c>
      <c r="AW258" s="254">
        <v>66822</v>
      </c>
      <c r="AX258" s="254">
        <v>93563</v>
      </c>
      <c r="AY258" s="254">
        <v>-391204</v>
      </c>
      <c r="AZ258" s="254">
        <v>-619722</v>
      </c>
      <c r="BA258" s="254">
        <v>135221</v>
      </c>
      <c r="BB258" s="254">
        <v>-118833</v>
      </c>
      <c r="BC258" s="254">
        <v>-257667</v>
      </c>
      <c r="BD258" s="254">
        <v>-207748</v>
      </c>
      <c r="BE258" s="254">
        <v>22248</v>
      </c>
      <c r="BF258" s="254">
        <v>-855986</v>
      </c>
    </row>
    <row r="259" spans="1:58" x14ac:dyDescent="0.3">
      <c r="A259" s="252" t="s">
        <v>1012</v>
      </c>
      <c r="B259" s="254">
        <v>0</v>
      </c>
      <c r="C259" s="254">
        <v>0</v>
      </c>
      <c r="D259" s="254">
        <v>0</v>
      </c>
      <c r="E259" s="254">
        <v>0</v>
      </c>
      <c r="F259" s="254">
        <v>0</v>
      </c>
      <c r="G259" s="254">
        <v>0</v>
      </c>
      <c r="H259" s="254">
        <v>0</v>
      </c>
      <c r="I259" s="254">
        <v>0</v>
      </c>
      <c r="J259" s="254">
        <v>0</v>
      </c>
      <c r="K259" s="254">
        <v>0</v>
      </c>
      <c r="L259" s="254">
        <v>0</v>
      </c>
      <c r="M259" s="254">
        <v>0</v>
      </c>
      <c r="N259" s="254">
        <v>0</v>
      </c>
      <c r="O259" s="254">
        <v>0</v>
      </c>
      <c r="P259" s="254">
        <v>0</v>
      </c>
      <c r="Q259" s="254">
        <v>0</v>
      </c>
      <c r="R259" s="254">
        <v>0</v>
      </c>
      <c r="S259" s="254">
        <v>0</v>
      </c>
      <c r="T259" s="254">
        <v>0</v>
      </c>
      <c r="U259" s="254">
        <v>0</v>
      </c>
      <c r="V259" s="254">
        <v>0</v>
      </c>
      <c r="W259" s="254">
        <v>0</v>
      </c>
      <c r="X259" s="254">
        <v>0</v>
      </c>
      <c r="Y259" s="254">
        <v>0</v>
      </c>
      <c r="Z259" s="254">
        <v>0</v>
      </c>
      <c r="AA259" s="254">
        <v>0</v>
      </c>
      <c r="AB259" s="254">
        <v>0</v>
      </c>
      <c r="AC259" s="254">
        <v>0</v>
      </c>
      <c r="AD259" s="254">
        <v>0</v>
      </c>
      <c r="AE259" s="254">
        <v>0</v>
      </c>
      <c r="AF259" s="254">
        <v>0</v>
      </c>
      <c r="AG259" s="254">
        <v>0</v>
      </c>
      <c r="AH259" s="254">
        <v>0</v>
      </c>
      <c r="AI259" s="254">
        <v>0</v>
      </c>
      <c r="AJ259" s="254">
        <v>0</v>
      </c>
      <c r="AK259" s="254">
        <v>0</v>
      </c>
      <c r="AL259" s="254">
        <v>0</v>
      </c>
      <c r="AM259" s="254">
        <v>0</v>
      </c>
      <c r="AN259" s="254">
        <v>0</v>
      </c>
      <c r="AO259" s="254">
        <v>0</v>
      </c>
      <c r="AP259" s="254">
        <v>0</v>
      </c>
      <c r="AQ259" s="254">
        <v>0</v>
      </c>
      <c r="AR259" s="254">
        <v>0</v>
      </c>
      <c r="AS259" s="254">
        <v>0</v>
      </c>
      <c r="AT259" s="254">
        <v>0</v>
      </c>
      <c r="AU259" s="254">
        <v>0</v>
      </c>
      <c r="AV259" s="254">
        <v>0</v>
      </c>
      <c r="AW259" s="254">
        <v>0</v>
      </c>
      <c r="AX259" s="254">
        <v>0</v>
      </c>
      <c r="AY259" s="254">
        <v>0</v>
      </c>
      <c r="AZ259" s="254">
        <v>0</v>
      </c>
      <c r="BA259" s="254">
        <v>0</v>
      </c>
      <c r="BB259" s="254">
        <v>0</v>
      </c>
      <c r="BC259" s="254">
        <v>0</v>
      </c>
      <c r="BD259" s="254">
        <v>0</v>
      </c>
      <c r="BE259" s="254">
        <v>0</v>
      </c>
      <c r="BF259" s="254">
        <v>0</v>
      </c>
    </row>
    <row r="260" spans="1:58" x14ac:dyDescent="0.3">
      <c r="A260" s="252" t="s">
        <v>1013</v>
      </c>
      <c r="B260" s="254">
        <v>344759</v>
      </c>
      <c r="C260" s="254">
        <v>-1958</v>
      </c>
      <c r="D260" s="254">
        <v>215</v>
      </c>
      <c r="E260" s="254">
        <v>-1824</v>
      </c>
      <c r="F260" s="254">
        <v>17061</v>
      </c>
      <c r="G260" s="254">
        <v>-14114</v>
      </c>
      <c r="H260" s="254">
        <v>63407</v>
      </c>
      <c r="I260" s="254">
        <v>56622</v>
      </c>
      <c r="J260" s="254">
        <v>36152</v>
      </c>
      <c r="K260" s="254">
        <v>-14869</v>
      </c>
      <c r="L260" s="254">
        <v>-521</v>
      </c>
      <c r="M260" s="254">
        <v>-3989</v>
      </c>
      <c r="N260" s="254">
        <v>-19394</v>
      </c>
      <c r="O260" s="254">
        <v>11801</v>
      </c>
      <c r="P260" s="254">
        <v>2919</v>
      </c>
      <c r="Q260" s="254">
        <v>-25635</v>
      </c>
      <c r="R260" s="254">
        <v>-4026</v>
      </c>
      <c r="S260" s="254">
        <v>153355</v>
      </c>
      <c r="T260" s="254">
        <v>315999</v>
      </c>
      <c r="U260" s="254">
        <v>364106</v>
      </c>
      <c r="V260" s="254">
        <v>317052</v>
      </c>
      <c r="W260" s="254">
        <v>-41447</v>
      </c>
      <c r="X260" s="254">
        <v>-22777</v>
      </c>
      <c r="Y260" s="254">
        <v>-183440</v>
      </c>
      <c r="Z260" s="254">
        <v>-66683</v>
      </c>
      <c r="AA260" s="254">
        <v>-118464</v>
      </c>
      <c r="AB260" s="254">
        <v>-255882</v>
      </c>
      <c r="AC260" s="254">
        <v>-270678</v>
      </c>
      <c r="AD260" s="254">
        <v>-259158</v>
      </c>
      <c r="AE260" s="254">
        <v>-11440</v>
      </c>
      <c r="AF260" s="254">
        <v>16237</v>
      </c>
      <c r="AG260" s="254">
        <v>3085</v>
      </c>
      <c r="AH260" s="254">
        <v>67652</v>
      </c>
      <c r="AI260" s="254">
        <v>-5782</v>
      </c>
      <c r="AJ260" s="254">
        <v>-23114</v>
      </c>
      <c r="AK260" s="254">
        <v>-64285</v>
      </c>
      <c r="AL260" s="254">
        <v>61664</v>
      </c>
      <c r="AM260" s="254">
        <v>-46747</v>
      </c>
      <c r="AN260" s="254">
        <v>205886</v>
      </c>
      <c r="AO260" s="254">
        <v>171928</v>
      </c>
      <c r="AP260" s="254">
        <v>272404</v>
      </c>
      <c r="AQ260" s="254">
        <v>-144218</v>
      </c>
      <c r="AR260" s="254">
        <v>-139709</v>
      </c>
      <c r="AS260" s="254">
        <v>-36811</v>
      </c>
      <c r="AT260" s="254">
        <v>349876</v>
      </c>
      <c r="AU260" s="254">
        <v>2375758</v>
      </c>
      <c r="AV260" s="254">
        <v>2572346</v>
      </c>
      <c r="AW260" s="254">
        <v>1139706</v>
      </c>
      <c r="AX260" s="254">
        <v>161408</v>
      </c>
      <c r="AY260" s="254">
        <v>2120933</v>
      </c>
      <c r="AZ260" s="254">
        <v>2222700</v>
      </c>
      <c r="BA260" s="254">
        <v>7392025</v>
      </c>
      <c r="BB260" s="254">
        <v>8642280</v>
      </c>
      <c r="BC260" s="254">
        <v>-9085781</v>
      </c>
      <c r="BD260" s="254">
        <v>-8457708</v>
      </c>
      <c r="BE260" s="254">
        <v>-7387702</v>
      </c>
      <c r="BF260" s="254">
        <v>-7277558</v>
      </c>
    </row>
    <row r="261" spans="1:58" x14ac:dyDescent="0.3">
      <c r="A261" s="252"/>
      <c r="B261" s="253"/>
      <c r="C261" s="253"/>
      <c r="D261" s="253"/>
      <c r="E261" s="253"/>
      <c r="F261" s="253"/>
      <c r="G261" s="253"/>
      <c r="H261" s="25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253"/>
      <c r="AS261" s="253"/>
      <c r="AT261" s="253"/>
      <c r="AU261" s="253"/>
      <c r="AV261" s="253"/>
      <c r="AW261" s="253"/>
      <c r="AX261" s="253"/>
      <c r="AY261" s="253"/>
      <c r="AZ261" s="253"/>
      <c r="BA261" s="253"/>
      <c r="BB261" s="253"/>
      <c r="BC261" s="253"/>
      <c r="BD261" s="253"/>
      <c r="BE261" s="253"/>
      <c r="BF261" s="253"/>
    </row>
    <row r="262" spans="1:58" x14ac:dyDescent="0.3">
      <c r="A262" s="252" t="s">
        <v>774</v>
      </c>
      <c r="B262" s="253" t="s">
        <v>5</v>
      </c>
      <c r="C262" s="253" t="s">
        <v>5</v>
      </c>
      <c r="D262" s="253" t="s">
        <v>5</v>
      </c>
      <c r="E262" s="253" t="s">
        <v>5</v>
      </c>
      <c r="F262" s="253" t="s">
        <v>5</v>
      </c>
      <c r="G262" s="253" t="s">
        <v>5</v>
      </c>
      <c r="H262" s="253" t="s">
        <v>5</v>
      </c>
      <c r="I262" s="253" t="s">
        <v>5</v>
      </c>
      <c r="J262" s="253" t="s">
        <v>5</v>
      </c>
      <c r="K262" s="253" t="s">
        <v>5</v>
      </c>
      <c r="L262" s="253" t="s">
        <v>5</v>
      </c>
      <c r="M262" s="253" t="s">
        <v>5</v>
      </c>
      <c r="N262" s="253" t="s">
        <v>5</v>
      </c>
      <c r="O262" s="253" t="s">
        <v>5</v>
      </c>
      <c r="P262" s="253" t="s">
        <v>5</v>
      </c>
      <c r="Q262" s="253" t="s">
        <v>5</v>
      </c>
      <c r="R262" s="253" t="s">
        <v>5</v>
      </c>
      <c r="S262" s="253" t="s">
        <v>5</v>
      </c>
      <c r="T262" s="253" t="s">
        <v>5</v>
      </c>
      <c r="U262" s="253" t="s">
        <v>5</v>
      </c>
      <c r="V262" s="253" t="s">
        <v>5</v>
      </c>
      <c r="W262" s="253" t="s">
        <v>5</v>
      </c>
      <c r="X262" s="253" t="s">
        <v>5</v>
      </c>
      <c r="Y262" s="253" t="s">
        <v>5</v>
      </c>
      <c r="Z262" s="253" t="s">
        <v>5</v>
      </c>
      <c r="AA262" s="253" t="s">
        <v>5</v>
      </c>
      <c r="AB262" s="253" t="s">
        <v>5</v>
      </c>
      <c r="AC262" s="253" t="s">
        <v>5</v>
      </c>
      <c r="AD262" s="253" t="s">
        <v>5</v>
      </c>
      <c r="AE262" s="253" t="s">
        <v>5</v>
      </c>
      <c r="AF262" s="253" t="s">
        <v>5</v>
      </c>
      <c r="AG262" s="253" t="s">
        <v>5</v>
      </c>
      <c r="AH262" s="253" t="s">
        <v>5</v>
      </c>
      <c r="AI262" s="253" t="s">
        <v>5</v>
      </c>
      <c r="AJ262" s="253" t="s">
        <v>5</v>
      </c>
      <c r="AK262" s="253" t="s">
        <v>5</v>
      </c>
      <c r="AL262" s="253" t="s">
        <v>5</v>
      </c>
      <c r="AM262" s="253" t="s">
        <v>5</v>
      </c>
      <c r="AN262" s="253" t="s">
        <v>5</v>
      </c>
      <c r="AO262" s="253" t="s">
        <v>5</v>
      </c>
      <c r="AP262" s="253" t="s">
        <v>5</v>
      </c>
      <c r="AQ262" s="253" t="s">
        <v>5</v>
      </c>
      <c r="AR262" s="253" t="s">
        <v>5</v>
      </c>
      <c r="AS262" s="253" t="s">
        <v>5</v>
      </c>
      <c r="AT262" s="253" t="s">
        <v>5</v>
      </c>
      <c r="AU262" s="253" t="s">
        <v>5</v>
      </c>
      <c r="AV262" s="253" t="s">
        <v>5</v>
      </c>
      <c r="AW262" s="253" t="s">
        <v>5</v>
      </c>
      <c r="AX262" s="253" t="s">
        <v>5</v>
      </c>
      <c r="AY262" s="253" t="s">
        <v>5</v>
      </c>
      <c r="AZ262" s="253" t="s">
        <v>5</v>
      </c>
      <c r="BA262" s="253" t="s">
        <v>5</v>
      </c>
      <c r="BB262" s="253" t="s">
        <v>5</v>
      </c>
      <c r="BC262" s="253" t="s">
        <v>5</v>
      </c>
      <c r="BD262" s="253" t="s">
        <v>5</v>
      </c>
      <c r="BE262" s="253" t="s">
        <v>5</v>
      </c>
      <c r="BF262" s="253" t="s">
        <v>5</v>
      </c>
    </row>
    <row r="263" spans="1:58" x14ac:dyDescent="0.3">
      <c r="A263" s="252" t="s">
        <v>775</v>
      </c>
      <c r="B263" s="253" t="s">
        <v>776</v>
      </c>
      <c r="C263" s="253" t="s">
        <v>776</v>
      </c>
      <c r="D263" s="253" t="s">
        <v>776</v>
      </c>
      <c r="E263" s="253" t="s">
        <v>776</v>
      </c>
      <c r="F263" s="253" t="s">
        <v>777</v>
      </c>
      <c r="G263" s="253" t="s">
        <v>777</v>
      </c>
      <c r="H263" s="253" t="s">
        <v>777</v>
      </c>
      <c r="I263" s="253" t="s">
        <v>777</v>
      </c>
      <c r="J263" s="253" t="s">
        <v>777</v>
      </c>
      <c r="K263" s="253" t="s">
        <v>777</v>
      </c>
      <c r="L263" s="253" t="s">
        <v>777</v>
      </c>
      <c r="M263" s="253" t="s">
        <v>777</v>
      </c>
      <c r="N263" s="253" t="s">
        <v>777</v>
      </c>
      <c r="O263" s="253" t="s">
        <v>777</v>
      </c>
      <c r="P263" s="253" t="s">
        <v>777</v>
      </c>
      <c r="Q263" s="253" t="s">
        <v>777</v>
      </c>
      <c r="R263" s="253" t="s">
        <v>777</v>
      </c>
      <c r="S263" s="253" t="s">
        <v>777</v>
      </c>
      <c r="T263" s="253" t="s">
        <v>777</v>
      </c>
      <c r="U263" s="253" t="s">
        <v>777</v>
      </c>
      <c r="V263" s="253" t="s">
        <v>777</v>
      </c>
      <c r="W263" s="253" t="s">
        <v>777</v>
      </c>
      <c r="X263" s="253" t="s">
        <v>777</v>
      </c>
      <c r="Y263" s="253" t="s">
        <v>777</v>
      </c>
      <c r="Z263" s="253" t="s">
        <v>777</v>
      </c>
      <c r="AA263" s="253" t="s">
        <v>777</v>
      </c>
      <c r="AB263" s="253" t="s">
        <v>777</v>
      </c>
      <c r="AC263" s="253" t="s">
        <v>777</v>
      </c>
      <c r="AD263" s="253" t="s">
        <v>777</v>
      </c>
      <c r="AE263" s="253" t="s">
        <v>777</v>
      </c>
      <c r="AF263" s="253" t="s">
        <v>777</v>
      </c>
      <c r="AG263" s="253" t="s">
        <v>777</v>
      </c>
      <c r="AH263" s="253" t="s">
        <v>777</v>
      </c>
      <c r="AI263" s="253" t="s">
        <v>777</v>
      </c>
      <c r="AJ263" s="253" t="s">
        <v>777</v>
      </c>
      <c r="AK263" s="253" t="s">
        <v>777</v>
      </c>
      <c r="AL263" s="253" t="s">
        <v>777</v>
      </c>
      <c r="AM263" s="253" t="s">
        <v>777</v>
      </c>
      <c r="AN263" s="253" t="s">
        <v>777</v>
      </c>
      <c r="AO263" s="253" t="s">
        <v>777</v>
      </c>
      <c r="AP263" s="253" t="s">
        <v>777</v>
      </c>
      <c r="AQ263" s="253" t="s">
        <v>777</v>
      </c>
      <c r="AR263" s="253" t="s">
        <v>777</v>
      </c>
      <c r="AS263" s="253" t="s">
        <v>777</v>
      </c>
      <c r="AT263" s="253" t="s">
        <v>777</v>
      </c>
      <c r="AU263" s="253" t="s">
        <v>777</v>
      </c>
      <c r="AV263" s="253" t="s">
        <v>777</v>
      </c>
      <c r="AW263" s="253" t="s">
        <v>777</v>
      </c>
      <c r="AX263" s="253" t="s">
        <v>777</v>
      </c>
      <c r="AY263" s="253" t="s">
        <v>777</v>
      </c>
      <c r="AZ263" s="253" t="s">
        <v>777</v>
      </c>
      <c r="BA263" s="253" t="s">
        <v>777</v>
      </c>
      <c r="BB263" s="253" t="s">
        <v>777</v>
      </c>
      <c r="BC263" s="253" t="s">
        <v>777</v>
      </c>
      <c r="BD263" s="253" t="s">
        <v>777</v>
      </c>
      <c r="BE263" s="253" t="s">
        <v>777</v>
      </c>
      <c r="BF263" s="253" t="s">
        <v>777</v>
      </c>
    </row>
    <row r="264" spans="1:58" x14ac:dyDescent="0.3">
      <c r="A264" s="252"/>
      <c r="B264" s="253"/>
      <c r="C264" s="253"/>
      <c r="D264" s="253"/>
      <c r="E264" s="253"/>
      <c r="F264" s="253"/>
      <c r="G264" s="253"/>
      <c r="H264" s="25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253"/>
      <c r="AS264" s="253"/>
      <c r="AT264" s="253"/>
      <c r="AU264" s="253"/>
      <c r="AV264" s="253"/>
      <c r="AW264" s="253"/>
      <c r="AX264" s="253"/>
      <c r="AY264" s="253"/>
      <c r="AZ264" s="253"/>
      <c r="BA264" s="253"/>
      <c r="BB264" s="253"/>
      <c r="BC264" s="253"/>
      <c r="BD264" s="253"/>
      <c r="BE264" s="253"/>
      <c r="BF264" s="253"/>
    </row>
    <row r="265" spans="1:58" x14ac:dyDescent="0.3">
      <c r="A265" s="252" t="s">
        <v>780</v>
      </c>
      <c r="B265" s="253" t="s">
        <v>5</v>
      </c>
      <c r="C265" s="253" t="s">
        <v>5</v>
      </c>
      <c r="D265" s="253" t="s">
        <v>5</v>
      </c>
      <c r="E265" s="253" t="s">
        <v>5</v>
      </c>
      <c r="F265" s="253" t="s">
        <v>5</v>
      </c>
      <c r="G265" s="253" t="s">
        <v>5</v>
      </c>
      <c r="H265" s="253" t="s">
        <v>5</v>
      </c>
      <c r="I265" s="253" t="s">
        <v>5</v>
      </c>
      <c r="J265" s="253" t="s">
        <v>5</v>
      </c>
      <c r="K265" s="253" t="s">
        <v>5</v>
      </c>
      <c r="L265" s="253" t="s">
        <v>5</v>
      </c>
      <c r="M265" s="253" t="s">
        <v>5</v>
      </c>
      <c r="N265" s="253" t="s">
        <v>5</v>
      </c>
      <c r="O265" s="253" t="s">
        <v>5</v>
      </c>
      <c r="P265" s="253" t="s">
        <v>5</v>
      </c>
      <c r="Q265" s="253" t="s">
        <v>5</v>
      </c>
      <c r="R265" s="253" t="s">
        <v>5</v>
      </c>
      <c r="S265" s="253" t="s">
        <v>5</v>
      </c>
      <c r="T265" s="253" t="s">
        <v>5</v>
      </c>
      <c r="U265" s="253" t="s">
        <v>5</v>
      </c>
      <c r="V265" s="253" t="s">
        <v>5</v>
      </c>
      <c r="W265" s="253" t="s">
        <v>5</v>
      </c>
      <c r="X265" s="253" t="s">
        <v>5</v>
      </c>
      <c r="Y265" s="253" t="s">
        <v>5</v>
      </c>
      <c r="Z265" s="253" t="s">
        <v>5</v>
      </c>
      <c r="AA265" s="253" t="s">
        <v>5</v>
      </c>
      <c r="AB265" s="253" t="s">
        <v>5</v>
      </c>
      <c r="AC265" s="253" t="s">
        <v>5</v>
      </c>
      <c r="AD265" s="253" t="s">
        <v>5</v>
      </c>
      <c r="AE265" s="253" t="s">
        <v>5</v>
      </c>
      <c r="AF265" s="253" t="s">
        <v>5</v>
      </c>
      <c r="AG265" s="253" t="s">
        <v>5</v>
      </c>
      <c r="AH265" s="253" t="s">
        <v>5</v>
      </c>
      <c r="AI265" s="253" t="s">
        <v>5</v>
      </c>
      <c r="AJ265" s="253" t="s">
        <v>5</v>
      </c>
      <c r="AK265" s="253" t="s">
        <v>5</v>
      </c>
      <c r="AL265" s="253" t="s">
        <v>5</v>
      </c>
      <c r="AM265" s="253" t="s">
        <v>5</v>
      </c>
      <c r="AN265" s="253" t="s">
        <v>5</v>
      </c>
      <c r="AO265" s="253" t="s">
        <v>5</v>
      </c>
      <c r="AP265" s="253" t="s">
        <v>5</v>
      </c>
      <c r="AQ265" s="253" t="s">
        <v>5</v>
      </c>
      <c r="AR265" s="253" t="s">
        <v>5</v>
      </c>
      <c r="AS265" s="253" t="s">
        <v>5</v>
      </c>
      <c r="AT265" s="253" t="s">
        <v>5</v>
      </c>
      <c r="AU265" s="253" t="s">
        <v>5</v>
      </c>
      <c r="AV265" s="253" t="s">
        <v>5</v>
      </c>
      <c r="AW265" s="253" t="s">
        <v>5</v>
      </c>
      <c r="AX265" s="253" t="s">
        <v>5</v>
      </c>
      <c r="AY265" s="253" t="s">
        <v>5</v>
      </c>
      <c r="AZ265" s="253" t="s">
        <v>5</v>
      </c>
      <c r="BA265" s="253" t="s">
        <v>5</v>
      </c>
      <c r="BB265" s="253" t="s">
        <v>5</v>
      </c>
      <c r="BC265" s="253" t="s">
        <v>5</v>
      </c>
      <c r="BD265" s="253" t="s">
        <v>5</v>
      </c>
      <c r="BE265" s="253" t="s">
        <v>5</v>
      </c>
      <c r="BF265" s="253" t="s">
        <v>5</v>
      </c>
    </row>
    <row r="266" spans="1:58" x14ac:dyDescent="0.3">
      <c r="A266" s="252" t="s">
        <v>781</v>
      </c>
      <c r="B266" s="254">
        <v>417861</v>
      </c>
      <c r="C266" s="254">
        <v>402826</v>
      </c>
      <c r="D266" s="254">
        <v>422430</v>
      </c>
      <c r="E266" s="254">
        <v>396183</v>
      </c>
      <c r="F266" s="254">
        <v>2695652</v>
      </c>
      <c r="G266" s="254">
        <v>2708775</v>
      </c>
      <c r="H266" s="254">
        <v>4379278</v>
      </c>
      <c r="I266" s="254">
        <v>4422095</v>
      </c>
      <c r="J266" s="254">
        <v>5390091</v>
      </c>
      <c r="K266" s="254">
        <v>5823076</v>
      </c>
      <c r="L266" s="254">
        <v>4366107</v>
      </c>
      <c r="M266" s="254">
        <v>4246531</v>
      </c>
      <c r="N266" s="254">
        <v>4256468</v>
      </c>
      <c r="O266" s="254">
        <v>4217434</v>
      </c>
      <c r="P266" s="254">
        <v>4179763</v>
      </c>
      <c r="Q266" s="254">
        <v>3171132</v>
      </c>
      <c r="R266" s="254">
        <v>1805279</v>
      </c>
      <c r="S266" s="254">
        <v>1942225</v>
      </c>
      <c r="T266" s="254">
        <v>1931284</v>
      </c>
      <c r="U266" s="254">
        <v>1981903</v>
      </c>
      <c r="V266" s="254">
        <v>1061138</v>
      </c>
      <c r="W266" s="254">
        <v>1133728</v>
      </c>
      <c r="X266" s="254">
        <v>1043268</v>
      </c>
      <c r="Y266" s="254">
        <v>1233805</v>
      </c>
      <c r="Z266" s="254">
        <v>1177037</v>
      </c>
      <c r="AA266" s="254">
        <v>1098993</v>
      </c>
      <c r="AB266" s="254">
        <v>998456</v>
      </c>
      <c r="AC266" s="254">
        <v>1087135</v>
      </c>
      <c r="AD266" s="254">
        <v>1082369</v>
      </c>
      <c r="AE266" s="254">
        <v>1400312</v>
      </c>
      <c r="AF266" s="254">
        <v>1379460</v>
      </c>
      <c r="AG266" s="254">
        <v>1377661</v>
      </c>
      <c r="AH266" s="254">
        <v>1251764</v>
      </c>
      <c r="AI266" s="254">
        <v>1228426</v>
      </c>
      <c r="AJ266" s="254">
        <v>1459604</v>
      </c>
      <c r="AK266" s="254">
        <v>1279999</v>
      </c>
      <c r="AL266" s="254">
        <v>1537063</v>
      </c>
      <c r="AM266" s="254">
        <v>4332603</v>
      </c>
      <c r="AN266" s="254">
        <v>4387144</v>
      </c>
      <c r="AO266" s="254">
        <v>4596221</v>
      </c>
      <c r="AP266" s="254">
        <v>5489751</v>
      </c>
      <c r="AQ266" s="254">
        <v>6984388</v>
      </c>
      <c r="AR266" s="254">
        <v>6660586</v>
      </c>
      <c r="AS266" s="254">
        <v>7055431</v>
      </c>
      <c r="AT266" s="254">
        <v>6792833</v>
      </c>
      <c r="AU266" s="254">
        <v>9341748</v>
      </c>
      <c r="AV266" s="254">
        <v>10504500</v>
      </c>
      <c r="AW266" s="254">
        <v>11445166</v>
      </c>
      <c r="AX266" s="254">
        <v>12221416</v>
      </c>
      <c r="AY266" s="254">
        <v>12862921</v>
      </c>
      <c r="AZ266" s="254">
        <v>16292271</v>
      </c>
      <c r="BA266" s="254">
        <v>19920152</v>
      </c>
      <c r="BB266" s="254">
        <v>20302520</v>
      </c>
      <c r="BC266" s="254">
        <v>25623115</v>
      </c>
      <c r="BD266" s="254">
        <v>25991952</v>
      </c>
      <c r="BE266" s="254">
        <v>28521683</v>
      </c>
      <c r="BF266" s="254">
        <v>28310932</v>
      </c>
    </row>
    <row r="267" spans="1:58" x14ac:dyDescent="0.3">
      <c r="A267" s="255" t="s">
        <v>782</v>
      </c>
      <c r="B267" s="256">
        <v>355870</v>
      </c>
      <c r="C267" s="256">
        <v>311942</v>
      </c>
      <c r="D267" s="256">
        <v>266515</v>
      </c>
      <c r="E267" s="256">
        <v>170640</v>
      </c>
      <c r="F267" s="256">
        <v>2446144</v>
      </c>
      <c r="G267" s="256">
        <v>2317659</v>
      </c>
      <c r="H267" s="256">
        <v>979498</v>
      </c>
      <c r="I267" s="256">
        <v>2143674</v>
      </c>
      <c r="J267" s="256">
        <v>2853585</v>
      </c>
      <c r="K267" s="256">
        <v>2044900</v>
      </c>
      <c r="L267" s="256">
        <v>1449213</v>
      </c>
      <c r="M267" s="256">
        <v>1242500</v>
      </c>
      <c r="N267" s="256">
        <v>982930</v>
      </c>
      <c r="O267" s="256">
        <v>944726</v>
      </c>
      <c r="P267" s="256">
        <v>648540</v>
      </c>
      <c r="Q267" s="256">
        <v>474340</v>
      </c>
      <c r="R267" s="256">
        <v>673250</v>
      </c>
      <c r="S267" s="256">
        <v>601361</v>
      </c>
      <c r="T267" s="256">
        <v>656632</v>
      </c>
      <c r="U267" s="256">
        <v>695377</v>
      </c>
      <c r="V267" s="256">
        <v>806236</v>
      </c>
      <c r="W267" s="256">
        <v>813775</v>
      </c>
      <c r="X267" s="256">
        <v>749206</v>
      </c>
      <c r="Y267" s="256">
        <v>891147</v>
      </c>
      <c r="Z267" s="256">
        <v>899822</v>
      </c>
      <c r="AA267" s="256">
        <v>822542</v>
      </c>
      <c r="AB267" s="256">
        <v>716120</v>
      </c>
      <c r="AC267" s="256">
        <v>784300</v>
      </c>
      <c r="AD267" s="256">
        <v>781580</v>
      </c>
      <c r="AE267" s="256">
        <v>927548</v>
      </c>
      <c r="AF267" s="256">
        <v>911831</v>
      </c>
      <c r="AG267" s="256">
        <v>921758</v>
      </c>
      <c r="AH267" s="256">
        <v>849655</v>
      </c>
      <c r="AI267" s="256">
        <v>807148</v>
      </c>
      <c r="AJ267" s="256">
        <v>985089</v>
      </c>
      <c r="AK267" s="256">
        <v>794540</v>
      </c>
      <c r="AL267" s="256">
        <v>1039562</v>
      </c>
      <c r="AM267" s="256">
        <v>675301</v>
      </c>
      <c r="AN267" s="256">
        <v>1000921</v>
      </c>
      <c r="AO267" s="256">
        <v>1139211</v>
      </c>
      <c r="AP267" s="256">
        <v>1513090</v>
      </c>
      <c r="AQ267" s="256">
        <v>1732269</v>
      </c>
      <c r="AR267" s="256">
        <v>1400073</v>
      </c>
      <c r="AS267" s="256">
        <v>1650433</v>
      </c>
      <c r="AT267" s="256">
        <v>1841415</v>
      </c>
      <c r="AU267" s="256">
        <v>4097287</v>
      </c>
      <c r="AV267" s="256">
        <v>5517215</v>
      </c>
      <c r="AW267" s="256">
        <v>5463662</v>
      </c>
      <c r="AX267" s="256">
        <v>6106295</v>
      </c>
      <c r="AY267" s="256">
        <v>6805410</v>
      </c>
      <c r="AZ267" s="256">
        <v>7975120</v>
      </c>
      <c r="BA267" s="256">
        <v>11122283</v>
      </c>
      <c r="BB267" s="256">
        <v>10602627</v>
      </c>
      <c r="BC267" s="256">
        <v>3884323</v>
      </c>
      <c r="BD267" s="256">
        <v>3664023</v>
      </c>
      <c r="BE267" s="256">
        <v>5086534</v>
      </c>
      <c r="BF267" s="256">
        <v>5294874</v>
      </c>
    </row>
    <row r="268" spans="1:58" x14ac:dyDescent="0.3">
      <c r="A268" s="257" t="s">
        <v>1014</v>
      </c>
      <c r="B268" s="259">
        <v>344759</v>
      </c>
      <c r="C268" s="259">
        <v>301515</v>
      </c>
      <c r="D268" s="259">
        <v>251622</v>
      </c>
      <c r="E268" s="259">
        <v>152946</v>
      </c>
      <c r="F268" s="258" t="s">
        <v>784</v>
      </c>
      <c r="G268" s="258" t="s">
        <v>784</v>
      </c>
      <c r="H268" s="258" t="s">
        <v>784</v>
      </c>
      <c r="I268" s="258" t="s">
        <v>784</v>
      </c>
      <c r="J268" s="258" t="s">
        <v>784</v>
      </c>
      <c r="K268" s="258" t="s">
        <v>784</v>
      </c>
      <c r="L268" s="258" t="s">
        <v>784</v>
      </c>
      <c r="M268" s="258" t="s">
        <v>784</v>
      </c>
      <c r="N268" s="258" t="s">
        <v>784</v>
      </c>
      <c r="O268" s="258" t="s">
        <v>784</v>
      </c>
      <c r="P268" s="258" t="s">
        <v>784</v>
      </c>
      <c r="Q268" s="258" t="s">
        <v>784</v>
      </c>
      <c r="R268" s="258" t="s">
        <v>784</v>
      </c>
      <c r="S268" s="258" t="s">
        <v>784</v>
      </c>
      <c r="T268" s="258" t="s">
        <v>784</v>
      </c>
      <c r="U268" s="258" t="s">
        <v>784</v>
      </c>
      <c r="V268" s="258" t="s">
        <v>784</v>
      </c>
      <c r="W268" s="258" t="s">
        <v>784</v>
      </c>
      <c r="X268" s="258" t="s">
        <v>784</v>
      </c>
      <c r="Y268" s="258" t="s">
        <v>784</v>
      </c>
      <c r="Z268" s="258" t="s">
        <v>784</v>
      </c>
      <c r="AA268" s="258" t="s">
        <v>784</v>
      </c>
      <c r="AB268" s="258" t="s">
        <v>784</v>
      </c>
      <c r="AC268" s="258" t="s">
        <v>784</v>
      </c>
      <c r="AD268" s="258" t="s">
        <v>784</v>
      </c>
      <c r="AE268" s="258" t="s">
        <v>784</v>
      </c>
      <c r="AF268" s="258" t="s">
        <v>784</v>
      </c>
      <c r="AG268" s="258" t="s">
        <v>784</v>
      </c>
      <c r="AH268" s="258" t="s">
        <v>784</v>
      </c>
      <c r="AI268" s="258" t="s">
        <v>784</v>
      </c>
      <c r="AJ268" s="258" t="s">
        <v>784</v>
      </c>
      <c r="AK268" s="258" t="s">
        <v>784</v>
      </c>
      <c r="AL268" s="258" t="s">
        <v>784</v>
      </c>
      <c r="AM268" s="258" t="s">
        <v>784</v>
      </c>
      <c r="AN268" s="258" t="s">
        <v>784</v>
      </c>
      <c r="AO268" s="258" t="s">
        <v>784</v>
      </c>
      <c r="AP268" s="258" t="s">
        <v>784</v>
      </c>
      <c r="AQ268" s="258" t="s">
        <v>784</v>
      </c>
      <c r="AR268" s="258" t="s">
        <v>784</v>
      </c>
      <c r="AS268" s="258" t="s">
        <v>784</v>
      </c>
      <c r="AT268" s="258" t="s">
        <v>784</v>
      </c>
      <c r="AU268" s="258" t="s">
        <v>784</v>
      </c>
      <c r="AV268" s="258" t="s">
        <v>784</v>
      </c>
      <c r="AW268" s="258" t="s">
        <v>784</v>
      </c>
      <c r="AX268" s="258" t="s">
        <v>784</v>
      </c>
      <c r="AY268" s="258" t="s">
        <v>784</v>
      </c>
      <c r="AZ268" s="258" t="s">
        <v>784</v>
      </c>
      <c r="BA268" s="258" t="s">
        <v>784</v>
      </c>
      <c r="BB268" s="258" t="s">
        <v>784</v>
      </c>
      <c r="BC268" s="258" t="s">
        <v>784</v>
      </c>
      <c r="BD268" s="258" t="s">
        <v>784</v>
      </c>
      <c r="BE268" s="258" t="s">
        <v>784</v>
      </c>
      <c r="BF268" s="258" t="s">
        <v>784</v>
      </c>
    </row>
    <row r="269" spans="1:58" x14ac:dyDescent="0.3">
      <c r="A269" s="257" t="s">
        <v>1015</v>
      </c>
      <c r="B269" s="259">
        <v>8019</v>
      </c>
      <c r="C269" s="259">
        <v>2010</v>
      </c>
      <c r="D269" s="259">
        <v>4789</v>
      </c>
      <c r="E269" s="259">
        <v>1950</v>
      </c>
      <c r="F269" s="258" t="s">
        <v>784</v>
      </c>
      <c r="G269" s="258" t="s">
        <v>784</v>
      </c>
      <c r="H269" s="258" t="s">
        <v>784</v>
      </c>
      <c r="I269" s="258" t="s">
        <v>784</v>
      </c>
      <c r="J269" s="258" t="s">
        <v>784</v>
      </c>
      <c r="K269" s="258" t="s">
        <v>784</v>
      </c>
      <c r="L269" s="258" t="s">
        <v>784</v>
      </c>
      <c r="M269" s="258" t="s">
        <v>784</v>
      </c>
      <c r="N269" s="258" t="s">
        <v>784</v>
      </c>
      <c r="O269" s="258" t="s">
        <v>784</v>
      </c>
      <c r="P269" s="258" t="s">
        <v>784</v>
      </c>
      <c r="Q269" s="258" t="s">
        <v>784</v>
      </c>
      <c r="R269" s="258" t="s">
        <v>784</v>
      </c>
      <c r="S269" s="258" t="s">
        <v>784</v>
      </c>
      <c r="T269" s="258" t="s">
        <v>784</v>
      </c>
      <c r="U269" s="258" t="s">
        <v>784</v>
      </c>
      <c r="V269" s="258" t="s">
        <v>784</v>
      </c>
      <c r="W269" s="258" t="s">
        <v>784</v>
      </c>
      <c r="X269" s="258" t="s">
        <v>784</v>
      </c>
      <c r="Y269" s="258" t="s">
        <v>784</v>
      </c>
      <c r="Z269" s="258" t="s">
        <v>784</v>
      </c>
      <c r="AA269" s="258" t="s">
        <v>784</v>
      </c>
      <c r="AB269" s="258" t="s">
        <v>784</v>
      </c>
      <c r="AC269" s="258" t="s">
        <v>784</v>
      </c>
      <c r="AD269" s="258" t="s">
        <v>784</v>
      </c>
      <c r="AE269" s="258" t="s">
        <v>784</v>
      </c>
      <c r="AF269" s="258" t="s">
        <v>784</v>
      </c>
      <c r="AG269" s="258" t="s">
        <v>784</v>
      </c>
      <c r="AH269" s="258" t="s">
        <v>784</v>
      </c>
      <c r="AI269" s="258" t="s">
        <v>784</v>
      </c>
      <c r="AJ269" s="258" t="s">
        <v>784</v>
      </c>
      <c r="AK269" s="258" t="s">
        <v>784</v>
      </c>
      <c r="AL269" s="258" t="s">
        <v>784</v>
      </c>
      <c r="AM269" s="258" t="s">
        <v>784</v>
      </c>
      <c r="AN269" s="258" t="s">
        <v>784</v>
      </c>
      <c r="AO269" s="258" t="s">
        <v>784</v>
      </c>
      <c r="AP269" s="258" t="s">
        <v>784</v>
      </c>
      <c r="AQ269" s="258" t="s">
        <v>784</v>
      </c>
      <c r="AR269" s="258" t="s">
        <v>784</v>
      </c>
      <c r="AS269" s="258" t="s">
        <v>784</v>
      </c>
      <c r="AT269" s="258" t="s">
        <v>784</v>
      </c>
      <c r="AU269" s="258" t="s">
        <v>784</v>
      </c>
      <c r="AV269" s="258" t="s">
        <v>784</v>
      </c>
      <c r="AW269" s="258" t="s">
        <v>784</v>
      </c>
      <c r="AX269" s="258" t="s">
        <v>784</v>
      </c>
      <c r="AY269" s="258" t="s">
        <v>784</v>
      </c>
      <c r="AZ269" s="258" t="s">
        <v>784</v>
      </c>
      <c r="BA269" s="258" t="s">
        <v>784</v>
      </c>
      <c r="BB269" s="258" t="s">
        <v>784</v>
      </c>
      <c r="BC269" s="258" t="s">
        <v>784</v>
      </c>
      <c r="BD269" s="258" t="s">
        <v>784</v>
      </c>
      <c r="BE269" s="258" t="s">
        <v>784</v>
      </c>
      <c r="BF269" s="258" t="s">
        <v>784</v>
      </c>
    </row>
    <row r="270" spans="1:58" x14ac:dyDescent="0.3">
      <c r="A270" s="260" t="s">
        <v>794</v>
      </c>
      <c r="B270" s="256">
        <v>8019</v>
      </c>
      <c r="C270" s="256">
        <v>2010</v>
      </c>
      <c r="D270" s="256">
        <v>4789</v>
      </c>
      <c r="E270" s="256">
        <v>1950</v>
      </c>
      <c r="F270" s="261" t="s">
        <v>784</v>
      </c>
      <c r="G270" s="261" t="s">
        <v>784</v>
      </c>
      <c r="H270" s="261" t="s">
        <v>784</v>
      </c>
      <c r="I270" s="261" t="s">
        <v>784</v>
      </c>
      <c r="J270" s="261" t="s">
        <v>784</v>
      </c>
      <c r="K270" s="261" t="s">
        <v>784</v>
      </c>
      <c r="L270" s="261" t="s">
        <v>784</v>
      </c>
      <c r="M270" s="261" t="s">
        <v>784</v>
      </c>
      <c r="N270" s="261" t="s">
        <v>784</v>
      </c>
      <c r="O270" s="261" t="s">
        <v>784</v>
      </c>
      <c r="P270" s="261" t="s">
        <v>784</v>
      </c>
      <c r="Q270" s="261" t="s">
        <v>784</v>
      </c>
      <c r="R270" s="261" t="s">
        <v>784</v>
      </c>
      <c r="S270" s="256">
        <v>0</v>
      </c>
      <c r="T270" s="261" t="s">
        <v>784</v>
      </c>
      <c r="U270" s="256">
        <v>0</v>
      </c>
      <c r="V270" s="261" t="s">
        <v>784</v>
      </c>
      <c r="W270" s="256">
        <v>1764</v>
      </c>
      <c r="X270" s="256">
        <v>3697</v>
      </c>
      <c r="Y270" s="256">
        <v>86044</v>
      </c>
      <c r="Z270" s="256">
        <v>244499</v>
      </c>
      <c r="AA270" s="256">
        <v>123308</v>
      </c>
      <c r="AB270" s="256">
        <v>83690</v>
      </c>
      <c r="AC270" s="256">
        <v>110525</v>
      </c>
      <c r="AD270" s="256">
        <v>30680</v>
      </c>
      <c r="AE270" s="256">
        <v>40937</v>
      </c>
      <c r="AF270" s="256">
        <v>79173</v>
      </c>
      <c r="AG270" s="256">
        <v>51576</v>
      </c>
      <c r="AH270" s="256">
        <v>62046</v>
      </c>
      <c r="AI270" s="256">
        <v>63713</v>
      </c>
      <c r="AJ270" s="256">
        <v>88073</v>
      </c>
      <c r="AK270" s="256">
        <v>37097</v>
      </c>
      <c r="AL270" s="256">
        <v>34932</v>
      </c>
      <c r="AM270" s="256">
        <v>18452</v>
      </c>
      <c r="AN270" s="256">
        <v>36023</v>
      </c>
      <c r="AO270" s="256">
        <v>86047</v>
      </c>
      <c r="AP270" s="256">
        <v>374598</v>
      </c>
      <c r="AQ270" s="256">
        <v>213830</v>
      </c>
      <c r="AR270" s="256">
        <v>210437</v>
      </c>
      <c r="AS270" s="256">
        <v>197907</v>
      </c>
      <c r="AT270" s="256">
        <v>386165</v>
      </c>
      <c r="AU270" s="256">
        <v>22568</v>
      </c>
      <c r="AV270" s="256">
        <v>329548</v>
      </c>
      <c r="AW270" s="256">
        <v>291783</v>
      </c>
      <c r="AX270" s="256">
        <v>915033</v>
      </c>
      <c r="AY270" s="256">
        <v>845187</v>
      </c>
      <c r="AZ270" s="256">
        <v>888980</v>
      </c>
      <c r="BA270" s="256">
        <v>1079329</v>
      </c>
      <c r="BB270" s="256">
        <v>166304</v>
      </c>
      <c r="BC270" s="256">
        <v>2230118</v>
      </c>
      <c r="BD270" s="256">
        <v>1357896</v>
      </c>
      <c r="BE270" s="256">
        <v>1613769</v>
      </c>
      <c r="BF270" s="256">
        <v>1743491</v>
      </c>
    </row>
    <row r="271" spans="1:58" x14ac:dyDescent="0.3">
      <c r="A271" s="260" t="s">
        <v>1016</v>
      </c>
      <c r="B271" s="256">
        <v>0</v>
      </c>
      <c r="C271" s="256">
        <v>0</v>
      </c>
      <c r="D271" s="256">
        <v>0</v>
      </c>
      <c r="E271" s="256">
        <v>0</v>
      </c>
      <c r="F271" s="261" t="s">
        <v>784</v>
      </c>
      <c r="G271" s="261" t="s">
        <v>784</v>
      </c>
      <c r="H271" s="261" t="s">
        <v>784</v>
      </c>
      <c r="I271" s="261" t="s">
        <v>784</v>
      </c>
      <c r="J271" s="261" t="s">
        <v>784</v>
      </c>
      <c r="K271" s="261" t="s">
        <v>784</v>
      </c>
      <c r="L271" s="261" t="s">
        <v>784</v>
      </c>
      <c r="M271" s="261" t="s">
        <v>784</v>
      </c>
      <c r="N271" s="261" t="s">
        <v>784</v>
      </c>
      <c r="O271" s="261" t="s">
        <v>784</v>
      </c>
      <c r="P271" s="261" t="s">
        <v>784</v>
      </c>
      <c r="Q271" s="261" t="s">
        <v>784</v>
      </c>
      <c r="R271" s="261" t="s">
        <v>784</v>
      </c>
      <c r="S271" s="261" t="s">
        <v>784</v>
      </c>
      <c r="T271" s="261" t="s">
        <v>784</v>
      </c>
      <c r="U271" s="261" t="s">
        <v>784</v>
      </c>
      <c r="V271" s="261" t="s">
        <v>784</v>
      </c>
      <c r="W271" s="261" t="s">
        <v>784</v>
      </c>
      <c r="X271" s="261" t="s">
        <v>784</v>
      </c>
      <c r="Y271" s="261" t="s">
        <v>784</v>
      </c>
      <c r="Z271" s="261" t="s">
        <v>784</v>
      </c>
      <c r="AA271" s="261" t="s">
        <v>784</v>
      </c>
      <c r="AB271" s="261" t="s">
        <v>784</v>
      </c>
      <c r="AC271" s="261" t="s">
        <v>784</v>
      </c>
      <c r="AD271" s="261" t="s">
        <v>784</v>
      </c>
      <c r="AE271" s="261" t="s">
        <v>784</v>
      </c>
      <c r="AF271" s="261" t="s">
        <v>784</v>
      </c>
      <c r="AG271" s="261" t="s">
        <v>784</v>
      </c>
      <c r="AH271" s="261" t="s">
        <v>784</v>
      </c>
      <c r="AI271" s="261" t="s">
        <v>784</v>
      </c>
      <c r="AJ271" s="261" t="s">
        <v>784</v>
      </c>
      <c r="AK271" s="261" t="s">
        <v>784</v>
      </c>
      <c r="AL271" s="261" t="s">
        <v>784</v>
      </c>
      <c r="AM271" s="261" t="s">
        <v>784</v>
      </c>
      <c r="AN271" s="261" t="s">
        <v>784</v>
      </c>
      <c r="AO271" s="261" t="s">
        <v>784</v>
      </c>
      <c r="AP271" s="261" t="s">
        <v>784</v>
      </c>
      <c r="AQ271" s="261" t="s">
        <v>784</v>
      </c>
      <c r="AR271" s="261" t="s">
        <v>784</v>
      </c>
      <c r="AS271" s="261" t="s">
        <v>784</v>
      </c>
      <c r="AT271" s="261" t="s">
        <v>784</v>
      </c>
      <c r="AU271" s="261" t="s">
        <v>784</v>
      </c>
      <c r="AV271" s="261" t="s">
        <v>784</v>
      </c>
      <c r="AW271" s="261" t="s">
        <v>784</v>
      </c>
      <c r="AX271" s="261" t="s">
        <v>784</v>
      </c>
      <c r="AY271" s="261" t="s">
        <v>784</v>
      </c>
      <c r="AZ271" s="261" t="s">
        <v>784</v>
      </c>
      <c r="BA271" s="261" t="s">
        <v>784</v>
      </c>
      <c r="BB271" s="261" t="s">
        <v>784</v>
      </c>
      <c r="BC271" s="261" t="s">
        <v>784</v>
      </c>
      <c r="BD271" s="261" t="s">
        <v>784</v>
      </c>
      <c r="BE271" s="261" t="s">
        <v>784</v>
      </c>
      <c r="BF271" s="261" t="s">
        <v>784</v>
      </c>
    </row>
    <row r="272" spans="1:58" x14ac:dyDescent="0.3">
      <c r="A272" s="262" t="s">
        <v>1017</v>
      </c>
      <c r="B272" s="254">
        <v>0</v>
      </c>
      <c r="C272" s="254">
        <v>0</v>
      </c>
      <c r="D272" s="254">
        <v>0</v>
      </c>
      <c r="E272" s="254">
        <v>0</v>
      </c>
      <c r="F272" s="253" t="s">
        <v>784</v>
      </c>
      <c r="G272" s="253" t="s">
        <v>784</v>
      </c>
      <c r="H272" s="253" t="s">
        <v>784</v>
      </c>
      <c r="I272" s="253" t="s">
        <v>784</v>
      </c>
      <c r="J272" s="253" t="s">
        <v>784</v>
      </c>
      <c r="K272" s="253" t="s">
        <v>784</v>
      </c>
      <c r="L272" s="253" t="s">
        <v>784</v>
      </c>
      <c r="M272" s="253" t="s">
        <v>784</v>
      </c>
      <c r="N272" s="253" t="s">
        <v>784</v>
      </c>
      <c r="O272" s="253" t="s">
        <v>784</v>
      </c>
      <c r="P272" s="253" t="s">
        <v>784</v>
      </c>
      <c r="Q272" s="253" t="s">
        <v>784</v>
      </c>
      <c r="R272" s="253" t="s">
        <v>784</v>
      </c>
      <c r="S272" s="253" t="s">
        <v>784</v>
      </c>
      <c r="T272" s="253" t="s">
        <v>784</v>
      </c>
      <c r="U272" s="253" t="s">
        <v>784</v>
      </c>
      <c r="V272" s="253" t="s">
        <v>784</v>
      </c>
      <c r="W272" s="253" t="s">
        <v>784</v>
      </c>
      <c r="X272" s="253" t="s">
        <v>784</v>
      </c>
      <c r="Y272" s="253" t="s">
        <v>784</v>
      </c>
      <c r="Z272" s="253" t="s">
        <v>784</v>
      </c>
      <c r="AA272" s="253" t="s">
        <v>784</v>
      </c>
      <c r="AB272" s="253" t="s">
        <v>784</v>
      </c>
      <c r="AC272" s="253" t="s">
        <v>784</v>
      </c>
      <c r="AD272" s="253" t="s">
        <v>784</v>
      </c>
      <c r="AE272" s="253" t="s">
        <v>784</v>
      </c>
      <c r="AF272" s="253" t="s">
        <v>784</v>
      </c>
      <c r="AG272" s="253" t="s">
        <v>784</v>
      </c>
      <c r="AH272" s="253" t="s">
        <v>784</v>
      </c>
      <c r="AI272" s="253" t="s">
        <v>784</v>
      </c>
      <c r="AJ272" s="253" t="s">
        <v>784</v>
      </c>
      <c r="AK272" s="253" t="s">
        <v>784</v>
      </c>
      <c r="AL272" s="253" t="s">
        <v>784</v>
      </c>
      <c r="AM272" s="253" t="s">
        <v>784</v>
      </c>
      <c r="AN272" s="253" t="s">
        <v>784</v>
      </c>
      <c r="AO272" s="253" t="s">
        <v>784</v>
      </c>
      <c r="AP272" s="253" t="s">
        <v>784</v>
      </c>
      <c r="AQ272" s="253" t="s">
        <v>784</v>
      </c>
      <c r="AR272" s="253" t="s">
        <v>784</v>
      </c>
      <c r="AS272" s="253" t="s">
        <v>784</v>
      </c>
      <c r="AT272" s="253" t="s">
        <v>784</v>
      </c>
      <c r="AU272" s="253" t="s">
        <v>784</v>
      </c>
      <c r="AV272" s="253" t="s">
        <v>784</v>
      </c>
      <c r="AW272" s="253" t="s">
        <v>784</v>
      </c>
      <c r="AX272" s="253" t="s">
        <v>784</v>
      </c>
      <c r="AY272" s="253" t="s">
        <v>784</v>
      </c>
      <c r="AZ272" s="253" t="s">
        <v>784</v>
      </c>
      <c r="BA272" s="253" t="s">
        <v>784</v>
      </c>
      <c r="BB272" s="253" t="s">
        <v>784</v>
      </c>
      <c r="BC272" s="253" t="s">
        <v>784</v>
      </c>
      <c r="BD272" s="253" t="s">
        <v>784</v>
      </c>
      <c r="BE272" s="253" t="s">
        <v>784</v>
      </c>
      <c r="BF272" s="253" t="s">
        <v>784</v>
      </c>
    </row>
    <row r="273" spans="1:58" x14ac:dyDescent="0.3">
      <c r="A273" s="262" t="s">
        <v>1018</v>
      </c>
      <c r="B273" s="254">
        <v>0</v>
      </c>
      <c r="C273" s="254">
        <v>0</v>
      </c>
      <c r="D273" s="254">
        <v>0</v>
      </c>
      <c r="E273" s="254">
        <v>0</v>
      </c>
      <c r="F273" s="253" t="s">
        <v>784</v>
      </c>
      <c r="G273" s="253" t="s">
        <v>784</v>
      </c>
      <c r="H273" s="253" t="s">
        <v>784</v>
      </c>
      <c r="I273" s="253" t="s">
        <v>784</v>
      </c>
      <c r="J273" s="253" t="s">
        <v>784</v>
      </c>
      <c r="K273" s="253" t="s">
        <v>784</v>
      </c>
      <c r="L273" s="253" t="s">
        <v>784</v>
      </c>
      <c r="M273" s="253" t="s">
        <v>784</v>
      </c>
      <c r="N273" s="253" t="s">
        <v>784</v>
      </c>
      <c r="O273" s="253" t="s">
        <v>784</v>
      </c>
      <c r="P273" s="253" t="s">
        <v>784</v>
      </c>
      <c r="Q273" s="253" t="s">
        <v>784</v>
      </c>
      <c r="R273" s="253" t="s">
        <v>784</v>
      </c>
      <c r="S273" s="253" t="s">
        <v>784</v>
      </c>
      <c r="T273" s="253" t="s">
        <v>784</v>
      </c>
      <c r="U273" s="253" t="s">
        <v>784</v>
      </c>
      <c r="V273" s="253" t="s">
        <v>784</v>
      </c>
      <c r="W273" s="253" t="s">
        <v>784</v>
      </c>
      <c r="X273" s="253" t="s">
        <v>784</v>
      </c>
      <c r="Y273" s="253" t="s">
        <v>784</v>
      </c>
      <c r="Z273" s="253" t="s">
        <v>784</v>
      </c>
      <c r="AA273" s="253" t="s">
        <v>784</v>
      </c>
      <c r="AB273" s="253" t="s">
        <v>784</v>
      </c>
      <c r="AC273" s="253" t="s">
        <v>784</v>
      </c>
      <c r="AD273" s="253" t="s">
        <v>784</v>
      </c>
      <c r="AE273" s="253" t="s">
        <v>784</v>
      </c>
      <c r="AF273" s="253" t="s">
        <v>784</v>
      </c>
      <c r="AG273" s="253" t="s">
        <v>784</v>
      </c>
      <c r="AH273" s="253" t="s">
        <v>784</v>
      </c>
      <c r="AI273" s="253" t="s">
        <v>784</v>
      </c>
      <c r="AJ273" s="253" t="s">
        <v>784</v>
      </c>
      <c r="AK273" s="253" t="s">
        <v>784</v>
      </c>
      <c r="AL273" s="253" t="s">
        <v>784</v>
      </c>
      <c r="AM273" s="253" t="s">
        <v>784</v>
      </c>
      <c r="AN273" s="253" t="s">
        <v>784</v>
      </c>
      <c r="AO273" s="253" t="s">
        <v>784</v>
      </c>
      <c r="AP273" s="253" t="s">
        <v>784</v>
      </c>
      <c r="AQ273" s="253" t="s">
        <v>784</v>
      </c>
      <c r="AR273" s="253" t="s">
        <v>784</v>
      </c>
      <c r="AS273" s="253" t="s">
        <v>784</v>
      </c>
      <c r="AT273" s="253" t="s">
        <v>784</v>
      </c>
      <c r="AU273" s="253" t="s">
        <v>784</v>
      </c>
      <c r="AV273" s="253" t="s">
        <v>784</v>
      </c>
      <c r="AW273" s="253" t="s">
        <v>784</v>
      </c>
      <c r="AX273" s="253" t="s">
        <v>784</v>
      </c>
      <c r="AY273" s="253" t="s">
        <v>784</v>
      </c>
      <c r="AZ273" s="253" t="s">
        <v>784</v>
      </c>
      <c r="BA273" s="253" t="s">
        <v>784</v>
      </c>
      <c r="BB273" s="253" t="s">
        <v>784</v>
      </c>
      <c r="BC273" s="253" t="s">
        <v>784</v>
      </c>
      <c r="BD273" s="253" t="s">
        <v>784</v>
      </c>
      <c r="BE273" s="253" t="s">
        <v>784</v>
      </c>
      <c r="BF273" s="253" t="s">
        <v>784</v>
      </c>
    </row>
    <row r="274" spans="1:58" x14ac:dyDescent="0.3">
      <c r="A274" s="257" t="s">
        <v>796</v>
      </c>
      <c r="B274" s="259">
        <v>0</v>
      </c>
      <c r="C274" s="259">
        <v>0</v>
      </c>
      <c r="D274" s="259">
        <v>0</v>
      </c>
      <c r="E274" s="259">
        <v>0</v>
      </c>
      <c r="F274" s="259">
        <v>0</v>
      </c>
      <c r="G274" s="259">
        <v>0</v>
      </c>
      <c r="H274" s="259">
        <v>0</v>
      </c>
      <c r="I274" s="259">
        <v>0</v>
      </c>
      <c r="J274" s="259">
        <v>0</v>
      </c>
      <c r="K274" s="259">
        <v>0</v>
      </c>
      <c r="L274" s="259">
        <v>0</v>
      </c>
      <c r="M274" s="259">
        <v>0</v>
      </c>
      <c r="N274" s="259">
        <v>0</v>
      </c>
      <c r="O274" s="259">
        <v>0</v>
      </c>
      <c r="P274" s="259">
        <v>0</v>
      </c>
      <c r="Q274" s="259">
        <v>0</v>
      </c>
      <c r="R274" s="259">
        <v>0</v>
      </c>
      <c r="S274" s="259">
        <v>25856</v>
      </c>
      <c r="T274" s="259">
        <v>0</v>
      </c>
      <c r="U274" s="259">
        <v>0</v>
      </c>
      <c r="V274" s="259">
        <v>8784</v>
      </c>
      <c r="W274" s="259">
        <v>82347</v>
      </c>
      <c r="X274" s="259">
        <v>63188</v>
      </c>
      <c r="Y274" s="259">
        <v>9269</v>
      </c>
      <c r="Z274" s="259">
        <v>25279</v>
      </c>
      <c r="AA274" s="259">
        <v>65364</v>
      </c>
      <c r="AB274" s="259">
        <v>75590</v>
      </c>
      <c r="AC274" s="259">
        <v>33108</v>
      </c>
      <c r="AD274" s="259">
        <v>33192</v>
      </c>
      <c r="AE274" s="259">
        <v>63324</v>
      </c>
      <c r="AF274" s="259">
        <v>42373</v>
      </c>
      <c r="AG274" s="259">
        <v>56985</v>
      </c>
      <c r="AH274" s="259">
        <v>41174</v>
      </c>
      <c r="AI274" s="259">
        <v>60054</v>
      </c>
      <c r="AJ274" s="259">
        <v>47596</v>
      </c>
      <c r="AK274" s="259">
        <v>81815</v>
      </c>
      <c r="AL274" s="259">
        <v>58786</v>
      </c>
      <c r="AM274" s="259">
        <v>176505</v>
      </c>
      <c r="AN274" s="259">
        <v>93641</v>
      </c>
      <c r="AO274" s="259">
        <v>128588</v>
      </c>
      <c r="AP274" s="259">
        <v>125474</v>
      </c>
      <c r="AQ274" s="259">
        <v>158642</v>
      </c>
      <c r="AR274" s="259">
        <v>249998</v>
      </c>
      <c r="AS274" s="259">
        <v>332471</v>
      </c>
      <c r="AT274" s="259">
        <v>194666</v>
      </c>
      <c r="AU274" s="259">
        <v>395781</v>
      </c>
      <c r="AV274" s="259">
        <v>382438</v>
      </c>
      <c r="AW274" s="259">
        <v>384679</v>
      </c>
      <c r="AX274" s="259">
        <v>217536</v>
      </c>
      <c r="AY274" s="259">
        <v>281174</v>
      </c>
      <c r="AZ274" s="259">
        <v>275693</v>
      </c>
      <c r="BA274" s="259">
        <v>338514</v>
      </c>
      <c r="BB274" s="259">
        <v>0</v>
      </c>
      <c r="BC274" s="259">
        <v>0</v>
      </c>
      <c r="BD274" s="259">
        <v>729200</v>
      </c>
      <c r="BE274" s="259">
        <v>662465</v>
      </c>
      <c r="BF274" s="259">
        <v>651651</v>
      </c>
    </row>
    <row r="275" spans="1:58" x14ac:dyDescent="0.3">
      <c r="A275" s="257" t="s">
        <v>1019</v>
      </c>
      <c r="B275" s="259">
        <v>3092</v>
      </c>
      <c r="C275" s="259">
        <v>8417</v>
      </c>
      <c r="D275" s="259">
        <v>10104</v>
      </c>
      <c r="E275" s="259">
        <v>15744</v>
      </c>
      <c r="F275" s="258" t="s">
        <v>784</v>
      </c>
      <c r="G275" s="258" t="s">
        <v>784</v>
      </c>
      <c r="H275" s="258" t="s">
        <v>784</v>
      </c>
      <c r="I275" s="258" t="s">
        <v>784</v>
      </c>
      <c r="J275" s="258" t="s">
        <v>784</v>
      </c>
      <c r="K275" s="258" t="s">
        <v>784</v>
      </c>
      <c r="L275" s="258" t="s">
        <v>784</v>
      </c>
      <c r="M275" s="258" t="s">
        <v>784</v>
      </c>
      <c r="N275" s="258" t="s">
        <v>784</v>
      </c>
      <c r="O275" s="258" t="s">
        <v>784</v>
      </c>
      <c r="P275" s="258" t="s">
        <v>784</v>
      </c>
      <c r="Q275" s="258" t="s">
        <v>784</v>
      </c>
      <c r="R275" s="258" t="s">
        <v>784</v>
      </c>
      <c r="S275" s="258" t="s">
        <v>784</v>
      </c>
      <c r="T275" s="258" t="s">
        <v>784</v>
      </c>
      <c r="U275" s="258" t="s">
        <v>784</v>
      </c>
      <c r="V275" s="258" t="s">
        <v>784</v>
      </c>
      <c r="W275" s="258" t="s">
        <v>784</v>
      </c>
      <c r="X275" s="258" t="s">
        <v>784</v>
      </c>
      <c r="Y275" s="258" t="s">
        <v>784</v>
      </c>
      <c r="Z275" s="258" t="s">
        <v>784</v>
      </c>
      <c r="AA275" s="258" t="s">
        <v>784</v>
      </c>
      <c r="AB275" s="258" t="s">
        <v>784</v>
      </c>
      <c r="AC275" s="258" t="s">
        <v>784</v>
      </c>
      <c r="AD275" s="258" t="s">
        <v>784</v>
      </c>
      <c r="AE275" s="258" t="s">
        <v>784</v>
      </c>
      <c r="AF275" s="258" t="s">
        <v>784</v>
      </c>
      <c r="AG275" s="258" t="s">
        <v>784</v>
      </c>
      <c r="AH275" s="258" t="s">
        <v>784</v>
      </c>
      <c r="AI275" s="258" t="s">
        <v>784</v>
      </c>
      <c r="AJ275" s="258" t="s">
        <v>784</v>
      </c>
      <c r="AK275" s="258" t="s">
        <v>784</v>
      </c>
      <c r="AL275" s="258" t="s">
        <v>784</v>
      </c>
      <c r="AM275" s="258" t="s">
        <v>784</v>
      </c>
      <c r="AN275" s="258" t="s">
        <v>784</v>
      </c>
      <c r="AO275" s="258" t="s">
        <v>784</v>
      </c>
      <c r="AP275" s="258" t="s">
        <v>784</v>
      </c>
      <c r="AQ275" s="258" t="s">
        <v>784</v>
      </c>
      <c r="AR275" s="258" t="s">
        <v>784</v>
      </c>
      <c r="AS275" s="258" t="s">
        <v>784</v>
      </c>
      <c r="AT275" s="258" t="s">
        <v>784</v>
      </c>
      <c r="AU275" s="258" t="s">
        <v>784</v>
      </c>
      <c r="AV275" s="258" t="s">
        <v>784</v>
      </c>
      <c r="AW275" s="258" t="s">
        <v>784</v>
      </c>
      <c r="AX275" s="258" t="s">
        <v>784</v>
      </c>
      <c r="AY275" s="258" t="s">
        <v>784</v>
      </c>
      <c r="AZ275" s="258" t="s">
        <v>784</v>
      </c>
      <c r="BA275" s="258" t="s">
        <v>784</v>
      </c>
      <c r="BB275" s="258" t="s">
        <v>784</v>
      </c>
      <c r="BC275" s="258" t="s">
        <v>784</v>
      </c>
      <c r="BD275" s="258" t="s">
        <v>784</v>
      </c>
      <c r="BE275" s="258" t="s">
        <v>784</v>
      </c>
      <c r="BF275" s="258" t="s">
        <v>784</v>
      </c>
    </row>
    <row r="276" spans="1:58" x14ac:dyDescent="0.3">
      <c r="A276" s="255" t="s">
        <v>805</v>
      </c>
      <c r="B276" s="256">
        <v>61991</v>
      </c>
      <c r="C276" s="256">
        <v>90884</v>
      </c>
      <c r="D276" s="256">
        <v>155915</v>
      </c>
      <c r="E276" s="256">
        <v>225543</v>
      </c>
      <c r="F276" s="256">
        <v>249508</v>
      </c>
      <c r="G276" s="256">
        <v>391116</v>
      </c>
      <c r="H276" s="256">
        <v>3399780</v>
      </c>
      <c r="I276" s="256">
        <v>2278421</v>
      </c>
      <c r="J276" s="256">
        <v>2536506</v>
      </c>
      <c r="K276" s="256">
        <v>3778176</v>
      </c>
      <c r="L276" s="256">
        <v>2916894</v>
      </c>
      <c r="M276" s="256">
        <v>3004031</v>
      </c>
      <c r="N276" s="256">
        <v>3273538</v>
      </c>
      <c r="O276" s="256">
        <v>3272708</v>
      </c>
      <c r="P276" s="256">
        <v>3531223</v>
      </c>
      <c r="Q276" s="256">
        <v>2696792</v>
      </c>
      <c r="R276" s="256">
        <v>1132029</v>
      </c>
      <c r="S276" s="256">
        <v>1340864</v>
      </c>
      <c r="T276" s="256">
        <v>1274652</v>
      </c>
      <c r="U276" s="256">
        <v>1286526</v>
      </c>
      <c r="V276" s="256">
        <v>254902</v>
      </c>
      <c r="W276" s="256">
        <v>319953</v>
      </c>
      <c r="X276" s="256">
        <v>294062</v>
      </c>
      <c r="Y276" s="256">
        <v>342658</v>
      </c>
      <c r="Z276" s="256">
        <v>277215</v>
      </c>
      <c r="AA276" s="256">
        <v>276451</v>
      </c>
      <c r="AB276" s="256">
        <v>282336</v>
      </c>
      <c r="AC276" s="256">
        <v>302835</v>
      </c>
      <c r="AD276" s="256">
        <v>300789</v>
      </c>
      <c r="AE276" s="256">
        <v>472764</v>
      </c>
      <c r="AF276" s="256">
        <v>467629</v>
      </c>
      <c r="AG276" s="256">
        <v>455903</v>
      </c>
      <c r="AH276" s="256">
        <v>402109</v>
      </c>
      <c r="AI276" s="256">
        <v>421278</v>
      </c>
      <c r="AJ276" s="256">
        <v>474515</v>
      </c>
      <c r="AK276" s="256">
        <v>485459</v>
      </c>
      <c r="AL276" s="256">
        <v>497501</v>
      </c>
      <c r="AM276" s="256">
        <v>3657302</v>
      </c>
      <c r="AN276" s="256">
        <v>3386223</v>
      </c>
      <c r="AO276" s="256">
        <v>3457010</v>
      </c>
      <c r="AP276" s="256">
        <v>3976661</v>
      </c>
      <c r="AQ276" s="256">
        <v>5252119</v>
      </c>
      <c r="AR276" s="256">
        <v>5260513</v>
      </c>
      <c r="AS276" s="256">
        <v>5404998</v>
      </c>
      <c r="AT276" s="256">
        <v>4951418</v>
      </c>
      <c r="AU276" s="256">
        <v>5244461</v>
      </c>
      <c r="AV276" s="256">
        <v>4987285</v>
      </c>
      <c r="AW276" s="256">
        <v>5981504</v>
      </c>
      <c r="AX276" s="256">
        <v>6115121</v>
      </c>
      <c r="AY276" s="256">
        <v>6057511</v>
      </c>
      <c r="AZ276" s="256">
        <v>8317151</v>
      </c>
      <c r="BA276" s="256">
        <v>8797869</v>
      </c>
      <c r="BB276" s="256">
        <v>9699893</v>
      </c>
      <c r="BC276" s="256">
        <v>21738792</v>
      </c>
      <c r="BD276" s="256">
        <v>22327929</v>
      </c>
      <c r="BE276" s="256">
        <v>23435149</v>
      </c>
      <c r="BF276" s="256">
        <v>23016058</v>
      </c>
    </row>
    <row r="277" spans="1:58" x14ac:dyDescent="0.3">
      <c r="A277" s="257" t="s">
        <v>806</v>
      </c>
      <c r="B277" s="259">
        <v>4556</v>
      </c>
      <c r="C277" s="259">
        <v>27122</v>
      </c>
      <c r="D277" s="259">
        <v>35678</v>
      </c>
      <c r="E277" s="259">
        <v>36574</v>
      </c>
      <c r="F277" s="259">
        <v>37494</v>
      </c>
      <c r="G277" s="259">
        <v>38466</v>
      </c>
      <c r="H277" s="259">
        <v>1328191</v>
      </c>
      <c r="I277" s="259">
        <v>436</v>
      </c>
      <c r="J277" s="259">
        <v>22396</v>
      </c>
      <c r="K277" s="259">
        <v>1115284</v>
      </c>
      <c r="L277" s="259">
        <v>83039</v>
      </c>
      <c r="M277" s="259">
        <v>83314</v>
      </c>
      <c r="N277" s="259">
        <v>156265</v>
      </c>
      <c r="O277" s="259">
        <v>151983</v>
      </c>
      <c r="P277" s="259">
        <v>457803</v>
      </c>
      <c r="Q277" s="259">
        <v>461313</v>
      </c>
      <c r="R277" s="259">
        <v>4590</v>
      </c>
      <c r="S277" s="259">
        <v>4724</v>
      </c>
      <c r="T277" s="259">
        <v>4813</v>
      </c>
      <c r="U277" s="259">
        <v>4978</v>
      </c>
      <c r="V277" s="259">
        <v>5026</v>
      </c>
      <c r="W277" s="259">
        <v>5096</v>
      </c>
      <c r="X277" s="259">
        <v>23430</v>
      </c>
      <c r="Y277" s="259">
        <v>33110</v>
      </c>
      <c r="Z277" s="259">
        <v>45500</v>
      </c>
      <c r="AA277" s="259">
        <v>45828</v>
      </c>
      <c r="AB277" s="259">
        <v>45687</v>
      </c>
      <c r="AC277" s="259">
        <v>54093</v>
      </c>
      <c r="AD277" s="259">
        <v>73972</v>
      </c>
      <c r="AE277" s="259">
        <v>90007</v>
      </c>
      <c r="AF277" s="259">
        <v>99829</v>
      </c>
      <c r="AG277" s="259">
        <v>110492</v>
      </c>
      <c r="AH277" s="259">
        <v>80275</v>
      </c>
      <c r="AI277" s="259">
        <v>101931</v>
      </c>
      <c r="AJ277" s="259">
        <v>104297</v>
      </c>
      <c r="AK277" s="259">
        <v>78617</v>
      </c>
      <c r="AL277" s="259">
        <v>66266</v>
      </c>
      <c r="AM277" s="259">
        <v>71989</v>
      </c>
      <c r="AN277" s="259">
        <v>107425</v>
      </c>
      <c r="AO277" s="259">
        <v>73002</v>
      </c>
      <c r="AP277" s="259">
        <v>232542</v>
      </c>
      <c r="AQ277" s="259">
        <v>236555</v>
      </c>
      <c r="AR277" s="259">
        <v>264472</v>
      </c>
      <c r="AS277" s="259">
        <v>230786</v>
      </c>
      <c r="AT277" s="259">
        <v>265703</v>
      </c>
      <c r="AU277" s="259">
        <v>319040</v>
      </c>
      <c r="AV277" s="259">
        <v>215592</v>
      </c>
      <c r="AW277" s="259">
        <v>238970</v>
      </c>
      <c r="AX277" s="259">
        <v>397883</v>
      </c>
      <c r="AY277" s="259">
        <v>700783</v>
      </c>
      <c r="AZ277" s="259">
        <v>721759</v>
      </c>
      <c r="BA277" s="259">
        <v>521786</v>
      </c>
      <c r="BB277" s="259">
        <v>729759</v>
      </c>
      <c r="BC277" s="259">
        <v>682821</v>
      </c>
      <c r="BD277" s="259">
        <v>891997</v>
      </c>
      <c r="BE277" s="259">
        <v>558122</v>
      </c>
      <c r="BF277" s="259">
        <v>631701</v>
      </c>
    </row>
    <row r="278" spans="1:58" x14ac:dyDescent="0.3">
      <c r="A278" s="260" t="s">
        <v>1020</v>
      </c>
      <c r="B278" s="256">
        <v>0</v>
      </c>
      <c r="C278" s="256">
        <v>22566</v>
      </c>
      <c r="D278" s="256">
        <v>35678</v>
      </c>
      <c r="E278" s="256">
        <v>36574</v>
      </c>
      <c r="F278" s="261" t="s">
        <v>784</v>
      </c>
      <c r="G278" s="261" t="s">
        <v>784</v>
      </c>
      <c r="H278" s="261" t="s">
        <v>784</v>
      </c>
      <c r="I278" s="261" t="s">
        <v>784</v>
      </c>
      <c r="J278" s="261" t="s">
        <v>784</v>
      </c>
      <c r="K278" s="261" t="s">
        <v>784</v>
      </c>
      <c r="L278" s="261" t="s">
        <v>784</v>
      </c>
      <c r="M278" s="261" t="s">
        <v>784</v>
      </c>
      <c r="N278" s="261" t="s">
        <v>784</v>
      </c>
      <c r="O278" s="261" t="s">
        <v>784</v>
      </c>
      <c r="P278" s="261" t="s">
        <v>784</v>
      </c>
      <c r="Q278" s="261" t="s">
        <v>784</v>
      </c>
      <c r="R278" s="261" t="s">
        <v>784</v>
      </c>
      <c r="S278" s="261" t="s">
        <v>784</v>
      </c>
      <c r="T278" s="261" t="s">
        <v>784</v>
      </c>
      <c r="U278" s="261" t="s">
        <v>784</v>
      </c>
      <c r="V278" s="261" t="s">
        <v>784</v>
      </c>
      <c r="W278" s="261" t="s">
        <v>784</v>
      </c>
      <c r="X278" s="261" t="s">
        <v>784</v>
      </c>
      <c r="Y278" s="261" t="s">
        <v>784</v>
      </c>
      <c r="Z278" s="261" t="s">
        <v>784</v>
      </c>
      <c r="AA278" s="261" t="s">
        <v>784</v>
      </c>
      <c r="AB278" s="261" t="s">
        <v>784</v>
      </c>
      <c r="AC278" s="261" t="s">
        <v>784</v>
      </c>
      <c r="AD278" s="261" t="s">
        <v>784</v>
      </c>
      <c r="AE278" s="261" t="s">
        <v>784</v>
      </c>
      <c r="AF278" s="261" t="s">
        <v>784</v>
      </c>
      <c r="AG278" s="261" t="s">
        <v>784</v>
      </c>
      <c r="AH278" s="261" t="s">
        <v>784</v>
      </c>
      <c r="AI278" s="261" t="s">
        <v>784</v>
      </c>
      <c r="AJ278" s="261" t="s">
        <v>784</v>
      </c>
      <c r="AK278" s="261" t="s">
        <v>784</v>
      </c>
      <c r="AL278" s="261" t="s">
        <v>784</v>
      </c>
      <c r="AM278" s="261" t="s">
        <v>784</v>
      </c>
      <c r="AN278" s="261" t="s">
        <v>784</v>
      </c>
      <c r="AO278" s="261" t="s">
        <v>784</v>
      </c>
      <c r="AP278" s="261" t="s">
        <v>784</v>
      </c>
      <c r="AQ278" s="261" t="s">
        <v>784</v>
      </c>
      <c r="AR278" s="261" t="s">
        <v>784</v>
      </c>
      <c r="AS278" s="261" t="s">
        <v>784</v>
      </c>
      <c r="AT278" s="261" t="s">
        <v>784</v>
      </c>
      <c r="AU278" s="261" t="s">
        <v>784</v>
      </c>
      <c r="AV278" s="261" t="s">
        <v>784</v>
      </c>
      <c r="AW278" s="261" t="s">
        <v>784</v>
      </c>
      <c r="AX278" s="261" t="s">
        <v>784</v>
      </c>
      <c r="AY278" s="261" t="s">
        <v>784</v>
      </c>
      <c r="AZ278" s="261" t="s">
        <v>784</v>
      </c>
      <c r="BA278" s="261" t="s">
        <v>784</v>
      </c>
      <c r="BB278" s="261" t="s">
        <v>784</v>
      </c>
      <c r="BC278" s="261" t="s">
        <v>784</v>
      </c>
      <c r="BD278" s="261" t="s">
        <v>784</v>
      </c>
      <c r="BE278" s="261" t="s">
        <v>784</v>
      </c>
      <c r="BF278" s="261" t="s">
        <v>784</v>
      </c>
    </row>
    <row r="279" spans="1:58" x14ac:dyDescent="0.3">
      <c r="A279" s="260" t="s">
        <v>1021</v>
      </c>
      <c r="B279" s="256">
        <v>4556</v>
      </c>
      <c r="C279" s="256">
        <v>4556</v>
      </c>
      <c r="D279" s="256">
        <v>0</v>
      </c>
      <c r="E279" s="256">
        <v>0</v>
      </c>
      <c r="F279" s="261" t="s">
        <v>784</v>
      </c>
      <c r="G279" s="261" t="s">
        <v>784</v>
      </c>
      <c r="H279" s="261" t="s">
        <v>784</v>
      </c>
      <c r="I279" s="261" t="s">
        <v>784</v>
      </c>
      <c r="J279" s="261" t="s">
        <v>784</v>
      </c>
      <c r="K279" s="261" t="s">
        <v>784</v>
      </c>
      <c r="L279" s="261" t="s">
        <v>784</v>
      </c>
      <c r="M279" s="261" t="s">
        <v>784</v>
      </c>
      <c r="N279" s="261" t="s">
        <v>784</v>
      </c>
      <c r="O279" s="261" t="s">
        <v>784</v>
      </c>
      <c r="P279" s="261" t="s">
        <v>784</v>
      </c>
      <c r="Q279" s="261" t="s">
        <v>784</v>
      </c>
      <c r="R279" s="261" t="s">
        <v>784</v>
      </c>
      <c r="S279" s="261" t="s">
        <v>784</v>
      </c>
      <c r="T279" s="261" t="s">
        <v>784</v>
      </c>
      <c r="U279" s="261" t="s">
        <v>784</v>
      </c>
      <c r="V279" s="261" t="s">
        <v>784</v>
      </c>
      <c r="W279" s="261" t="s">
        <v>784</v>
      </c>
      <c r="X279" s="261" t="s">
        <v>784</v>
      </c>
      <c r="Y279" s="261" t="s">
        <v>784</v>
      </c>
      <c r="Z279" s="261" t="s">
        <v>784</v>
      </c>
      <c r="AA279" s="261" t="s">
        <v>784</v>
      </c>
      <c r="AB279" s="261" t="s">
        <v>784</v>
      </c>
      <c r="AC279" s="261" t="s">
        <v>784</v>
      </c>
      <c r="AD279" s="261" t="s">
        <v>784</v>
      </c>
      <c r="AE279" s="261" t="s">
        <v>784</v>
      </c>
      <c r="AF279" s="261" t="s">
        <v>784</v>
      </c>
      <c r="AG279" s="261" t="s">
        <v>784</v>
      </c>
      <c r="AH279" s="261" t="s">
        <v>784</v>
      </c>
      <c r="AI279" s="261" t="s">
        <v>784</v>
      </c>
      <c r="AJ279" s="261" t="s">
        <v>784</v>
      </c>
      <c r="AK279" s="261" t="s">
        <v>784</v>
      </c>
      <c r="AL279" s="261" t="s">
        <v>784</v>
      </c>
      <c r="AM279" s="261" t="s">
        <v>784</v>
      </c>
      <c r="AN279" s="261" t="s">
        <v>784</v>
      </c>
      <c r="AO279" s="261" t="s">
        <v>784</v>
      </c>
      <c r="AP279" s="261" t="s">
        <v>784</v>
      </c>
      <c r="AQ279" s="261" t="s">
        <v>784</v>
      </c>
      <c r="AR279" s="261" t="s">
        <v>784</v>
      </c>
      <c r="AS279" s="261" t="s">
        <v>784</v>
      </c>
      <c r="AT279" s="261" t="s">
        <v>784</v>
      </c>
      <c r="AU279" s="261" t="s">
        <v>784</v>
      </c>
      <c r="AV279" s="261" t="s">
        <v>784</v>
      </c>
      <c r="AW279" s="261" t="s">
        <v>784</v>
      </c>
      <c r="AX279" s="261" t="s">
        <v>784</v>
      </c>
      <c r="AY279" s="261" t="s">
        <v>784</v>
      </c>
      <c r="AZ279" s="261" t="s">
        <v>784</v>
      </c>
      <c r="BA279" s="261" t="s">
        <v>784</v>
      </c>
      <c r="BB279" s="261" t="s">
        <v>784</v>
      </c>
      <c r="BC279" s="261" t="s">
        <v>784</v>
      </c>
      <c r="BD279" s="261" t="s">
        <v>784</v>
      </c>
      <c r="BE279" s="261" t="s">
        <v>784</v>
      </c>
      <c r="BF279" s="261" t="s">
        <v>784</v>
      </c>
    </row>
    <row r="280" spans="1:58" x14ac:dyDescent="0.3">
      <c r="A280" s="262" t="s">
        <v>821</v>
      </c>
      <c r="B280" s="253" t="s">
        <v>784</v>
      </c>
      <c r="C280" s="254">
        <v>0</v>
      </c>
      <c r="D280" s="254">
        <v>0</v>
      </c>
      <c r="E280" s="254">
        <v>0</v>
      </c>
      <c r="F280" s="254">
        <v>0</v>
      </c>
      <c r="G280" s="254">
        <v>0</v>
      </c>
      <c r="H280" s="254">
        <v>0</v>
      </c>
      <c r="I280" s="254">
        <v>0</v>
      </c>
      <c r="J280" s="254">
        <v>0</v>
      </c>
      <c r="K280" s="254">
        <v>0</v>
      </c>
      <c r="L280" s="254">
        <v>0</v>
      </c>
      <c r="M280" s="254">
        <v>0</v>
      </c>
      <c r="N280" s="254">
        <v>0</v>
      </c>
      <c r="O280" s="254">
        <v>0</v>
      </c>
      <c r="P280" s="254">
        <v>0</v>
      </c>
      <c r="Q280" s="254">
        <v>0</v>
      </c>
      <c r="R280" s="254">
        <v>0</v>
      </c>
      <c r="S280" s="254">
        <v>0</v>
      </c>
      <c r="T280" s="254">
        <v>0</v>
      </c>
      <c r="U280" s="254">
        <v>0</v>
      </c>
      <c r="V280" s="254">
        <v>0</v>
      </c>
      <c r="W280" s="254">
        <v>0</v>
      </c>
      <c r="X280" s="254">
        <v>0</v>
      </c>
      <c r="Y280" s="254">
        <v>0</v>
      </c>
      <c r="Z280" s="254">
        <v>0</v>
      </c>
      <c r="AA280" s="254">
        <v>0</v>
      </c>
      <c r="AB280" s="254">
        <v>0</v>
      </c>
      <c r="AC280" s="254">
        <v>0</v>
      </c>
      <c r="AD280" s="254">
        <v>0</v>
      </c>
      <c r="AE280" s="254">
        <v>0</v>
      </c>
      <c r="AF280" s="254">
        <v>0</v>
      </c>
      <c r="AG280" s="254">
        <v>0</v>
      </c>
      <c r="AH280" s="254">
        <v>0</v>
      </c>
      <c r="AI280" s="254">
        <v>0</v>
      </c>
      <c r="AJ280" s="254">
        <v>0</v>
      </c>
      <c r="AK280" s="254">
        <v>0</v>
      </c>
      <c r="AL280" s="254">
        <v>0</v>
      </c>
      <c r="AM280" s="254">
        <v>0</v>
      </c>
      <c r="AN280" s="254">
        <v>0</v>
      </c>
      <c r="AO280" s="254">
        <v>0</v>
      </c>
      <c r="AP280" s="254">
        <v>0</v>
      </c>
      <c r="AQ280" s="254">
        <v>0</v>
      </c>
      <c r="AR280" s="254">
        <v>0</v>
      </c>
      <c r="AS280" s="254">
        <v>0</v>
      </c>
      <c r="AT280" s="254">
        <v>0</v>
      </c>
      <c r="AU280" s="254">
        <v>0</v>
      </c>
      <c r="AV280" s="254">
        <v>0</v>
      </c>
      <c r="AW280" s="254">
        <v>0</v>
      </c>
      <c r="AX280" s="254">
        <v>0</v>
      </c>
      <c r="AY280" s="254">
        <v>0</v>
      </c>
      <c r="AZ280" s="254">
        <v>0</v>
      </c>
      <c r="BA280" s="254">
        <v>0</v>
      </c>
      <c r="BB280" s="254">
        <v>0</v>
      </c>
      <c r="BC280" s="254">
        <v>0</v>
      </c>
      <c r="BD280" s="254">
        <v>0</v>
      </c>
      <c r="BE280" s="254">
        <v>0</v>
      </c>
      <c r="BF280" s="254">
        <v>0</v>
      </c>
    </row>
    <row r="281" spans="1:58" x14ac:dyDescent="0.3">
      <c r="A281" s="262" t="s">
        <v>822</v>
      </c>
      <c r="B281" s="253" t="s">
        <v>784</v>
      </c>
      <c r="C281" s="254">
        <v>4556</v>
      </c>
      <c r="D281" s="254">
        <v>0</v>
      </c>
      <c r="E281" s="254">
        <v>0</v>
      </c>
      <c r="F281" s="254">
        <v>0</v>
      </c>
      <c r="G281" s="254">
        <v>0</v>
      </c>
      <c r="H281" s="254">
        <v>0</v>
      </c>
      <c r="I281" s="254">
        <v>0</v>
      </c>
      <c r="J281" s="254">
        <v>0</v>
      </c>
      <c r="K281" s="254">
        <v>0</v>
      </c>
      <c r="L281" s="254">
        <v>0</v>
      </c>
      <c r="M281" s="254">
        <v>0</v>
      </c>
      <c r="N281" s="254">
        <v>0</v>
      </c>
      <c r="O281" s="254">
        <v>0</v>
      </c>
      <c r="P281" s="254">
        <v>0</v>
      </c>
      <c r="Q281" s="254">
        <v>0</v>
      </c>
      <c r="R281" s="254">
        <v>0</v>
      </c>
      <c r="S281" s="254">
        <v>0</v>
      </c>
      <c r="T281" s="254">
        <v>0</v>
      </c>
      <c r="U281" s="254">
        <v>0</v>
      </c>
      <c r="V281" s="254">
        <v>0</v>
      </c>
      <c r="W281" s="254">
        <v>0</v>
      </c>
      <c r="X281" s="254">
        <v>0</v>
      </c>
      <c r="Y281" s="254">
        <v>0</v>
      </c>
      <c r="Z281" s="254">
        <v>0</v>
      </c>
      <c r="AA281" s="254">
        <v>0</v>
      </c>
      <c r="AB281" s="254">
        <v>0</v>
      </c>
      <c r="AC281" s="254">
        <v>0</v>
      </c>
      <c r="AD281" s="254">
        <v>0</v>
      </c>
      <c r="AE281" s="254">
        <v>0</v>
      </c>
      <c r="AF281" s="254">
        <v>0</v>
      </c>
      <c r="AG281" s="254">
        <v>0</v>
      </c>
      <c r="AH281" s="254">
        <v>0</v>
      </c>
      <c r="AI281" s="254">
        <v>0</v>
      </c>
      <c r="AJ281" s="254">
        <v>0</v>
      </c>
      <c r="AK281" s="254">
        <v>0</v>
      </c>
      <c r="AL281" s="254">
        <v>0</v>
      </c>
      <c r="AM281" s="254">
        <v>0</v>
      </c>
      <c r="AN281" s="254">
        <v>0</v>
      </c>
      <c r="AO281" s="254">
        <v>0</v>
      </c>
      <c r="AP281" s="254">
        <v>0</v>
      </c>
      <c r="AQ281" s="254">
        <v>0</v>
      </c>
      <c r="AR281" s="254">
        <v>0</v>
      </c>
      <c r="AS281" s="254">
        <v>0</v>
      </c>
      <c r="AT281" s="254">
        <v>0</v>
      </c>
      <c r="AU281" s="254">
        <v>0</v>
      </c>
      <c r="AV281" s="254">
        <v>0</v>
      </c>
      <c r="AW281" s="254">
        <v>0</v>
      </c>
      <c r="AX281" s="254">
        <v>0</v>
      </c>
      <c r="AY281" s="254">
        <v>0</v>
      </c>
      <c r="AZ281" s="254">
        <v>0</v>
      </c>
      <c r="BA281" s="254">
        <v>0</v>
      </c>
      <c r="BB281" s="254">
        <v>0</v>
      </c>
      <c r="BC281" s="254">
        <v>0</v>
      </c>
      <c r="BD281" s="254">
        <v>0</v>
      </c>
      <c r="BE281" s="254">
        <v>0</v>
      </c>
      <c r="BF281" s="254">
        <v>0</v>
      </c>
    </row>
    <row r="282" spans="1:58" x14ac:dyDescent="0.3">
      <c r="A282" s="262" t="s">
        <v>1022</v>
      </c>
      <c r="B282" s="253" t="s">
        <v>784</v>
      </c>
      <c r="C282" s="254">
        <v>0</v>
      </c>
      <c r="D282" s="254">
        <v>0</v>
      </c>
      <c r="E282" s="254">
        <v>0</v>
      </c>
      <c r="F282" s="253" t="s">
        <v>784</v>
      </c>
      <c r="G282" s="253" t="s">
        <v>784</v>
      </c>
      <c r="H282" s="253" t="s">
        <v>784</v>
      </c>
      <c r="I282" s="253" t="s">
        <v>784</v>
      </c>
      <c r="J282" s="253" t="s">
        <v>784</v>
      </c>
      <c r="K282" s="253" t="s">
        <v>784</v>
      </c>
      <c r="L282" s="253" t="s">
        <v>784</v>
      </c>
      <c r="M282" s="253" t="s">
        <v>784</v>
      </c>
      <c r="N282" s="253" t="s">
        <v>784</v>
      </c>
      <c r="O282" s="253" t="s">
        <v>784</v>
      </c>
      <c r="P282" s="253" t="s">
        <v>784</v>
      </c>
      <c r="Q282" s="253" t="s">
        <v>784</v>
      </c>
      <c r="R282" s="253" t="s">
        <v>784</v>
      </c>
      <c r="S282" s="253" t="s">
        <v>784</v>
      </c>
      <c r="T282" s="253" t="s">
        <v>784</v>
      </c>
      <c r="U282" s="253" t="s">
        <v>784</v>
      </c>
      <c r="V282" s="253" t="s">
        <v>784</v>
      </c>
      <c r="W282" s="253" t="s">
        <v>784</v>
      </c>
      <c r="X282" s="253" t="s">
        <v>784</v>
      </c>
      <c r="Y282" s="253" t="s">
        <v>784</v>
      </c>
      <c r="Z282" s="253" t="s">
        <v>784</v>
      </c>
      <c r="AA282" s="253" t="s">
        <v>784</v>
      </c>
      <c r="AB282" s="253" t="s">
        <v>784</v>
      </c>
      <c r="AC282" s="253" t="s">
        <v>784</v>
      </c>
      <c r="AD282" s="253" t="s">
        <v>784</v>
      </c>
      <c r="AE282" s="253" t="s">
        <v>784</v>
      </c>
      <c r="AF282" s="253" t="s">
        <v>784</v>
      </c>
      <c r="AG282" s="253" t="s">
        <v>784</v>
      </c>
      <c r="AH282" s="253" t="s">
        <v>784</v>
      </c>
      <c r="AI282" s="253" t="s">
        <v>784</v>
      </c>
      <c r="AJ282" s="253" t="s">
        <v>784</v>
      </c>
      <c r="AK282" s="253" t="s">
        <v>784</v>
      </c>
      <c r="AL282" s="253" t="s">
        <v>784</v>
      </c>
      <c r="AM282" s="253" t="s">
        <v>784</v>
      </c>
      <c r="AN282" s="253" t="s">
        <v>784</v>
      </c>
      <c r="AO282" s="253" t="s">
        <v>784</v>
      </c>
      <c r="AP282" s="253" t="s">
        <v>784</v>
      </c>
      <c r="AQ282" s="253" t="s">
        <v>784</v>
      </c>
      <c r="AR282" s="253" t="s">
        <v>784</v>
      </c>
      <c r="AS282" s="253" t="s">
        <v>784</v>
      </c>
      <c r="AT282" s="253" t="s">
        <v>784</v>
      </c>
      <c r="AU282" s="253" t="s">
        <v>784</v>
      </c>
      <c r="AV282" s="253" t="s">
        <v>784</v>
      </c>
      <c r="AW282" s="253" t="s">
        <v>784</v>
      </c>
      <c r="AX282" s="253" t="s">
        <v>784</v>
      </c>
      <c r="AY282" s="253" t="s">
        <v>784</v>
      </c>
      <c r="AZ282" s="253" t="s">
        <v>784</v>
      </c>
      <c r="BA282" s="253" t="s">
        <v>784</v>
      </c>
      <c r="BB282" s="253" t="s">
        <v>784</v>
      </c>
      <c r="BC282" s="253" t="s">
        <v>784</v>
      </c>
      <c r="BD282" s="253" t="s">
        <v>784</v>
      </c>
      <c r="BE282" s="253" t="s">
        <v>784</v>
      </c>
      <c r="BF282" s="253" t="s">
        <v>784</v>
      </c>
    </row>
    <row r="283" spans="1:58" x14ac:dyDescent="0.3">
      <c r="A283" s="260" t="s">
        <v>1023</v>
      </c>
      <c r="B283" s="256">
        <v>0</v>
      </c>
      <c r="C283" s="256">
        <v>0</v>
      </c>
      <c r="D283" s="256">
        <v>0</v>
      </c>
      <c r="E283" s="256">
        <v>0</v>
      </c>
      <c r="F283" s="261" t="s">
        <v>784</v>
      </c>
      <c r="G283" s="261" t="s">
        <v>784</v>
      </c>
      <c r="H283" s="261" t="s">
        <v>784</v>
      </c>
      <c r="I283" s="261" t="s">
        <v>784</v>
      </c>
      <c r="J283" s="261" t="s">
        <v>784</v>
      </c>
      <c r="K283" s="261" t="s">
        <v>784</v>
      </c>
      <c r="L283" s="261" t="s">
        <v>784</v>
      </c>
      <c r="M283" s="261" t="s">
        <v>784</v>
      </c>
      <c r="N283" s="261" t="s">
        <v>784</v>
      </c>
      <c r="O283" s="261" t="s">
        <v>784</v>
      </c>
      <c r="P283" s="261" t="s">
        <v>784</v>
      </c>
      <c r="Q283" s="261" t="s">
        <v>784</v>
      </c>
      <c r="R283" s="261" t="s">
        <v>784</v>
      </c>
      <c r="S283" s="261" t="s">
        <v>784</v>
      </c>
      <c r="T283" s="261" t="s">
        <v>784</v>
      </c>
      <c r="U283" s="261" t="s">
        <v>784</v>
      </c>
      <c r="V283" s="261" t="s">
        <v>784</v>
      </c>
      <c r="W283" s="261" t="s">
        <v>784</v>
      </c>
      <c r="X283" s="261" t="s">
        <v>784</v>
      </c>
      <c r="Y283" s="261" t="s">
        <v>784</v>
      </c>
      <c r="Z283" s="261" t="s">
        <v>784</v>
      </c>
      <c r="AA283" s="261" t="s">
        <v>784</v>
      </c>
      <c r="AB283" s="261" t="s">
        <v>784</v>
      </c>
      <c r="AC283" s="261" t="s">
        <v>784</v>
      </c>
      <c r="AD283" s="261" t="s">
        <v>784</v>
      </c>
      <c r="AE283" s="261" t="s">
        <v>784</v>
      </c>
      <c r="AF283" s="261" t="s">
        <v>784</v>
      </c>
      <c r="AG283" s="261" t="s">
        <v>784</v>
      </c>
      <c r="AH283" s="261" t="s">
        <v>784</v>
      </c>
      <c r="AI283" s="261" t="s">
        <v>784</v>
      </c>
      <c r="AJ283" s="261" t="s">
        <v>784</v>
      </c>
      <c r="AK283" s="261" t="s">
        <v>784</v>
      </c>
      <c r="AL283" s="261" t="s">
        <v>784</v>
      </c>
      <c r="AM283" s="261" t="s">
        <v>784</v>
      </c>
      <c r="AN283" s="261" t="s">
        <v>784</v>
      </c>
      <c r="AO283" s="261" t="s">
        <v>784</v>
      </c>
      <c r="AP283" s="261" t="s">
        <v>784</v>
      </c>
      <c r="AQ283" s="261" t="s">
        <v>784</v>
      </c>
      <c r="AR283" s="261" t="s">
        <v>784</v>
      </c>
      <c r="AS283" s="261" t="s">
        <v>784</v>
      </c>
      <c r="AT283" s="261" t="s">
        <v>784</v>
      </c>
      <c r="AU283" s="261" t="s">
        <v>784</v>
      </c>
      <c r="AV283" s="261" t="s">
        <v>784</v>
      </c>
      <c r="AW283" s="261" t="s">
        <v>784</v>
      </c>
      <c r="AX283" s="261" t="s">
        <v>784</v>
      </c>
      <c r="AY283" s="261" t="s">
        <v>784</v>
      </c>
      <c r="AZ283" s="261" t="s">
        <v>784</v>
      </c>
      <c r="BA283" s="261" t="s">
        <v>784</v>
      </c>
      <c r="BB283" s="261" t="s">
        <v>784</v>
      </c>
      <c r="BC283" s="261" t="s">
        <v>784</v>
      </c>
      <c r="BD283" s="261" t="s">
        <v>784</v>
      </c>
      <c r="BE283" s="261" t="s">
        <v>784</v>
      </c>
      <c r="BF283" s="261" t="s">
        <v>784</v>
      </c>
    </row>
    <row r="284" spans="1:58" x14ac:dyDescent="0.3">
      <c r="A284" s="257" t="s">
        <v>1024</v>
      </c>
      <c r="B284" s="259">
        <v>57435</v>
      </c>
      <c r="C284" s="259">
        <v>63762</v>
      </c>
      <c r="D284" s="259">
        <v>120237</v>
      </c>
      <c r="E284" s="259">
        <v>188969</v>
      </c>
      <c r="F284" s="258" t="s">
        <v>784</v>
      </c>
      <c r="G284" s="258" t="s">
        <v>784</v>
      </c>
      <c r="H284" s="258" t="s">
        <v>784</v>
      </c>
      <c r="I284" s="258" t="s">
        <v>784</v>
      </c>
      <c r="J284" s="258" t="s">
        <v>784</v>
      </c>
      <c r="K284" s="258" t="s">
        <v>784</v>
      </c>
      <c r="L284" s="258" t="s">
        <v>784</v>
      </c>
      <c r="M284" s="258" t="s">
        <v>784</v>
      </c>
      <c r="N284" s="258" t="s">
        <v>784</v>
      </c>
      <c r="O284" s="258" t="s">
        <v>784</v>
      </c>
      <c r="P284" s="258" t="s">
        <v>784</v>
      </c>
      <c r="Q284" s="258" t="s">
        <v>784</v>
      </c>
      <c r="R284" s="258" t="s">
        <v>784</v>
      </c>
      <c r="S284" s="258" t="s">
        <v>784</v>
      </c>
      <c r="T284" s="258" t="s">
        <v>784</v>
      </c>
      <c r="U284" s="258" t="s">
        <v>784</v>
      </c>
      <c r="V284" s="258" t="s">
        <v>784</v>
      </c>
      <c r="W284" s="258" t="s">
        <v>784</v>
      </c>
      <c r="X284" s="258" t="s">
        <v>784</v>
      </c>
      <c r="Y284" s="258" t="s">
        <v>784</v>
      </c>
      <c r="Z284" s="258" t="s">
        <v>784</v>
      </c>
      <c r="AA284" s="258" t="s">
        <v>784</v>
      </c>
      <c r="AB284" s="258" t="s">
        <v>784</v>
      </c>
      <c r="AC284" s="258" t="s">
        <v>784</v>
      </c>
      <c r="AD284" s="258" t="s">
        <v>784</v>
      </c>
      <c r="AE284" s="258" t="s">
        <v>784</v>
      </c>
      <c r="AF284" s="258" t="s">
        <v>784</v>
      </c>
      <c r="AG284" s="258" t="s">
        <v>784</v>
      </c>
      <c r="AH284" s="258" t="s">
        <v>784</v>
      </c>
      <c r="AI284" s="258" t="s">
        <v>784</v>
      </c>
      <c r="AJ284" s="258" t="s">
        <v>784</v>
      </c>
      <c r="AK284" s="258" t="s">
        <v>784</v>
      </c>
      <c r="AL284" s="258" t="s">
        <v>784</v>
      </c>
      <c r="AM284" s="258" t="s">
        <v>784</v>
      </c>
      <c r="AN284" s="258" t="s">
        <v>784</v>
      </c>
      <c r="AO284" s="258" t="s">
        <v>784</v>
      </c>
      <c r="AP284" s="258" t="s">
        <v>784</v>
      </c>
      <c r="AQ284" s="258" t="s">
        <v>784</v>
      </c>
      <c r="AR284" s="258" t="s">
        <v>784</v>
      </c>
      <c r="AS284" s="258" t="s">
        <v>784</v>
      </c>
      <c r="AT284" s="258" t="s">
        <v>784</v>
      </c>
      <c r="AU284" s="258" t="s">
        <v>784</v>
      </c>
      <c r="AV284" s="258" t="s">
        <v>784</v>
      </c>
      <c r="AW284" s="258" t="s">
        <v>784</v>
      </c>
      <c r="AX284" s="258" t="s">
        <v>784</v>
      </c>
      <c r="AY284" s="258" t="s">
        <v>784</v>
      </c>
      <c r="AZ284" s="258" t="s">
        <v>784</v>
      </c>
      <c r="BA284" s="258" t="s">
        <v>784</v>
      </c>
      <c r="BB284" s="258" t="s">
        <v>784</v>
      </c>
      <c r="BC284" s="258" t="s">
        <v>784</v>
      </c>
      <c r="BD284" s="258" t="s">
        <v>784</v>
      </c>
      <c r="BE284" s="258" t="s">
        <v>784</v>
      </c>
      <c r="BF284" s="258" t="s">
        <v>784</v>
      </c>
    </row>
    <row r="285" spans="1:58" x14ac:dyDescent="0.3">
      <c r="A285" s="260" t="s">
        <v>829</v>
      </c>
      <c r="B285" s="256">
        <v>0</v>
      </c>
      <c r="C285" s="256">
        <v>0</v>
      </c>
      <c r="D285" s="256">
        <v>0</v>
      </c>
      <c r="E285" s="256">
        <v>0</v>
      </c>
      <c r="F285" s="256">
        <v>0</v>
      </c>
      <c r="G285" s="256">
        <v>0</v>
      </c>
      <c r="H285" s="256">
        <v>0</v>
      </c>
      <c r="I285" s="256">
        <v>0</v>
      </c>
      <c r="J285" s="256">
        <v>0</v>
      </c>
      <c r="K285" s="256">
        <v>0</v>
      </c>
      <c r="L285" s="256">
        <v>0</v>
      </c>
      <c r="M285" s="256">
        <v>0</v>
      </c>
      <c r="N285" s="256">
        <v>0</v>
      </c>
      <c r="O285" s="256">
        <v>0</v>
      </c>
      <c r="P285" s="256">
        <v>0</v>
      </c>
      <c r="Q285" s="256">
        <v>0</v>
      </c>
      <c r="R285" s="256">
        <v>0</v>
      </c>
      <c r="S285" s="256">
        <v>0</v>
      </c>
      <c r="T285" s="256">
        <v>0</v>
      </c>
      <c r="U285" s="256">
        <v>0</v>
      </c>
      <c r="V285" s="256">
        <v>0</v>
      </c>
      <c r="W285" s="256">
        <v>0</v>
      </c>
      <c r="X285" s="256">
        <v>0</v>
      </c>
      <c r="Y285" s="256">
        <v>0</v>
      </c>
      <c r="Z285" s="256">
        <v>0</v>
      </c>
      <c r="AA285" s="256">
        <v>0</v>
      </c>
      <c r="AB285" s="256">
        <v>0</v>
      </c>
      <c r="AC285" s="256">
        <v>0</v>
      </c>
      <c r="AD285" s="256">
        <v>0</v>
      </c>
      <c r="AE285" s="256">
        <v>0</v>
      </c>
      <c r="AF285" s="256">
        <v>0</v>
      </c>
      <c r="AG285" s="256">
        <v>0</v>
      </c>
      <c r="AH285" s="256">
        <v>0</v>
      </c>
      <c r="AI285" s="256">
        <v>0</v>
      </c>
      <c r="AJ285" s="256">
        <v>0</v>
      </c>
      <c r="AK285" s="256">
        <v>0</v>
      </c>
      <c r="AL285" s="256">
        <v>0</v>
      </c>
      <c r="AM285" s="256">
        <v>0</v>
      </c>
      <c r="AN285" s="256">
        <v>0</v>
      </c>
      <c r="AO285" s="256">
        <v>0</v>
      </c>
      <c r="AP285" s="256">
        <v>0</v>
      </c>
      <c r="AQ285" s="256">
        <v>0</v>
      </c>
      <c r="AR285" s="256">
        <v>0</v>
      </c>
      <c r="AS285" s="256">
        <v>0</v>
      </c>
      <c r="AT285" s="256">
        <v>0</v>
      </c>
      <c r="AU285" s="256">
        <v>0</v>
      </c>
      <c r="AV285" s="256">
        <v>0</v>
      </c>
      <c r="AW285" s="256">
        <v>0</v>
      </c>
      <c r="AX285" s="256">
        <v>0</v>
      </c>
      <c r="AY285" s="256">
        <v>0</v>
      </c>
      <c r="AZ285" s="256">
        <v>0</v>
      </c>
      <c r="BA285" s="256">
        <v>0</v>
      </c>
      <c r="BB285" s="256">
        <v>0</v>
      </c>
      <c r="BC285" s="256">
        <v>0</v>
      </c>
      <c r="BD285" s="256">
        <v>0</v>
      </c>
      <c r="BE285" s="256">
        <v>0</v>
      </c>
      <c r="BF285" s="256">
        <v>0</v>
      </c>
    </row>
    <row r="286" spans="1:58" x14ac:dyDescent="0.3">
      <c r="A286" s="262" t="s">
        <v>1025</v>
      </c>
      <c r="B286" s="254">
        <v>0</v>
      </c>
      <c r="C286" s="254">
        <v>0</v>
      </c>
      <c r="D286" s="254">
        <v>0</v>
      </c>
      <c r="E286" s="254">
        <v>0</v>
      </c>
      <c r="F286" s="254">
        <v>0</v>
      </c>
      <c r="G286" s="254">
        <v>0</v>
      </c>
      <c r="H286" s="254">
        <v>0</v>
      </c>
      <c r="I286" s="254">
        <v>0</v>
      </c>
      <c r="J286" s="254">
        <v>0</v>
      </c>
      <c r="K286" s="254">
        <v>0</v>
      </c>
      <c r="L286" s="254">
        <v>0</v>
      </c>
      <c r="M286" s="254">
        <v>0</v>
      </c>
      <c r="N286" s="254">
        <v>0</v>
      </c>
      <c r="O286" s="254">
        <v>0</v>
      </c>
      <c r="P286" s="254">
        <v>0</v>
      </c>
      <c r="Q286" s="254">
        <v>0</v>
      </c>
      <c r="R286" s="254">
        <v>0</v>
      </c>
      <c r="S286" s="254">
        <v>0</v>
      </c>
      <c r="T286" s="254">
        <v>0</v>
      </c>
      <c r="U286" s="254">
        <v>0</v>
      </c>
      <c r="V286" s="254">
        <v>0</v>
      </c>
      <c r="W286" s="254">
        <v>0</v>
      </c>
      <c r="X286" s="254">
        <v>0</v>
      </c>
      <c r="Y286" s="254">
        <v>0</v>
      </c>
      <c r="Z286" s="254">
        <v>0</v>
      </c>
      <c r="AA286" s="254">
        <v>0</v>
      </c>
      <c r="AB286" s="254">
        <v>0</v>
      </c>
      <c r="AC286" s="254">
        <v>0</v>
      </c>
      <c r="AD286" s="254">
        <v>0</v>
      </c>
      <c r="AE286" s="254">
        <v>0</v>
      </c>
      <c r="AF286" s="254">
        <v>0</v>
      </c>
      <c r="AG286" s="254">
        <v>0</v>
      </c>
      <c r="AH286" s="254">
        <v>0</v>
      </c>
      <c r="AI286" s="254">
        <v>0</v>
      </c>
      <c r="AJ286" s="254">
        <v>0</v>
      </c>
      <c r="AK286" s="254">
        <v>0</v>
      </c>
      <c r="AL286" s="254">
        <v>0</v>
      </c>
      <c r="AM286" s="254">
        <v>0</v>
      </c>
      <c r="AN286" s="254">
        <v>0</v>
      </c>
      <c r="AO286" s="254">
        <v>0</v>
      </c>
      <c r="AP286" s="254">
        <v>0</v>
      </c>
      <c r="AQ286" s="254">
        <v>0</v>
      </c>
      <c r="AR286" s="254">
        <v>0</v>
      </c>
      <c r="AS286" s="254">
        <v>0</v>
      </c>
      <c r="AT286" s="254">
        <v>0</v>
      </c>
      <c r="AU286" s="254">
        <v>0</v>
      </c>
      <c r="AV286" s="254">
        <v>0</v>
      </c>
      <c r="AW286" s="254">
        <v>0</v>
      </c>
      <c r="AX286" s="254">
        <v>0</v>
      </c>
      <c r="AY286" s="254">
        <v>0</v>
      </c>
      <c r="AZ286" s="254">
        <v>0</v>
      </c>
      <c r="BA286" s="254">
        <v>0</v>
      </c>
      <c r="BB286" s="254">
        <v>0</v>
      </c>
      <c r="BC286" s="254">
        <v>0</v>
      </c>
      <c r="BD286" s="254">
        <v>0</v>
      </c>
      <c r="BE286" s="254">
        <v>0</v>
      </c>
      <c r="BF286" s="254">
        <v>0</v>
      </c>
    </row>
    <row r="287" spans="1:58" x14ac:dyDescent="0.3">
      <c r="A287" s="262" t="s">
        <v>1026</v>
      </c>
      <c r="B287" s="254">
        <v>0</v>
      </c>
      <c r="C287" s="254">
        <v>0</v>
      </c>
      <c r="D287" s="254">
        <v>0</v>
      </c>
      <c r="E287" s="254">
        <v>0</v>
      </c>
      <c r="F287" s="254">
        <v>0</v>
      </c>
      <c r="G287" s="254">
        <v>0</v>
      </c>
      <c r="H287" s="254">
        <v>0</v>
      </c>
      <c r="I287" s="254">
        <v>0</v>
      </c>
      <c r="J287" s="254">
        <v>0</v>
      </c>
      <c r="K287" s="254">
        <v>0</v>
      </c>
      <c r="L287" s="254">
        <v>0</v>
      </c>
      <c r="M287" s="254">
        <v>0</v>
      </c>
      <c r="N287" s="254">
        <v>0</v>
      </c>
      <c r="O287" s="254">
        <v>0</v>
      </c>
      <c r="P287" s="254">
        <v>0</v>
      </c>
      <c r="Q287" s="254">
        <v>0</v>
      </c>
      <c r="R287" s="254">
        <v>0</v>
      </c>
      <c r="S287" s="254">
        <v>0</v>
      </c>
      <c r="T287" s="254">
        <v>0</v>
      </c>
      <c r="U287" s="254">
        <v>0</v>
      </c>
      <c r="V287" s="254">
        <v>0</v>
      </c>
      <c r="W287" s="254">
        <v>0</v>
      </c>
      <c r="X287" s="254">
        <v>0</v>
      </c>
      <c r="Y287" s="254">
        <v>0</v>
      </c>
      <c r="Z287" s="254">
        <v>0</v>
      </c>
      <c r="AA287" s="254">
        <v>0</v>
      </c>
      <c r="AB287" s="254">
        <v>0</v>
      </c>
      <c r="AC287" s="254">
        <v>0</v>
      </c>
      <c r="AD287" s="254">
        <v>0</v>
      </c>
      <c r="AE287" s="254">
        <v>0</v>
      </c>
      <c r="AF287" s="254">
        <v>0</v>
      </c>
      <c r="AG287" s="254">
        <v>0</v>
      </c>
      <c r="AH287" s="254">
        <v>0</v>
      </c>
      <c r="AI287" s="254">
        <v>0</v>
      </c>
      <c r="AJ287" s="254">
        <v>0</v>
      </c>
      <c r="AK287" s="254">
        <v>0</v>
      </c>
      <c r="AL287" s="254">
        <v>0</v>
      </c>
      <c r="AM287" s="254">
        <v>0</v>
      </c>
      <c r="AN287" s="254">
        <v>0</v>
      </c>
      <c r="AO287" s="254">
        <v>0</v>
      </c>
      <c r="AP287" s="254">
        <v>0</v>
      </c>
      <c r="AQ287" s="254">
        <v>0</v>
      </c>
      <c r="AR287" s="254">
        <v>0</v>
      </c>
      <c r="AS287" s="254">
        <v>0</v>
      </c>
      <c r="AT287" s="254">
        <v>0</v>
      </c>
      <c r="AU287" s="254">
        <v>0</v>
      </c>
      <c r="AV287" s="254">
        <v>0</v>
      </c>
      <c r="AW287" s="254">
        <v>0</v>
      </c>
      <c r="AX287" s="254">
        <v>0</v>
      </c>
      <c r="AY287" s="254">
        <v>0</v>
      </c>
      <c r="AZ287" s="254">
        <v>0</v>
      </c>
      <c r="BA287" s="254">
        <v>0</v>
      </c>
      <c r="BB287" s="254">
        <v>0</v>
      </c>
      <c r="BC287" s="254">
        <v>0</v>
      </c>
      <c r="BD287" s="254">
        <v>0</v>
      </c>
      <c r="BE287" s="254">
        <v>0</v>
      </c>
      <c r="BF287" s="254">
        <v>0</v>
      </c>
    </row>
    <row r="288" spans="1:58" x14ac:dyDescent="0.3">
      <c r="A288" s="262" t="s">
        <v>1027</v>
      </c>
      <c r="B288" s="254">
        <v>0</v>
      </c>
      <c r="C288" s="254">
        <v>0</v>
      </c>
      <c r="D288" s="254">
        <v>0</v>
      </c>
      <c r="E288" s="254">
        <v>0</v>
      </c>
      <c r="F288" s="254">
        <v>0</v>
      </c>
      <c r="G288" s="254">
        <v>0</v>
      </c>
      <c r="H288" s="254">
        <v>0</v>
      </c>
      <c r="I288" s="254">
        <v>0</v>
      </c>
      <c r="J288" s="254">
        <v>0</v>
      </c>
      <c r="K288" s="254">
        <v>0</v>
      </c>
      <c r="L288" s="254">
        <v>0</v>
      </c>
      <c r="M288" s="254">
        <v>0</v>
      </c>
      <c r="N288" s="254">
        <v>0</v>
      </c>
      <c r="O288" s="254">
        <v>0</v>
      </c>
      <c r="P288" s="254">
        <v>0</v>
      </c>
      <c r="Q288" s="254">
        <v>0</v>
      </c>
      <c r="R288" s="254">
        <v>0</v>
      </c>
      <c r="S288" s="254">
        <v>0</v>
      </c>
      <c r="T288" s="254">
        <v>0</v>
      </c>
      <c r="U288" s="254">
        <v>0</v>
      </c>
      <c r="V288" s="254">
        <v>0</v>
      </c>
      <c r="W288" s="254">
        <v>0</v>
      </c>
      <c r="X288" s="254">
        <v>0</v>
      </c>
      <c r="Y288" s="254">
        <v>0</v>
      </c>
      <c r="Z288" s="254">
        <v>0</v>
      </c>
      <c r="AA288" s="254">
        <v>0</v>
      </c>
      <c r="AB288" s="254">
        <v>0</v>
      </c>
      <c r="AC288" s="254">
        <v>0</v>
      </c>
      <c r="AD288" s="254">
        <v>0</v>
      </c>
      <c r="AE288" s="254">
        <v>0</v>
      </c>
      <c r="AF288" s="254">
        <v>0</v>
      </c>
      <c r="AG288" s="254">
        <v>0</v>
      </c>
      <c r="AH288" s="254">
        <v>0</v>
      </c>
      <c r="AI288" s="254">
        <v>0</v>
      </c>
      <c r="AJ288" s="254">
        <v>0</v>
      </c>
      <c r="AK288" s="254">
        <v>0</v>
      </c>
      <c r="AL288" s="254">
        <v>0</v>
      </c>
      <c r="AM288" s="254">
        <v>0</v>
      </c>
      <c r="AN288" s="254">
        <v>0</v>
      </c>
      <c r="AO288" s="254">
        <v>0</v>
      </c>
      <c r="AP288" s="254">
        <v>0</v>
      </c>
      <c r="AQ288" s="254">
        <v>0</v>
      </c>
      <c r="AR288" s="254">
        <v>0</v>
      </c>
      <c r="AS288" s="254">
        <v>0</v>
      </c>
      <c r="AT288" s="254">
        <v>0</v>
      </c>
      <c r="AU288" s="254">
        <v>0</v>
      </c>
      <c r="AV288" s="254">
        <v>0</v>
      </c>
      <c r="AW288" s="254">
        <v>0</v>
      </c>
      <c r="AX288" s="254">
        <v>0</v>
      </c>
      <c r="AY288" s="254">
        <v>0</v>
      </c>
      <c r="AZ288" s="254">
        <v>0</v>
      </c>
      <c r="BA288" s="254">
        <v>0</v>
      </c>
      <c r="BB288" s="254">
        <v>0</v>
      </c>
      <c r="BC288" s="254">
        <v>0</v>
      </c>
      <c r="BD288" s="254">
        <v>0</v>
      </c>
      <c r="BE288" s="254">
        <v>0</v>
      </c>
      <c r="BF288" s="254">
        <v>0</v>
      </c>
    </row>
    <row r="289" spans="1:58" x14ac:dyDescent="0.3">
      <c r="A289" s="262" t="s">
        <v>1028</v>
      </c>
      <c r="B289" s="254">
        <v>0</v>
      </c>
      <c r="C289" s="254">
        <v>0</v>
      </c>
      <c r="D289" s="254">
        <v>0</v>
      </c>
      <c r="E289" s="254">
        <v>0</v>
      </c>
      <c r="F289" s="254">
        <v>0</v>
      </c>
      <c r="G289" s="254">
        <v>0</v>
      </c>
      <c r="H289" s="254">
        <v>0</v>
      </c>
      <c r="I289" s="254">
        <v>0</v>
      </c>
      <c r="J289" s="254">
        <v>0</v>
      </c>
      <c r="K289" s="254">
        <v>0</v>
      </c>
      <c r="L289" s="254">
        <v>0</v>
      </c>
      <c r="M289" s="254">
        <v>0</v>
      </c>
      <c r="N289" s="254">
        <v>0</v>
      </c>
      <c r="O289" s="254">
        <v>0</v>
      </c>
      <c r="P289" s="254">
        <v>0</v>
      </c>
      <c r="Q289" s="254">
        <v>0</v>
      </c>
      <c r="R289" s="254">
        <v>0</v>
      </c>
      <c r="S289" s="254">
        <v>0</v>
      </c>
      <c r="T289" s="254">
        <v>0</v>
      </c>
      <c r="U289" s="254">
        <v>0</v>
      </c>
      <c r="V289" s="254">
        <v>0</v>
      </c>
      <c r="W289" s="254">
        <v>0</v>
      </c>
      <c r="X289" s="254">
        <v>0</v>
      </c>
      <c r="Y289" s="254">
        <v>0</v>
      </c>
      <c r="Z289" s="254">
        <v>0</v>
      </c>
      <c r="AA289" s="254">
        <v>0</v>
      </c>
      <c r="AB289" s="254">
        <v>0</v>
      </c>
      <c r="AC289" s="254">
        <v>0</v>
      </c>
      <c r="AD289" s="254">
        <v>0</v>
      </c>
      <c r="AE289" s="254">
        <v>0</v>
      </c>
      <c r="AF289" s="254">
        <v>0</v>
      </c>
      <c r="AG289" s="254">
        <v>0</v>
      </c>
      <c r="AH289" s="254">
        <v>0</v>
      </c>
      <c r="AI289" s="254">
        <v>0</v>
      </c>
      <c r="AJ289" s="254">
        <v>0</v>
      </c>
      <c r="AK289" s="254">
        <v>0</v>
      </c>
      <c r="AL289" s="254">
        <v>0</v>
      </c>
      <c r="AM289" s="254">
        <v>0</v>
      </c>
      <c r="AN289" s="254">
        <v>0</v>
      </c>
      <c r="AO289" s="254">
        <v>0</v>
      </c>
      <c r="AP289" s="254">
        <v>0</v>
      </c>
      <c r="AQ289" s="254">
        <v>0</v>
      </c>
      <c r="AR289" s="254">
        <v>0</v>
      </c>
      <c r="AS289" s="254">
        <v>0</v>
      </c>
      <c r="AT289" s="254">
        <v>0</v>
      </c>
      <c r="AU289" s="254">
        <v>0</v>
      </c>
      <c r="AV289" s="254">
        <v>0</v>
      </c>
      <c r="AW289" s="254">
        <v>0</v>
      </c>
      <c r="AX289" s="254">
        <v>0</v>
      </c>
      <c r="AY289" s="254">
        <v>0</v>
      </c>
      <c r="AZ289" s="254">
        <v>0</v>
      </c>
      <c r="BA289" s="254">
        <v>0</v>
      </c>
      <c r="BB289" s="254">
        <v>0</v>
      </c>
      <c r="BC289" s="254">
        <v>0</v>
      </c>
      <c r="BD289" s="254">
        <v>0</v>
      </c>
      <c r="BE289" s="254">
        <v>0</v>
      </c>
      <c r="BF289" s="254">
        <v>0</v>
      </c>
    </row>
    <row r="290" spans="1:58" x14ac:dyDescent="0.3">
      <c r="A290" s="262" t="s">
        <v>1029</v>
      </c>
      <c r="B290" s="254">
        <v>0</v>
      </c>
      <c r="C290" s="254">
        <v>0</v>
      </c>
      <c r="D290" s="254">
        <v>0</v>
      </c>
      <c r="E290" s="254">
        <v>0</v>
      </c>
      <c r="F290" s="254">
        <v>0</v>
      </c>
      <c r="G290" s="254">
        <v>0</v>
      </c>
      <c r="H290" s="254">
        <v>0</v>
      </c>
      <c r="I290" s="254">
        <v>0</v>
      </c>
      <c r="J290" s="254">
        <v>0</v>
      </c>
      <c r="K290" s="254">
        <v>0</v>
      </c>
      <c r="L290" s="254">
        <v>0</v>
      </c>
      <c r="M290" s="254">
        <v>0</v>
      </c>
      <c r="N290" s="254">
        <v>0</v>
      </c>
      <c r="O290" s="254">
        <v>0</v>
      </c>
      <c r="P290" s="254">
        <v>0</v>
      </c>
      <c r="Q290" s="254">
        <v>0</v>
      </c>
      <c r="R290" s="254">
        <v>0</v>
      </c>
      <c r="S290" s="254">
        <v>0</v>
      </c>
      <c r="T290" s="254">
        <v>0</v>
      </c>
      <c r="U290" s="254">
        <v>0</v>
      </c>
      <c r="V290" s="254">
        <v>0</v>
      </c>
      <c r="W290" s="254">
        <v>0</v>
      </c>
      <c r="X290" s="254">
        <v>0</v>
      </c>
      <c r="Y290" s="254">
        <v>0</v>
      </c>
      <c r="Z290" s="254">
        <v>0</v>
      </c>
      <c r="AA290" s="254">
        <v>0</v>
      </c>
      <c r="AB290" s="254">
        <v>0</v>
      </c>
      <c r="AC290" s="254">
        <v>0</v>
      </c>
      <c r="AD290" s="254">
        <v>0</v>
      </c>
      <c r="AE290" s="254">
        <v>0</v>
      </c>
      <c r="AF290" s="254">
        <v>0</v>
      </c>
      <c r="AG290" s="254">
        <v>0</v>
      </c>
      <c r="AH290" s="254">
        <v>0</v>
      </c>
      <c r="AI290" s="254">
        <v>0</v>
      </c>
      <c r="AJ290" s="254">
        <v>0</v>
      </c>
      <c r="AK290" s="254">
        <v>0</v>
      </c>
      <c r="AL290" s="254">
        <v>0</v>
      </c>
      <c r="AM290" s="254">
        <v>0</v>
      </c>
      <c r="AN290" s="254">
        <v>0</v>
      </c>
      <c r="AO290" s="254">
        <v>0</v>
      </c>
      <c r="AP290" s="254">
        <v>0</v>
      </c>
      <c r="AQ290" s="254">
        <v>0</v>
      </c>
      <c r="AR290" s="254">
        <v>0</v>
      </c>
      <c r="AS290" s="254">
        <v>0</v>
      </c>
      <c r="AT290" s="254">
        <v>0</v>
      </c>
      <c r="AU290" s="254">
        <v>0</v>
      </c>
      <c r="AV290" s="254">
        <v>0</v>
      </c>
      <c r="AW290" s="254">
        <v>0</v>
      </c>
      <c r="AX290" s="254">
        <v>0</v>
      </c>
      <c r="AY290" s="254">
        <v>0</v>
      </c>
      <c r="AZ290" s="254">
        <v>0</v>
      </c>
      <c r="BA290" s="254">
        <v>0</v>
      </c>
      <c r="BB290" s="254">
        <v>0</v>
      </c>
      <c r="BC290" s="254">
        <v>0</v>
      </c>
      <c r="BD290" s="254">
        <v>0</v>
      </c>
      <c r="BE290" s="254">
        <v>0</v>
      </c>
      <c r="BF290" s="254">
        <v>0</v>
      </c>
    </row>
    <row r="291" spans="1:58" x14ac:dyDescent="0.3">
      <c r="A291" s="262" t="s">
        <v>790</v>
      </c>
      <c r="B291" s="254">
        <v>0</v>
      </c>
      <c r="C291" s="254">
        <v>0</v>
      </c>
      <c r="D291" s="254">
        <v>0</v>
      </c>
      <c r="E291" s="254">
        <v>0</v>
      </c>
      <c r="F291" s="254">
        <v>0</v>
      </c>
      <c r="G291" s="254">
        <v>0</v>
      </c>
      <c r="H291" s="254">
        <v>0</v>
      </c>
      <c r="I291" s="254">
        <v>0</v>
      </c>
      <c r="J291" s="254">
        <v>0</v>
      </c>
      <c r="K291" s="254">
        <v>0</v>
      </c>
      <c r="L291" s="254">
        <v>0</v>
      </c>
      <c r="M291" s="254">
        <v>0</v>
      </c>
      <c r="N291" s="254">
        <v>0</v>
      </c>
      <c r="O291" s="254">
        <v>0</v>
      </c>
      <c r="P291" s="254">
        <v>0</v>
      </c>
      <c r="Q291" s="254">
        <v>0</v>
      </c>
      <c r="R291" s="254">
        <v>0</v>
      </c>
      <c r="S291" s="254">
        <v>0</v>
      </c>
      <c r="T291" s="254">
        <v>0</v>
      </c>
      <c r="U291" s="254">
        <v>0</v>
      </c>
      <c r="V291" s="254">
        <v>0</v>
      </c>
      <c r="W291" s="254">
        <v>0</v>
      </c>
      <c r="X291" s="254">
        <v>0</v>
      </c>
      <c r="Y291" s="254">
        <v>0</v>
      </c>
      <c r="Z291" s="254">
        <v>0</v>
      </c>
      <c r="AA291" s="254">
        <v>0</v>
      </c>
      <c r="AB291" s="254">
        <v>0</v>
      </c>
      <c r="AC291" s="254">
        <v>0</v>
      </c>
      <c r="AD291" s="254">
        <v>0</v>
      </c>
      <c r="AE291" s="254">
        <v>0</v>
      </c>
      <c r="AF291" s="254">
        <v>0</v>
      </c>
      <c r="AG291" s="254">
        <v>0</v>
      </c>
      <c r="AH291" s="254">
        <v>0</v>
      </c>
      <c r="AI291" s="254">
        <v>0</v>
      </c>
      <c r="AJ291" s="254">
        <v>0</v>
      </c>
      <c r="AK291" s="254">
        <v>0</v>
      </c>
      <c r="AL291" s="254">
        <v>0</v>
      </c>
      <c r="AM291" s="254">
        <v>0</v>
      </c>
      <c r="AN291" s="254">
        <v>0</v>
      </c>
      <c r="AO291" s="254">
        <v>0</v>
      </c>
      <c r="AP291" s="254">
        <v>0</v>
      </c>
      <c r="AQ291" s="254">
        <v>0</v>
      </c>
      <c r="AR291" s="254">
        <v>0</v>
      </c>
      <c r="AS291" s="254">
        <v>0</v>
      </c>
      <c r="AT291" s="254">
        <v>0</v>
      </c>
      <c r="AU291" s="254">
        <v>0</v>
      </c>
      <c r="AV291" s="254">
        <v>0</v>
      </c>
      <c r="AW291" s="254">
        <v>0</v>
      </c>
      <c r="AX291" s="254">
        <v>0</v>
      </c>
      <c r="AY291" s="254">
        <v>0</v>
      </c>
      <c r="AZ291" s="254">
        <v>0</v>
      </c>
      <c r="BA291" s="254">
        <v>0</v>
      </c>
      <c r="BB291" s="254">
        <v>0</v>
      </c>
      <c r="BC291" s="254">
        <v>0</v>
      </c>
      <c r="BD291" s="254">
        <v>0</v>
      </c>
      <c r="BE291" s="254">
        <v>0</v>
      </c>
      <c r="BF291" s="254">
        <v>0</v>
      </c>
    </row>
    <row r="292" spans="1:58" x14ac:dyDescent="0.3">
      <c r="A292" s="260" t="s">
        <v>835</v>
      </c>
      <c r="B292" s="256">
        <v>4485</v>
      </c>
      <c r="C292" s="256">
        <v>6451</v>
      </c>
      <c r="D292" s="256">
        <v>7530</v>
      </c>
      <c r="E292" s="256">
        <v>16413</v>
      </c>
      <c r="F292" s="256">
        <v>38413</v>
      </c>
      <c r="G292" s="256">
        <v>100963</v>
      </c>
      <c r="H292" s="256">
        <v>160599</v>
      </c>
      <c r="I292" s="256">
        <v>189024</v>
      </c>
      <c r="J292" s="256">
        <v>323268</v>
      </c>
      <c r="K292" s="256">
        <v>339759</v>
      </c>
      <c r="L292" s="256">
        <v>385398</v>
      </c>
      <c r="M292" s="256">
        <v>386158</v>
      </c>
      <c r="N292" s="256">
        <v>393862</v>
      </c>
      <c r="O292" s="256">
        <v>283513</v>
      </c>
      <c r="P292" s="256">
        <v>280288</v>
      </c>
      <c r="Q292" s="256">
        <v>139949</v>
      </c>
      <c r="R292" s="256">
        <v>139124</v>
      </c>
      <c r="S292" s="256">
        <v>135211</v>
      </c>
      <c r="T292" s="256">
        <v>143714</v>
      </c>
      <c r="U292" s="256">
        <v>138041</v>
      </c>
      <c r="V292" s="256">
        <v>72925</v>
      </c>
      <c r="W292" s="256">
        <v>75155</v>
      </c>
      <c r="X292" s="256">
        <v>57364</v>
      </c>
      <c r="Y292" s="256">
        <v>60659</v>
      </c>
      <c r="Z292" s="256">
        <v>69949</v>
      </c>
      <c r="AA292" s="256">
        <v>58834</v>
      </c>
      <c r="AB292" s="256">
        <v>48051</v>
      </c>
      <c r="AC292" s="256">
        <v>48938</v>
      </c>
      <c r="AD292" s="256">
        <v>44234</v>
      </c>
      <c r="AE292" s="256">
        <v>78903</v>
      </c>
      <c r="AF292" s="256">
        <v>75661</v>
      </c>
      <c r="AG292" s="256">
        <v>68863</v>
      </c>
      <c r="AH292" s="256">
        <v>61286</v>
      </c>
      <c r="AI292" s="256">
        <v>58108</v>
      </c>
      <c r="AJ292" s="256">
        <v>60786</v>
      </c>
      <c r="AK292" s="256">
        <v>60338</v>
      </c>
      <c r="AL292" s="256">
        <v>45292</v>
      </c>
      <c r="AM292" s="256">
        <v>2581943</v>
      </c>
      <c r="AN292" s="256">
        <v>2522010</v>
      </c>
      <c r="AO292" s="256">
        <v>2775232</v>
      </c>
      <c r="AP292" s="256">
        <v>3054590</v>
      </c>
      <c r="AQ292" s="256">
        <v>4205678</v>
      </c>
      <c r="AR292" s="256">
        <v>4184993</v>
      </c>
      <c r="AS292" s="256">
        <v>4083757</v>
      </c>
      <c r="AT292" s="256">
        <v>3728849</v>
      </c>
      <c r="AU292" s="256">
        <v>3797797</v>
      </c>
      <c r="AV292" s="256">
        <v>3755678</v>
      </c>
      <c r="AW292" s="256">
        <v>3954371</v>
      </c>
      <c r="AX292" s="256">
        <v>3974912</v>
      </c>
      <c r="AY292" s="256">
        <v>3885005</v>
      </c>
      <c r="AZ292" s="256">
        <v>4503345</v>
      </c>
      <c r="BA292" s="256">
        <v>5142861</v>
      </c>
      <c r="BB292" s="256">
        <v>6136179</v>
      </c>
      <c r="BC292" s="256">
        <v>8618891</v>
      </c>
      <c r="BD292" s="256">
        <v>9348608</v>
      </c>
      <c r="BE292" s="256">
        <v>10653010</v>
      </c>
      <c r="BF292" s="256">
        <v>11469479</v>
      </c>
    </row>
    <row r="293" spans="1:58" x14ac:dyDescent="0.3">
      <c r="A293" s="260" t="s">
        <v>1030</v>
      </c>
      <c r="B293" s="256">
        <v>52950</v>
      </c>
      <c r="C293" s="256">
        <v>57311</v>
      </c>
      <c r="D293" s="256">
        <v>112707</v>
      </c>
      <c r="E293" s="256">
        <v>172556</v>
      </c>
      <c r="F293" s="261" t="s">
        <v>784</v>
      </c>
      <c r="G293" s="261" t="s">
        <v>784</v>
      </c>
      <c r="H293" s="261" t="s">
        <v>784</v>
      </c>
      <c r="I293" s="261" t="s">
        <v>784</v>
      </c>
      <c r="J293" s="261" t="s">
        <v>784</v>
      </c>
      <c r="K293" s="261" t="s">
        <v>784</v>
      </c>
      <c r="L293" s="261" t="s">
        <v>784</v>
      </c>
      <c r="M293" s="261" t="s">
        <v>784</v>
      </c>
      <c r="N293" s="261" t="s">
        <v>784</v>
      </c>
      <c r="O293" s="261" t="s">
        <v>784</v>
      </c>
      <c r="P293" s="261" t="s">
        <v>784</v>
      </c>
      <c r="Q293" s="261" t="s">
        <v>784</v>
      </c>
      <c r="R293" s="261" t="s">
        <v>784</v>
      </c>
      <c r="S293" s="261" t="s">
        <v>784</v>
      </c>
      <c r="T293" s="261" t="s">
        <v>784</v>
      </c>
      <c r="U293" s="261" t="s">
        <v>784</v>
      </c>
      <c r="V293" s="261" t="s">
        <v>784</v>
      </c>
      <c r="W293" s="261" t="s">
        <v>784</v>
      </c>
      <c r="X293" s="261" t="s">
        <v>784</v>
      </c>
      <c r="Y293" s="261" t="s">
        <v>784</v>
      </c>
      <c r="Z293" s="261" t="s">
        <v>784</v>
      </c>
      <c r="AA293" s="261" t="s">
        <v>784</v>
      </c>
      <c r="AB293" s="261" t="s">
        <v>784</v>
      </c>
      <c r="AC293" s="261" t="s">
        <v>784</v>
      </c>
      <c r="AD293" s="261" t="s">
        <v>784</v>
      </c>
      <c r="AE293" s="261" t="s">
        <v>784</v>
      </c>
      <c r="AF293" s="261" t="s">
        <v>784</v>
      </c>
      <c r="AG293" s="261" t="s">
        <v>784</v>
      </c>
      <c r="AH293" s="261" t="s">
        <v>784</v>
      </c>
      <c r="AI293" s="261" t="s">
        <v>784</v>
      </c>
      <c r="AJ293" s="261" t="s">
        <v>784</v>
      </c>
      <c r="AK293" s="261" t="s">
        <v>784</v>
      </c>
      <c r="AL293" s="261" t="s">
        <v>784</v>
      </c>
      <c r="AM293" s="261" t="s">
        <v>784</v>
      </c>
      <c r="AN293" s="261" t="s">
        <v>784</v>
      </c>
      <c r="AO293" s="261" t="s">
        <v>784</v>
      </c>
      <c r="AP293" s="261" t="s">
        <v>784</v>
      </c>
      <c r="AQ293" s="261" t="s">
        <v>784</v>
      </c>
      <c r="AR293" s="261" t="s">
        <v>784</v>
      </c>
      <c r="AS293" s="261" t="s">
        <v>784</v>
      </c>
      <c r="AT293" s="261" t="s">
        <v>784</v>
      </c>
      <c r="AU293" s="261" t="s">
        <v>784</v>
      </c>
      <c r="AV293" s="261" t="s">
        <v>784</v>
      </c>
      <c r="AW293" s="261" t="s">
        <v>784</v>
      </c>
      <c r="AX293" s="261" t="s">
        <v>784</v>
      </c>
      <c r="AY293" s="261" t="s">
        <v>784</v>
      </c>
      <c r="AZ293" s="261" t="s">
        <v>784</v>
      </c>
      <c r="BA293" s="261" t="s">
        <v>784</v>
      </c>
      <c r="BB293" s="261" t="s">
        <v>784</v>
      </c>
      <c r="BC293" s="261" t="s">
        <v>784</v>
      </c>
      <c r="BD293" s="261" t="s">
        <v>784</v>
      </c>
      <c r="BE293" s="261" t="s">
        <v>784</v>
      </c>
      <c r="BF293" s="261" t="s">
        <v>784</v>
      </c>
    </row>
    <row r="294" spans="1:58" x14ac:dyDescent="0.3">
      <c r="A294" s="260" t="s">
        <v>1031</v>
      </c>
      <c r="B294" s="256">
        <v>0</v>
      </c>
      <c r="C294" s="256">
        <v>0</v>
      </c>
      <c r="D294" s="256">
        <v>0</v>
      </c>
      <c r="E294" s="256">
        <v>0</v>
      </c>
      <c r="F294" s="256">
        <v>0</v>
      </c>
      <c r="G294" s="256">
        <v>0</v>
      </c>
      <c r="H294" s="256">
        <v>0</v>
      </c>
      <c r="I294" s="256">
        <v>0</v>
      </c>
      <c r="J294" s="256">
        <v>0</v>
      </c>
      <c r="K294" s="256">
        <v>0</v>
      </c>
      <c r="L294" s="256">
        <v>0</v>
      </c>
      <c r="M294" s="256">
        <v>0</v>
      </c>
      <c r="N294" s="256">
        <v>0</v>
      </c>
      <c r="O294" s="256">
        <v>0</v>
      </c>
      <c r="P294" s="256">
        <v>0</v>
      </c>
      <c r="Q294" s="256">
        <v>0</v>
      </c>
      <c r="R294" s="256">
        <v>0</v>
      </c>
      <c r="S294" s="256">
        <v>0</v>
      </c>
      <c r="T294" s="256">
        <v>0</v>
      </c>
      <c r="U294" s="256">
        <v>0</v>
      </c>
      <c r="V294" s="256">
        <v>0</v>
      </c>
      <c r="W294" s="256">
        <v>0</v>
      </c>
      <c r="X294" s="256">
        <v>0</v>
      </c>
      <c r="Y294" s="256">
        <v>0</v>
      </c>
      <c r="Z294" s="256">
        <v>0</v>
      </c>
      <c r="AA294" s="256">
        <v>0</v>
      </c>
      <c r="AB294" s="256">
        <v>0</v>
      </c>
      <c r="AC294" s="256">
        <v>0</v>
      </c>
      <c r="AD294" s="256">
        <v>0</v>
      </c>
      <c r="AE294" s="256">
        <v>0</v>
      </c>
      <c r="AF294" s="256">
        <v>0</v>
      </c>
      <c r="AG294" s="256">
        <v>0</v>
      </c>
      <c r="AH294" s="261" t="s">
        <v>784</v>
      </c>
      <c r="AI294" s="256">
        <v>0</v>
      </c>
      <c r="AJ294" s="261" t="s">
        <v>784</v>
      </c>
      <c r="AK294" s="261" t="s">
        <v>784</v>
      </c>
      <c r="AL294" s="261" t="s">
        <v>784</v>
      </c>
      <c r="AM294" s="261" t="s">
        <v>784</v>
      </c>
      <c r="AN294" s="261" t="s">
        <v>784</v>
      </c>
      <c r="AO294" s="261" t="s">
        <v>784</v>
      </c>
      <c r="AP294" s="261" t="s">
        <v>784</v>
      </c>
      <c r="AQ294" s="261" t="s">
        <v>784</v>
      </c>
      <c r="AR294" s="261" t="s">
        <v>784</v>
      </c>
      <c r="AS294" s="261" t="s">
        <v>784</v>
      </c>
      <c r="AT294" s="261" t="s">
        <v>784</v>
      </c>
      <c r="AU294" s="261" t="s">
        <v>784</v>
      </c>
      <c r="AV294" s="261" t="s">
        <v>784</v>
      </c>
      <c r="AW294" s="261" t="s">
        <v>784</v>
      </c>
      <c r="AX294" s="261" t="s">
        <v>784</v>
      </c>
      <c r="AY294" s="261" t="s">
        <v>784</v>
      </c>
      <c r="AZ294" s="261" t="s">
        <v>784</v>
      </c>
      <c r="BA294" s="261" t="s">
        <v>784</v>
      </c>
      <c r="BB294" s="261" t="s">
        <v>784</v>
      </c>
      <c r="BC294" s="261" t="s">
        <v>784</v>
      </c>
      <c r="BD294" s="261" t="s">
        <v>784</v>
      </c>
      <c r="BE294" s="261" t="s">
        <v>784</v>
      </c>
      <c r="BF294" s="261" t="s">
        <v>784</v>
      </c>
    </row>
    <row r="295" spans="1:58" x14ac:dyDescent="0.3">
      <c r="A295" s="252"/>
      <c r="B295" s="253"/>
      <c r="C295" s="253"/>
      <c r="D295" s="253"/>
      <c r="E295" s="253"/>
      <c r="F295" s="253"/>
      <c r="G295" s="253"/>
      <c r="H295" s="253"/>
      <c r="I295" s="253"/>
      <c r="J295" s="253"/>
      <c r="K295" s="253"/>
      <c r="L295" s="253"/>
      <c r="M295" s="253"/>
      <c r="N295" s="253"/>
      <c r="O295" s="253"/>
      <c r="P295" s="253"/>
      <c r="Q295" s="253"/>
      <c r="R295" s="253"/>
      <c r="S295" s="253"/>
      <c r="T295" s="253"/>
      <c r="U295" s="253"/>
      <c r="V295" s="253"/>
      <c r="W295" s="253"/>
      <c r="X295" s="253"/>
      <c r="Y295" s="253"/>
      <c r="Z295" s="253"/>
      <c r="AA295" s="253"/>
      <c r="AB295" s="253"/>
      <c r="AC295" s="253"/>
      <c r="AD295" s="253"/>
      <c r="AE295" s="253"/>
      <c r="AF295" s="253"/>
      <c r="AG295" s="253"/>
      <c r="AH295" s="253"/>
      <c r="AI295" s="253"/>
      <c r="AJ295" s="253"/>
      <c r="AK295" s="253"/>
      <c r="AL295" s="253"/>
      <c r="AM295" s="253"/>
      <c r="AN295" s="253"/>
      <c r="AO295" s="253"/>
      <c r="AP295" s="253"/>
      <c r="AQ295" s="253"/>
      <c r="AR295" s="253"/>
      <c r="AS295" s="253"/>
      <c r="AT295" s="253"/>
      <c r="AU295" s="253"/>
      <c r="AV295" s="253"/>
      <c r="AW295" s="253"/>
      <c r="AX295" s="253"/>
      <c r="AY295" s="253"/>
      <c r="AZ295" s="253"/>
      <c r="BA295" s="253"/>
      <c r="BB295" s="253"/>
      <c r="BC295" s="253"/>
      <c r="BD295" s="253"/>
      <c r="BE295" s="253"/>
      <c r="BF295" s="253"/>
    </row>
    <row r="296" spans="1:58" x14ac:dyDescent="0.3">
      <c r="A296" s="252" t="s">
        <v>843</v>
      </c>
      <c r="B296" s="253" t="s">
        <v>5</v>
      </c>
      <c r="C296" s="253" t="s">
        <v>5</v>
      </c>
      <c r="D296" s="253" t="s">
        <v>5</v>
      </c>
      <c r="E296" s="253" t="s">
        <v>5</v>
      </c>
      <c r="F296" s="253" t="s">
        <v>5</v>
      </c>
      <c r="G296" s="253" t="s">
        <v>5</v>
      </c>
      <c r="H296" s="253" t="s">
        <v>5</v>
      </c>
      <c r="I296" s="253" t="s">
        <v>5</v>
      </c>
      <c r="J296" s="253" t="s">
        <v>5</v>
      </c>
      <c r="K296" s="253" t="s">
        <v>5</v>
      </c>
      <c r="L296" s="253" t="s">
        <v>5</v>
      </c>
      <c r="M296" s="253" t="s">
        <v>5</v>
      </c>
      <c r="N296" s="253" t="s">
        <v>5</v>
      </c>
      <c r="O296" s="253" t="s">
        <v>5</v>
      </c>
      <c r="P296" s="253" t="s">
        <v>5</v>
      </c>
      <c r="Q296" s="253" t="s">
        <v>5</v>
      </c>
      <c r="R296" s="253" t="s">
        <v>5</v>
      </c>
      <c r="S296" s="253" t="s">
        <v>5</v>
      </c>
      <c r="T296" s="253" t="s">
        <v>5</v>
      </c>
      <c r="U296" s="253" t="s">
        <v>5</v>
      </c>
      <c r="V296" s="253" t="s">
        <v>5</v>
      </c>
      <c r="W296" s="253" t="s">
        <v>5</v>
      </c>
      <c r="X296" s="253" t="s">
        <v>5</v>
      </c>
      <c r="Y296" s="253" t="s">
        <v>5</v>
      </c>
      <c r="Z296" s="253" t="s">
        <v>5</v>
      </c>
      <c r="AA296" s="253" t="s">
        <v>5</v>
      </c>
      <c r="AB296" s="253" t="s">
        <v>5</v>
      </c>
      <c r="AC296" s="253" t="s">
        <v>5</v>
      </c>
      <c r="AD296" s="253" t="s">
        <v>5</v>
      </c>
      <c r="AE296" s="253" t="s">
        <v>5</v>
      </c>
      <c r="AF296" s="253" t="s">
        <v>5</v>
      </c>
      <c r="AG296" s="253" t="s">
        <v>5</v>
      </c>
      <c r="AH296" s="253" t="s">
        <v>5</v>
      </c>
      <c r="AI296" s="253" t="s">
        <v>5</v>
      </c>
      <c r="AJ296" s="253" t="s">
        <v>5</v>
      </c>
      <c r="AK296" s="253" t="s">
        <v>5</v>
      </c>
      <c r="AL296" s="253" t="s">
        <v>5</v>
      </c>
      <c r="AM296" s="253" t="s">
        <v>5</v>
      </c>
      <c r="AN296" s="253" t="s">
        <v>5</v>
      </c>
      <c r="AO296" s="253" t="s">
        <v>5</v>
      </c>
      <c r="AP296" s="253" t="s">
        <v>5</v>
      </c>
      <c r="AQ296" s="253" t="s">
        <v>5</v>
      </c>
      <c r="AR296" s="253" t="s">
        <v>5</v>
      </c>
      <c r="AS296" s="253" t="s">
        <v>5</v>
      </c>
      <c r="AT296" s="253" t="s">
        <v>5</v>
      </c>
      <c r="AU296" s="253" t="s">
        <v>5</v>
      </c>
      <c r="AV296" s="253" t="s">
        <v>5</v>
      </c>
      <c r="AW296" s="253" t="s">
        <v>5</v>
      </c>
      <c r="AX296" s="253" t="s">
        <v>5</v>
      </c>
      <c r="AY296" s="253" t="s">
        <v>5</v>
      </c>
      <c r="AZ296" s="253" t="s">
        <v>5</v>
      </c>
      <c r="BA296" s="253" t="s">
        <v>5</v>
      </c>
      <c r="BB296" s="253" t="s">
        <v>5</v>
      </c>
      <c r="BC296" s="253" t="s">
        <v>5</v>
      </c>
      <c r="BD296" s="253" t="s">
        <v>5</v>
      </c>
      <c r="BE296" s="253" t="s">
        <v>5</v>
      </c>
      <c r="BF296" s="253" t="s">
        <v>5</v>
      </c>
    </row>
    <row r="297" spans="1:58" x14ac:dyDescent="0.3">
      <c r="A297" s="252" t="s">
        <v>844</v>
      </c>
      <c r="B297" s="254">
        <v>417861</v>
      </c>
      <c r="C297" s="254">
        <v>402826</v>
      </c>
      <c r="D297" s="254">
        <v>422430</v>
      </c>
      <c r="E297" s="254">
        <v>396183</v>
      </c>
      <c r="F297" s="254">
        <v>2695652</v>
      </c>
      <c r="G297" s="254">
        <v>2708775</v>
      </c>
      <c r="H297" s="254">
        <v>4379278</v>
      </c>
      <c r="I297" s="254">
        <v>4422095</v>
      </c>
      <c r="J297" s="254">
        <v>5390091</v>
      </c>
      <c r="K297" s="254">
        <v>5823076</v>
      </c>
      <c r="L297" s="254">
        <v>4366107</v>
      </c>
      <c r="M297" s="254">
        <v>4246531</v>
      </c>
      <c r="N297" s="254">
        <v>4256468</v>
      </c>
      <c r="O297" s="254">
        <v>4217434</v>
      </c>
      <c r="P297" s="254">
        <v>4179763</v>
      </c>
      <c r="Q297" s="254">
        <v>3171132</v>
      </c>
      <c r="R297" s="254">
        <v>1805279</v>
      </c>
      <c r="S297" s="254">
        <v>1942225</v>
      </c>
      <c r="T297" s="254">
        <v>1931284</v>
      </c>
      <c r="U297" s="254">
        <v>1981903</v>
      </c>
      <c r="V297" s="254">
        <v>1061138</v>
      </c>
      <c r="W297" s="254">
        <v>1133728</v>
      </c>
      <c r="X297" s="254">
        <v>1043268</v>
      </c>
      <c r="Y297" s="254">
        <v>1233805</v>
      </c>
      <c r="Z297" s="254">
        <v>1177037</v>
      </c>
      <c r="AA297" s="254">
        <v>1098993</v>
      </c>
      <c r="AB297" s="254">
        <v>998456</v>
      </c>
      <c r="AC297" s="254">
        <v>1087135</v>
      </c>
      <c r="AD297" s="254">
        <v>1082369</v>
      </c>
      <c r="AE297" s="254">
        <v>1400312</v>
      </c>
      <c r="AF297" s="254">
        <v>1379460</v>
      </c>
      <c r="AG297" s="254">
        <v>1377661</v>
      </c>
      <c r="AH297" s="254">
        <v>1251764</v>
      </c>
      <c r="AI297" s="254">
        <v>1228426</v>
      </c>
      <c r="AJ297" s="254">
        <v>1459604</v>
      </c>
      <c r="AK297" s="254">
        <v>1279999</v>
      </c>
      <c r="AL297" s="254">
        <v>1537063</v>
      </c>
      <c r="AM297" s="254">
        <v>4332603</v>
      </c>
      <c r="AN297" s="254">
        <v>4387144</v>
      </c>
      <c r="AO297" s="254">
        <v>4596221</v>
      </c>
      <c r="AP297" s="254">
        <v>5489751</v>
      </c>
      <c r="AQ297" s="254">
        <v>6984388</v>
      </c>
      <c r="AR297" s="254">
        <v>6660586</v>
      </c>
      <c r="AS297" s="254">
        <v>7055431</v>
      </c>
      <c r="AT297" s="254">
        <v>6792833</v>
      </c>
      <c r="AU297" s="254">
        <v>9341748</v>
      </c>
      <c r="AV297" s="254">
        <v>10504500</v>
      </c>
      <c r="AW297" s="254">
        <v>11445166</v>
      </c>
      <c r="AX297" s="254">
        <v>12221416</v>
      </c>
      <c r="AY297" s="254">
        <v>12862921</v>
      </c>
      <c r="AZ297" s="254">
        <v>16292271</v>
      </c>
      <c r="BA297" s="254">
        <v>19920152</v>
      </c>
      <c r="BB297" s="254">
        <v>20302520</v>
      </c>
      <c r="BC297" s="254">
        <v>25623115</v>
      </c>
      <c r="BD297" s="254">
        <v>25991952</v>
      </c>
      <c r="BE297" s="254">
        <v>28521683</v>
      </c>
      <c r="BF297" s="254">
        <v>28310932</v>
      </c>
    </row>
    <row r="298" spans="1:58" x14ac:dyDescent="0.3">
      <c r="A298" s="255" t="s">
        <v>845</v>
      </c>
      <c r="B298" s="256">
        <v>10995</v>
      </c>
      <c r="C298" s="256">
        <v>7262</v>
      </c>
      <c r="D298" s="256">
        <v>20110</v>
      </c>
      <c r="E298" s="256">
        <v>11689</v>
      </c>
      <c r="F298" s="256">
        <v>35195</v>
      </c>
      <c r="G298" s="256">
        <v>55725</v>
      </c>
      <c r="H298" s="256">
        <v>43197</v>
      </c>
      <c r="I298" s="256">
        <v>66323</v>
      </c>
      <c r="J298" s="256">
        <v>595510</v>
      </c>
      <c r="K298" s="256">
        <v>851816</v>
      </c>
      <c r="L298" s="256">
        <v>56635</v>
      </c>
      <c r="M298" s="256">
        <v>113571</v>
      </c>
      <c r="N298" s="256">
        <v>164006</v>
      </c>
      <c r="O298" s="256">
        <v>215770</v>
      </c>
      <c r="P298" s="256">
        <v>355847</v>
      </c>
      <c r="Q298" s="256">
        <v>379543</v>
      </c>
      <c r="R298" s="256">
        <v>223804</v>
      </c>
      <c r="S298" s="256">
        <v>224016</v>
      </c>
      <c r="T298" s="256">
        <v>248513</v>
      </c>
      <c r="U298" s="256">
        <v>231711</v>
      </c>
      <c r="V298" s="256">
        <v>168321</v>
      </c>
      <c r="W298" s="256">
        <v>200933</v>
      </c>
      <c r="X298" s="256">
        <v>124702</v>
      </c>
      <c r="Y298" s="256">
        <v>185703</v>
      </c>
      <c r="Z298" s="256">
        <v>85423</v>
      </c>
      <c r="AA298" s="256">
        <v>106178</v>
      </c>
      <c r="AB298" s="256">
        <v>74749</v>
      </c>
      <c r="AC298" s="256">
        <v>58346</v>
      </c>
      <c r="AD298" s="256">
        <v>79620</v>
      </c>
      <c r="AE298" s="256">
        <v>252578</v>
      </c>
      <c r="AF298" s="256">
        <v>261714</v>
      </c>
      <c r="AG298" s="256">
        <v>197824</v>
      </c>
      <c r="AH298" s="256">
        <v>216852</v>
      </c>
      <c r="AI298" s="256">
        <v>187516</v>
      </c>
      <c r="AJ298" s="256">
        <v>348923</v>
      </c>
      <c r="AK298" s="256">
        <v>167482</v>
      </c>
      <c r="AL298" s="256">
        <v>370986</v>
      </c>
      <c r="AM298" s="256">
        <v>922201</v>
      </c>
      <c r="AN298" s="256">
        <v>879977</v>
      </c>
      <c r="AO298" s="256">
        <v>1137572</v>
      </c>
      <c r="AP298" s="256">
        <v>1669783</v>
      </c>
      <c r="AQ298" s="256">
        <v>2322377</v>
      </c>
      <c r="AR298" s="256">
        <v>1907633</v>
      </c>
      <c r="AS298" s="256">
        <v>2050218</v>
      </c>
      <c r="AT298" s="256">
        <v>2149449</v>
      </c>
      <c r="AU298" s="256">
        <v>2354059</v>
      </c>
      <c r="AV298" s="256">
        <v>905094</v>
      </c>
      <c r="AW298" s="256">
        <v>1225154</v>
      </c>
      <c r="AX298" s="256">
        <v>1085997</v>
      </c>
      <c r="AY298" s="256">
        <v>904949</v>
      </c>
      <c r="AZ298" s="256">
        <v>972762</v>
      </c>
      <c r="BA298" s="256">
        <v>1422362</v>
      </c>
      <c r="BB298" s="256">
        <v>1387739</v>
      </c>
      <c r="BC298" s="256">
        <v>3177777</v>
      </c>
      <c r="BD298" s="256">
        <v>4067412</v>
      </c>
      <c r="BE298" s="256">
        <v>3857691</v>
      </c>
      <c r="BF298" s="256">
        <v>3463811</v>
      </c>
    </row>
    <row r="299" spans="1:58" x14ac:dyDescent="0.3">
      <c r="A299" s="257" t="s">
        <v>858</v>
      </c>
      <c r="B299" s="259">
        <v>0</v>
      </c>
      <c r="C299" s="259">
        <v>0</v>
      </c>
      <c r="D299" s="259">
        <v>0</v>
      </c>
      <c r="E299" s="259">
        <v>0</v>
      </c>
      <c r="F299" s="259">
        <v>350</v>
      </c>
      <c r="G299" s="259">
        <v>0</v>
      </c>
      <c r="H299" s="259">
        <v>0</v>
      </c>
      <c r="I299" s="259">
        <v>0</v>
      </c>
      <c r="J299" s="259">
        <v>0</v>
      </c>
      <c r="K299" s="258" t="s">
        <v>784</v>
      </c>
      <c r="L299" s="258" t="s">
        <v>784</v>
      </c>
      <c r="M299" s="258" t="s">
        <v>784</v>
      </c>
      <c r="N299" s="258" t="s">
        <v>784</v>
      </c>
      <c r="O299" s="258" t="s">
        <v>784</v>
      </c>
      <c r="P299" s="258" t="s">
        <v>784</v>
      </c>
      <c r="Q299" s="258" t="s">
        <v>784</v>
      </c>
      <c r="R299" s="259">
        <v>70380</v>
      </c>
      <c r="S299" s="259">
        <v>0</v>
      </c>
      <c r="T299" s="259">
        <v>0</v>
      </c>
      <c r="U299" s="259">
        <v>0</v>
      </c>
      <c r="V299" s="259">
        <v>0</v>
      </c>
      <c r="W299" s="259">
        <v>0</v>
      </c>
      <c r="X299" s="259">
        <v>0</v>
      </c>
      <c r="Y299" s="259">
        <v>0</v>
      </c>
      <c r="Z299" s="259">
        <v>0</v>
      </c>
      <c r="AA299" s="259">
        <v>0</v>
      </c>
      <c r="AB299" s="259">
        <v>0</v>
      </c>
      <c r="AC299" s="259">
        <v>0</v>
      </c>
      <c r="AD299" s="259">
        <v>0</v>
      </c>
      <c r="AE299" s="259">
        <v>123855</v>
      </c>
      <c r="AF299" s="259">
        <v>124328</v>
      </c>
      <c r="AG299" s="259">
        <v>71272</v>
      </c>
      <c r="AH299" s="259">
        <v>75011</v>
      </c>
      <c r="AI299" s="259">
        <v>75437</v>
      </c>
      <c r="AJ299" s="259">
        <v>199166</v>
      </c>
      <c r="AK299" s="259">
        <v>0</v>
      </c>
      <c r="AL299" s="259">
        <v>222437</v>
      </c>
      <c r="AM299" s="259">
        <v>482523</v>
      </c>
      <c r="AN299" s="259">
        <v>566985</v>
      </c>
      <c r="AO299" s="259">
        <v>848109</v>
      </c>
      <c r="AP299" s="259">
        <v>1224306</v>
      </c>
      <c r="AQ299" s="259">
        <v>1821008</v>
      </c>
      <c r="AR299" s="259">
        <v>1373731</v>
      </c>
      <c r="AS299" s="259">
        <v>1355327</v>
      </c>
      <c r="AT299" s="259">
        <v>1519966</v>
      </c>
      <c r="AU299" s="259">
        <v>1882524</v>
      </c>
      <c r="AV299" s="259">
        <v>467184</v>
      </c>
      <c r="AW299" s="259">
        <v>200006</v>
      </c>
      <c r="AX299" s="259">
        <v>553</v>
      </c>
      <c r="AY299" s="259">
        <v>46928</v>
      </c>
      <c r="AZ299" s="259">
        <v>25111</v>
      </c>
      <c r="BA299" s="259">
        <v>451208</v>
      </c>
      <c r="BB299" s="259">
        <v>393258</v>
      </c>
      <c r="BC299" s="259">
        <v>1654333</v>
      </c>
      <c r="BD299" s="259">
        <v>2206310</v>
      </c>
      <c r="BE299" s="259">
        <v>1978629</v>
      </c>
      <c r="BF299" s="259">
        <v>1212632</v>
      </c>
    </row>
    <row r="300" spans="1:58" x14ac:dyDescent="0.3">
      <c r="A300" s="257" t="s">
        <v>861</v>
      </c>
      <c r="B300" s="259">
        <v>0</v>
      </c>
      <c r="C300" s="259">
        <v>0</v>
      </c>
      <c r="D300" s="259">
        <v>0</v>
      </c>
      <c r="E300" s="259">
        <v>0</v>
      </c>
      <c r="F300" s="259">
        <v>0</v>
      </c>
      <c r="G300" s="259">
        <v>0</v>
      </c>
      <c r="H300" s="259">
        <v>0</v>
      </c>
      <c r="I300" s="259">
        <v>0</v>
      </c>
      <c r="J300" s="259">
        <v>0</v>
      </c>
      <c r="K300" s="258" t="s">
        <v>784</v>
      </c>
      <c r="L300" s="258" t="s">
        <v>784</v>
      </c>
      <c r="M300" s="258" t="s">
        <v>784</v>
      </c>
      <c r="N300" s="258" t="s">
        <v>784</v>
      </c>
      <c r="O300" s="258" t="s">
        <v>784</v>
      </c>
      <c r="P300" s="258" t="s">
        <v>784</v>
      </c>
      <c r="Q300" s="258" t="s">
        <v>784</v>
      </c>
      <c r="R300" s="259">
        <v>0</v>
      </c>
      <c r="S300" s="259">
        <v>0</v>
      </c>
      <c r="T300" s="259">
        <v>0</v>
      </c>
      <c r="U300" s="259">
        <v>0</v>
      </c>
      <c r="V300" s="259">
        <v>0</v>
      </c>
      <c r="W300" s="259">
        <v>2550</v>
      </c>
      <c r="X300" s="259">
        <v>1727</v>
      </c>
      <c r="Y300" s="259">
        <v>4466</v>
      </c>
      <c r="Z300" s="259">
        <v>664</v>
      </c>
      <c r="AA300" s="259">
        <v>1604</v>
      </c>
      <c r="AB300" s="259">
        <v>706</v>
      </c>
      <c r="AC300" s="259">
        <v>1706</v>
      </c>
      <c r="AD300" s="259">
        <v>688</v>
      </c>
      <c r="AE300" s="259">
        <v>42290</v>
      </c>
      <c r="AF300" s="259">
        <v>41278</v>
      </c>
      <c r="AG300" s="259">
        <v>21491</v>
      </c>
      <c r="AH300" s="259">
        <v>21621</v>
      </c>
      <c r="AI300" s="259">
        <v>805</v>
      </c>
      <c r="AJ300" s="259">
        <v>318</v>
      </c>
      <c r="AK300" s="259">
        <v>771</v>
      </c>
      <c r="AL300" s="259">
        <v>306</v>
      </c>
      <c r="AM300" s="259">
        <v>24767</v>
      </c>
      <c r="AN300" s="259">
        <v>40377</v>
      </c>
      <c r="AO300" s="259">
        <v>40755</v>
      </c>
      <c r="AP300" s="259">
        <v>0</v>
      </c>
      <c r="AQ300" s="259">
        <v>0</v>
      </c>
      <c r="AR300" s="259">
        <v>0</v>
      </c>
      <c r="AS300" s="259">
        <v>0</v>
      </c>
      <c r="AT300" s="259">
        <v>0</v>
      </c>
      <c r="AU300" s="259">
        <v>0</v>
      </c>
      <c r="AV300" s="259">
        <v>0</v>
      </c>
      <c r="AW300" s="259">
        <v>0</v>
      </c>
      <c r="AX300" s="259">
        <v>0</v>
      </c>
      <c r="AY300" s="259">
        <v>0</v>
      </c>
      <c r="AZ300" s="259">
        <v>0</v>
      </c>
      <c r="BA300" s="259">
        <v>7099</v>
      </c>
      <c r="BB300" s="259">
        <v>40514</v>
      </c>
      <c r="BC300" s="259">
        <v>7694</v>
      </c>
      <c r="BD300" s="259">
        <v>38857</v>
      </c>
      <c r="BE300" s="259">
        <v>8040</v>
      </c>
      <c r="BF300" s="259">
        <v>39430</v>
      </c>
    </row>
    <row r="301" spans="1:58" x14ac:dyDescent="0.3">
      <c r="A301" s="257" t="s">
        <v>849</v>
      </c>
      <c r="B301" s="259">
        <v>156</v>
      </c>
      <c r="C301" s="259">
        <v>1159</v>
      </c>
      <c r="D301" s="259">
        <v>11285</v>
      </c>
      <c r="E301" s="259">
        <v>2593</v>
      </c>
      <c r="F301" s="259">
        <v>7876</v>
      </c>
      <c r="G301" s="259">
        <v>22303</v>
      </c>
      <c r="H301" s="259">
        <v>11477</v>
      </c>
      <c r="I301" s="259">
        <v>46206</v>
      </c>
      <c r="J301" s="259">
        <v>54342</v>
      </c>
      <c r="K301" s="259">
        <v>75447</v>
      </c>
      <c r="L301" s="259">
        <v>30285</v>
      </c>
      <c r="M301" s="259">
        <v>69906</v>
      </c>
      <c r="N301" s="259">
        <v>101487</v>
      </c>
      <c r="O301" s="259">
        <v>120715</v>
      </c>
      <c r="P301" s="259">
        <v>193143</v>
      </c>
      <c r="Q301" s="259">
        <v>196047</v>
      </c>
      <c r="R301" s="259">
        <v>63362</v>
      </c>
      <c r="S301" s="259">
        <v>175686</v>
      </c>
      <c r="T301" s="259">
        <v>105180</v>
      </c>
      <c r="U301" s="259">
        <v>109628</v>
      </c>
      <c r="V301" s="259">
        <v>63217</v>
      </c>
      <c r="W301" s="259">
        <v>68683</v>
      </c>
      <c r="X301" s="259">
        <v>40210</v>
      </c>
      <c r="Y301" s="259">
        <v>63789</v>
      </c>
      <c r="Z301" s="259">
        <v>52469</v>
      </c>
      <c r="AA301" s="259">
        <v>72292</v>
      </c>
      <c r="AB301" s="259">
        <v>49348</v>
      </c>
      <c r="AC301" s="259">
        <v>32836</v>
      </c>
      <c r="AD301" s="259">
        <v>50176</v>
      </c>
      <c r="AE301" s="259">
        <v>51068</v>
      </c>
      <c r="AF301" s="259">
        <v>53993</v>
      </c>
      <c r="AG301" s="259">
        <v>64368</v>
      </c>
      <c r="AH301" s="259">
        <v>70536</v>
      </c>
      <c r="AI301" s="259">
        <v>72888</v>
      </c>
      <c r="AJ301" s="259">
        <v>91620</v>
      </c>
      <c r="AK301" s="259">
        <v>92833</v>
      </c>
      <c r="AL301" s="259">
        <v>73258</v>
      </c>
      <c r="AM301" s="259">
        <v>127426</v>
      </c>
      <c r="AN301" s="259">
        <v>126570</v>
      </c>
      <c r="AO301" s="259">
        <v>129731</v>
      </c>
      <c r="AP301" s="259">
        <v>87232</v>
      </c>
      <c r="AQ301" s="259">
        <v>110976</v>
      </c>
      <c r="AR301" s="259">
        <v>139859</v>
      </c>
      <c r="AS301" s="259">
        <v>281408</v>
      </c>
      <c r="AT301" s="259">
        <v>236889</v>
      </c>
      <c r="AU301" s="259">
        <v>119524</v>
      </c>
      <c r="AV301" s="259">
        <v>152400</v>
      </c>
      <c r="AW301" s="259">
        <v>204816</v>
      </c>
      <c r="AX301" s="259">
        <v>292204</v>
      </c>
      <c r="AY301" s="259">
        <v>262789</v>
      </c>
      <c r="AZ301" s="259">
        <v>316734</v>
      </c>
      <c r="BA301" s="259">
        <v>334084</v>
      </c>
      <c r="BB301" s="259">
        <v>565926</v>
      </c>
      <c r="BC301" s="259">
        <v>605633</v>
      </c>
      <c r="BD301" s="259">
        <v>757359</v>
      </c>
      <c r="BE301" s="259">
        <v>638038</v>
      </c>
      <c r="BF301" s="259">
        <v>834778</v>
      </c>
    </row>
    <row r="302" spans="1:58" x14ac:dyDescent="0.3">
      <c r="A302" s="257" t="s">
        <v>1032</v>
      </c>
      <c r="B302" s="259">
        <v>8502</v>
      </c>
      <c r="C302" s="259">
        <v>3426</v>
      </c>
      <c r="D302" s="259">
        <v>3732</v>
      </c>
      <c r="E302" s="259">
        <v>4541</v>
      </c>
      <c r="F302" s="258" t="s">
        <v>784</v>
      </c>
      <c r="G302" s="258" t="s">
        <v>784</v>
      </c>
      <c r="H302" s="258" t="s">
        <v>784</v>
      </c>
      <c r="I302" s="258" t="s">
        <v>784</v>
      </c>
      <c r="J302" s="258" t="s">
        <v>784</v>
      </c>
      <c r="K302" s="258" t="s">
        <v>784</v>
      </c>
      <c r="L302" s="258" t="s">
        <v>784</v>
      </c>
      <c r="M302" s="258" t="s">
        <v>784</v>
      </c>
      <c r="N302" s="258" t="s">
        <v>784</v>
      </c>
      <c r="O302" s="258" t="s">
        <v>784</v>
      </c>
      <c r="P302" s="258" t="s">
        <v>784</v>
      </c>
      <c r="Q302" s="258" t="s">
        <v>784</v>
      </c>
      <c r="R302" s="258" t="s">
        <v>784</v>
      </c>
      <c r="S302" s="258" t="s">
        <v>784</v>
      </c>
      <c r="T302" s="258" t="s">
        <v>784</v>
      </c>
      <c r="U302" s="258" t="s">
        <v>784</v>
      </c>
      <c r="V302" s="258" t="s">
        <v>784</v>
      </c>
      <c r="W302" s="258" t="s">
        <v>784</v>
      </c>
      <c r="X302" s="258" t="s">
        <v>784</v>
      </c>
      <c r="Y302" s="258" t="s">
        <v>784</v>
      </c>
      <c r="Z302" s="258" t="s">
        <v>784</v>
      </c>
      <c r="AA302" s="258" t="s">
        <v>784</v>
      </c>
      <c r="AB302" s="258" t="s">
        <v>784</v>
      </c>
      <c r="AC302" s="258" t="s">
        <v>784</v>
      </c>
      <c r="AD302" s="258" t="s">
        <v>784</v>
      </c>
      <c r="AE302" s="258" t="s">
        <v>784</v>
      </c>
      <c r="AF302" s="258" t="s">
        <v>784</v>
      </c>
      <c r="AG302" s="258" t="s">
        <v>784</v>
      </c>
      <c r="AH302" s="258" t="s">
        <v>784</v>
      </c>
      <c r="AI302" s="258" t="s">
        <v>784</v>
      </c>
      <c r="AJ302" s="258" t="s">
        <v>784</v>
      </c>
      <c r="AK302" s="258" t="s">
        <v>784</v>
      </c>
      <c r="AL302" s="258" t="s">
        <v>784</v>
      </c>
      <c r="AM302" s="258" t="s">
        <v>784</v>
      </c>
      <c r="AN302" s="258" t="s">
        <v>784</v>
      </c>
      <c r="AO302" s="258" t="s">
        <v>784</v>
      </c>
      <c r="AP302" s="258" t="s">
        <v>784</v>
      </c>
      <c r="AQ302" s="258" t="s">
        <v>784</v>
      </c>
      <c r="AR302" s="258" t="s">
        <v>784</v>
      </c>
      <c r="AS302" s="258" t="s">
        <v>784</v>
      </c>
      <c r="AT302" s="258" t="s">
        <v>784</v>
      </c>
      <c r="AU302" s="258" t="s">
        <v>784</v>
      </c>
      <c r="AV302" s="258" t="s">
        <v>784</v>
      </c>
      <c r="AW302" s="258" t="s">
        <v>784</v>
      </c>
      <c r="AX302" s="258" t="s">
        <v>784</v>
      </c>
      <c r="AY302" s="258" t="s">
        <v>784</v>
      </c>
      <c r="AZ302" s="258" t="s">
        <v>784</v>
      </c>
      <c r="BA302" s="258" t="s">
        <v>784</v>
      </c>
      <c r="BB302" s="258" t="s">
        <v>784</v>
      </c>
      <c r="BC302" s="258" t="s">
        <v>784</v>
      </c>
      <c r="BD302" s="258" t="s">
        <v>784</v>
      </c>
      <c r="BE302" s="258" t="s">
        <v>784</v>
      </c>
      <c r="BF302" s="258" t="s">
        <v>784</v>
      </c>
    </row>
    <row r="303" spans="1:58" x14ac:dyDescent="0.3">
      <c r="A303" s="257" t="s">
        <v>870</v>
      </c>
      <c r="B303" s="259">
        <v>0</v>
      </c>
      <c r="C303" s="259">
        <v>0</v>
      </c>
      <c r="D303" s="259">
        <v>0</v>
      </c>
      <c r="E303" s="259">
        <v>0</v>
      </c>
      <c r="F303" s="259">
        <v>0</v>
      </c>
      <c r="G303" s="259">
        <v>0</v>
      </c>
      <c r="H303" s="259">
        <v>0</v>
      </c>
      <c r="I303" s="259">
        <v>0</v>
      </c>
      <c r="J303" s="259">
        <v>0</v>
      </c>
      <c r="K303" s="259">
        <v>0</v>
      </c>
      <c r="L303" s="259">
        <v>0</v>
      </c>
      <c r="M303" s="259">
        <v>0</v>
      </c>
      <c r="N303" s="259">
        <v>0</v>
      </c>
      <c r="O303" s="259">
        <v>0</v>
      </c>
      <c r="P303" s="259">
        <v>0</v>
      </c>
      <c r="Q303" s="259">
        <v>0</v>
      </c>
      <c r="R303" s="259">
        <v>0</v>
      </c>
      <c r="S303" s="259">
        <v>0</v>
      </c>
      <c r="T303" s="259">
        <v>0</v>
      </c>
      <c r="U303" s="259">
        <v>0</v>
      </c>
      <c r="V303" s="259">
        <v>0</v>
      </c>
      <c r="W303" s="259">
        <v>0</v>
      </c>
      <c r="X303" s="259">
        <v>0</v>
      </c>
      <c r="Y303" s="259">
        <v>0</v>
      </c>
      <c r="Z303" s="259">
        <v>0</v>
      </c>
      <c r="AA303" s="259">
        <v>0</v>
      </c>
      <c r="AB303" s="259">
        <v>0</v>
      </c>
      <c r="AC303" s="259">
        <v>0</v>
      </c>
      <c r="AD303" s="259">
        <v>0</v>
      </c>
      <c r="AE303" s="259">
        <v>0</v>
      </c>
      <c r="AF303" s="259">
        <v>0</v>
      </c>
      <c r="AG303" s="259">
        <v>0</v>
      </c>
      <c r="AH303" s="259">
        <v>0</v>
      </c>
      <c r="AI303" s="259">
        <v>0</v>
      </c>
      <c r="AJ303" s="259">
        <v>0</v>
      </c>
      <c r="AK303" s="259">
        <v>0</v>
      </c>
      <c r="AL303" s="259">
        <v>0</v>
      </c>
      <c r="AM303" s="259">
        <v>0</v>
      </c>
      <c r="AN303" s="259">
        <v>0</v>
      </c>
      <c r="AO303" s="259">
        <v>0</v>
      </c>
      <c r="AP303" s="259">
        <v>0</v>
      </c>
      <c r="AQ303" s="259">
        <v>0</v>
      </c>
      <c r="AR303" s="259">
        <v>0</v>
      </c>
      <c r="AS303" s="259">
        <v>0</v>
      </c>
      <c r="AT303" s="259">
        <v>0</v>
      </c>
      <c r="AU303" s="259">
        <v>0</v>
      </c>
      <c r="AV303" s="259">
        <v>0</v>
      </c>
      <c r="AW303" s="259">
        <v>0</v>
      </c>
      <c r="AX303" s="259">
        <v>0</v>
      </c>
      <c r="AY303" s="259">
        <v>0</v>
      </c>
      <c r="AZ303" s="259">
        <v>0</v>
      </c>
      <c r="BA303" s="259">
        <v>0</v>
      </c>
      <c r="BB303" s="259">
        <v>0</v>
      </c>
      <c r="BC303" s="259">
        <v>0</v>
      </c>
      <c r="BD303" s="259">
        <v>0</v>
      </c>
      <c r="BE303" s="259">
        <v>0</v>
      </c>
      <c r="BF303" s="259">
        <v>0</v>
      </c>
    </row>
    <row r="304" spans="1:58" x14ac:dyDescent="0.3">
      <c r="A304" s="257" t="s">
        <v>873</v>
      </c>
      <c r="B304" s="259">
        <v>0</v>
      </c>
      <c r="C304" s="259">
        <v>0</v>
      </c>
      <c r="D304" s="259">
        <v>0</v>
      </c>
      <c r="E304" s="259">
        <v>0</v>
      </c>
      <c r="F304" s="259">
        <v>0</v>
      </c>
      <c r="G304" s="259">
        <v>0</v>
      </c>
      <c r="H304" s="259">
        <v>0</v>
      </c>
      <c r="I304" s="259">
        <v>0</v>
      </c>
      <c r="J304" s="259">
        <v>0</v>
      </c>
      <c r="K304" s="259">
        <v>0</v>
      </c>
      <c r="L304" s="259">
        <v>0</v>
      </c>
      <c r="M304" s="259">
        <v>0</v>
      </c>
      <c r="N304" s="259">
        <v>0</v>
      </c>
      <c r="O304" s="259">
        <v>0</v>
      </c>
      <c r="P304" s="259">
        <v>0</v>
      </c>
      <c r="Q304" s="259">
        <v>0</v>
      </c>
      <c r="R304" s="259">
        <v>0</v>
      </c>
      <c r="S304" s="259">
        <v>0</v>
      </c>
      <c r="T304" s="259">
        <v>0</v>
      </c>
      <c r="U304" s="259">
        <v>0</v>
      </c>
      <c r="V304" s="259">
        <v>0</v>
      </c>
      <c r="W304" s="259">
        <v>0</v>
      </c>
      <c r="X304" s="259">
        <v>0</v>
      </c>
      <c r="Y304" s="259">
        <v>0</v>
      </c>
      <c r="Z304" s="259">
        <v>0</v>
      </c>
      <c r="AA304" s="259">
        <v>0</v>
      </c>
      <c r="AB304" s="259">
        <v>0</v>
      </c>
      <c r="AC304" s="259">
        <v>0</v>
      </c>
      <c r="AD304" s="259">
        <v>0</v>
      </c>
      <c r="AE304" s="259">
        <v>0</v>
      </c>
      <c r="AF304" s="259">
        <v>0</v>
      </c>
      <c r="AG304" s="259">
        <v>0</v>
      </c>
      <c r="AH304" s="259">
        <v>0</v>
      </c>
      <c r="AI304" s="259">
        <v>0</v>
      </c>
      <c r="AJ304" s="259">
        <v>0</v>
      </c>
      <c r="AK304" s="259">
        <v>0</v>
      </c>
      <c r="AL304" s="259">
        <v>0</v>
      </c>
      <c r="AM304" s="259">
        <v>0</v>
      </c>
      <c r="AN304" s="259">
        <v>0</v>
      </c>
      <c r="AO304" s="259">
        <v>0</v>
      </c>
      <c r="AP304" s="259">
        <v>0</v>
      </c>
      <c r="AQ304" s="259">
        <v>0</v>
      </c>
      <c r="AR304" s="259">
        <v>0</v>
      </c>
      <c r="AS304" s="259">
        <v>0</v>
      </c>
      <c r="AT304" s="259">
        <v>0</v>
      </c>
      <c r="AU304" s="259">
        <v>0</v>
      </c>
      <c r="AV304" s="259">
        <v>0</v>
      </c>
      <c r="AW304" s="259">
        <v>0</v>
      </c>
      <c r="AX304" s="259">
        <v>0</v>
      </c>
      <c r="AY304" s="259">
        <v>0</v>
      </c>
      <c r="AZ304" s="259">
        <v>0</v>
      </c>
      <c r="BA304" s="259">
        <v>0</v>
      </c>
      <c r="BB304" s="259">
        <v>0</v>
      </c>
      <c r="BC304" s="259">
        <v>0</v>
      </c>
      <c r="BD304" s="259">
        <v>0</v>
      </c>
      <c r="BE304" s="259">
        <v>0</v>
      </c>
      <c r="BF304" s="259">
        <v>0</v>
      </c>
    </row>
    <row r="305" spans="1:58" x14ac:dyDescent="0.3">
      <c r="A305" s="257" t="s">
        <v>1033</v>
      </c>
      <c r="B305" s="259">
        <v>0</v>
      </c>
      <c r="C305" s="259">
        <v>0</v>
      </c>
      <c r="D305" s="259">
        <v>0</v>
      </c>
      <c r="E305" s="259">
        <v>0</v>
      </c>
      <c r="F305" s="258" t="s">
        <v>784</v>
      </c>
      <c r="G305" s="258" t="s">
        <v>784</v>
      </c>
      <c r="H305" s="258" t="s">
        <v>784</v>
      </c>
      <c r="I305" s="258" t="s">
        <v>784</v>
      </c>
      <c r="J305" s="258" t="s">
        <v>784</v>
      </c>
      <c r="K305" s="258" t="s">
        <v>784</v>
      </c>
      <c r="L305" s="258" t="s">
        <v>784</v>
      </c>
      <c r="M305" s="258" t="s">
        <v>784</v>
      </c>
      <c r="N305" s="258" t="s">
        <v>784</v>
      </c>
      <c r="O305" s="258" t="s">
        <v>784</v>
      </c>
      <c r="P305" s="258" t="s">
        <v>784</v>
      </c>
      <c r="Q305" s="258" t="s">
        <v>784</v>
      </c>
      <c r="R305" s="258" t="s">
        <v>784</v>
      </c>
      <c r="S305" s="258" t="s">
        <v>784</v>
      </c>
      <c r="T305" s="258" t="s">
        <v>784</v>
      </c>
      <c r="U305" s="258" t="s">
        <v>784</v>
      </c>
      <c r="V305" s="258" t="s">
        <v>784</v>
      </c>
      <c r="W305" s="258" t="s">
        <v>784</v>
      </c>
      <c r="X305" s="258" t="s">
        <v>784</v>
      </c>
      <c r="Y305" s="258" t="s">
        <v>784</v>
      </c>
      <c r="Z305" s="258" t="s">
        <v>784</v>
      </c>
      <c r="AA305" s="258" t="s">
        <v>784</v>
      </c>
      <c r="AB305" s="258" t="s">
        <v>784</v>
      </c>
      <c r="AC305" s="258" t="s">
        <v>784</v>
      </c>
      <c r="AD305" s="258" t="s">
        <v>784</v>
      </c>
      <c r="AE305" s="258" t="s">
        <v>784</v>
      </c>
      <c r="AF305" s="258" t="s">
        <v>784</v>
      </c>
      <c r="AG305" s="258" t="s">
        <v>784</v>
      </c>
      <c r="AH305" s="258" t="s">
        <v>784</v>
      </c>
      <c r="AI305" s="258" t="s">
        <v>784</v>
      </c>
      <c r="AJ305" s="258" t="s">
        <v>784</v>
      </c>
      <c r="AK305" s="258" t="s">
        <v>784</v>
      </c>
      <c r="AL305" s="258" t="s">
        <v>784</v>
      </c>
      <c r="AM305" s="258" t="s">
        <v>784</v>
      </c>
      <c r="AN305" s="258" t="s">
        <v>784</v>
      </c>
      <c r="AO305" s="258" t="s">
        <v>784</v>
      </c>
      <c r="AP305" s="258" t="s">
        <v>784</v>
      </c>
      <c r="AQ305" s="258" t="s">
        <v>784</v>
      </c>
      <c r="AR305" s="258" t="s">
        <v>784</v>
      </c>
      <c r="AS305" s="258" t="s">
        <v>784</v>
      </c>
      <c r="AT305" s="258" t="s">
        <v>784</v>
      </c>
      <c r="AU305" s="258" t="s">
        <v>784</v>
      </c>
      <c r="AV305" s="258" t="s">
        <v>784</v>
      </c>
      <c r="AW305" s="258" t="s">
        <v>784</v>
      </c>
      <c r="AX305" s="258" t="s">
        <v>784</v>
      </c>
      <c r="AY305" s="258" t="s">
        <v>784</v>
      </c>
      <c r="AZ305" s="258" t="s">
        <v>784</v>
      </c>
      <c r="BA305" s="258" t="s">
        <v>784</v>
      </c>
      <c r="BB305" s="258" t="s">
        <v>784</v>
      </c>
      <c r="BC305" s="258" t="s">
        <v>784</v>
      </c>
      <c r="BD305" s="258" t="s">
        <v>784</v>
      </c>
      <c r="BE305" s="258" t="s">
        <v>784</v>
      </c>
      <c r="BF305" s="258" t="s">
        <v>784</v>
      </c>
    </row>
    <row r="306" spans="1:58" x14ac:dyDescent="0.3">
      <c r="A306" s="257" t="s">
        <v>1034</v>
      </c>
      <c r="B306" s="259">
        <v>2337</v>
      </c>
      <c r="C306" s="259">
        <v>2677</v>
      </c>
      <c r="D306" s="259">
        <v>5093</v>
      </c>
      <c r="E306" s="259">
        <v>4555</v>
      </c>
      <c r="F306" s="258" t="s">
        <v>784</v>
      </c>
      <c r="G306" s="258" t="s">
        <v>784</v>
      </c>
      <c r="H306" s="258" t="s">
        <v>784</v>
      </c>
      <c r="I306" s="258" t="s">
        <v>784</v>
      </c>
      <c r="J306" s="258" t="s">
        <v>784</v>
      </c>
      <c r="K306" s="258" t="s">
        <v>784</v>
      </c>
      <c r="L306" s="258" t="s">
        <v>784</v>
      </c>
      <c r="M306" s="258" t="s">
        <v>784</v>
      </c>
      <c r="N306" s="258" t="s">
        <v>784</v>
      </c>
      <c r="O306" s="258" t="s">
        <v>784</v>
      </c>
      <c r="P306" s="258" t="s">
        <v>784</v>
      </c>
      <c r="Q306" s="258" t="s">
        <v>784</v>
      </c>
      <c r="R306" s="258" t="s">
        <v>784</v>
      </c>
      <c r="S306" s="258" t="s">
        <v>784</v>
      </c>
      <c r="T306" s="258" t="s">
        <v>784</v>
      </c>
      <c r="U306" s="258" t="s">
        <v>784</v>
      </c>
      <c r="V306" s="258" t="s">
        <v>784</v>
      </c>
      <c r="W306" s="258" t="s">
        <v>784</v>
      </c>
      <c r="X306" s="258" t="s">
        <v>784</v>
      </c>
      <c r="Y306" s="258" t="s">
        <v>784</v>
      </c>
      <c r="Z306" s="258" t="s">
        <v>784</v>
      </c>
      <c r="AA306" s="258" t="s">
        <v>784</v>
      </c>
      <c r="AB306" s="258" t="s">
        <v>784</v>
      </c>
      <c r="AC306" s="258" t="s">
        <v>784</v>
      </c>
      <c r="AD306" s="258" t="s">
        <v>784</v>
      </c>
      <c r="AE306" s="258" t="s">
        <v>784</v>
      </c>
      <c r="AF306" s="258" t="s">
        <v>784</v>
      </c>
      <c r="AG306" s="258" t="s">
        <v>784</v>
      </c>
      <c r="AH306" s="258" t="s">
        <v>784</v>
      </c>
      <c r="AI306" s="258" t="s">
        <v>784</v>
      </c>
      <c r="AJ306" s="258" t="s">
        <v>784</v>
      </c>
      <c r="AK306" s="258" t="s">
        <v>784</v>
      </c>
      <c r="AL306" s="258" t="s">
        <v>784</v>
      </c>
      <c r="AM306" s="258" t="s">
        <v>784</v>
      </c>
      <c r="AN306" s="258" t="s">
        <v>784</v>
      </c>
      <c r="AO306" s="258" t="s">
        <v>784</v>
      </c>
      <c r="AP306" s="258" t="s">
        <v>784</v>
      </c>
      <c r="AQ306" s="258" t="s">
        <v>784</v>
      </c>
      <c r="AR306" s="258" t="s">
        <v>784</v>
      </c>
      <c r="AS306" s="258" t="s">
        <v>784</v>
      </c>
      <c r="AT306" s="258" t="s">
        <v>784</v>
      </c>
      <c r="AU306" s="258" t="s">
        <v>784</v>
      </c>
      <c r="AV306" s="258" t="s">
        <v>784</v>
      </c>
      <c r="AW306" s="258" t="s">
        <v>784</v>
      </c>
      <c r="AX306" s="258" t="s">
        <v>784</v>
      </c>
      <c r="AY306" s="258" t="s">
        <v>784</v>
      </c>
      <c r="AZ306" s="258" t="s">
        <v>784</v>
      </c>
      <c r="BA306" s="258" t="s">
        <v>784</v>
      </c>
      <c r="BB306" s="258" t="s">
        <v>784</v>
      </c>
      <c r="BC306" s="258" t="s">
        <v>784</v>
      </c>
      <c r="BD306" s="258" t="s">
        <v>784</v>
      </c>
      <c r="BE306" s="258" t="s">
        <v>784</v>
      </c>
      <c r="BF306" s="258" t="s">
        <v>784</v>
      </c>
    </row>
    <row r="307" spans="1:58" x14ac:dyDescent="0.3">
      <c r="A307" s="255" t="s">
        <v>886</v>
      </c>
      <c r="B307" s="256">
        <v>0</v>
      </c>
      <c r="C307" s="256">
        <v>0</v>
      </c>
      <c r="D307" s="256">
        <v>0</v>
      </c>
      <c r="E307" s="256">
        <v>0</v>
      </c>
      <c r="F307" s="256">
        <v>0</v>
      </c>
      <c r="G307" s="256">
        <v>0</v>
      </c>
      <c r="H307" s="256">
        <v>406530</v>
      </c>
      <c r="I307" s="256">
        <v>406530</v>
      </c>
      <c r="J307" s="256">
        <v>922862</v>
      </c>
      <c r="K307" s="256">
        <v>1057416</v>
      </c>
      <c r="L307" s="256">
        <v>464978</v>
      </c>
      <c r="M307" s="256">
        <v>410612</v>
      </c>
      <c r="N307" s="256">
        <v>433085</v>
      </c>
      <c r="O307" s="256">
        <v>427568</v>
      </c>
      <c r="P307" s="256">
        <v>592830</v>
      </c>
      <c r="Q307" s="256">
        <v>426964</v>
      </c>
      <c r="R307" s="256">
        <v>126877</v>
      </c>
      <c r="S307" s="256">
        <v>248111</v>
      </c>
      <c r="T307" s="256">
        <v>211913</v>
      </c>
      <c r="U307" s="256">
        <v>235006</v>
      </c>
      <c r="V307" s="256">
        <v>271084</v>
      </c>
      <c r="W307" s="256">
        <v>305227</v>
      </c>
      <c r="X307" s="256">
        <v>312432</v>
      </c>
      <c r="Y307" s="256">
        <v>369238</v>
      </c>
      <c r="Z307" s="256">
        <v>177509</v>
      </c>
      <c r="AA307" s="256">
        <v>157822</v>
      </c>
      <c r="AB307" s="256">
        <v>149181</v>
      </c>
      <c r="AC307" s="256">
        <v>181237</v>
      </c>
      <c r="AD307" s="256">
        <v>168597</v>
      </c>
      <c r="AE307" s="256">
        <v>243075</v>
      </c>
      <c r="AF307" s="256">
        <v>186922</v>
      </c>
      <c r="AG307" s="256">
        <v>209729</v>
      </c>
      <c r="AH307" s="256">
        <v>174429</v>
      </c>
      <c r="AI307" s="256">
        <v>159794</v>
      </c>
      <c r="AJ307" s="256">
        <v>169677</v>
      </c>
      <c r="AK307" s="256">
        <v>152872</v>
      </c>
      <c r="AL307" s="256">
        <v>159481</v>
      </c>
      <c r="AM307" s="256">
        <v>2377807</v>
      </c>
      <c r="AN307" s="256">
        <v>2307402</v>
      </c>
      <c r="AO307" s="256">
        <v>2143417</v>
      </c>
      <c r="AP307" s="256">
        <v>1654867</v>
      </c>
      <c r="AQ307" s="256">
        <v>2099354</v>
      </c>
      <c r="AR307" s="256">
        <v>2171787</v>
      </c>
      <c r="AS307" s="256">
        <v>2462368</v>
      </c>
      <c r="AT307" s="256">
        <v>1492121</v>
      </c>
      <c r="AU307" s="256">
        <v>1652464</v>
      </c>
      <c r="AV307" s="256">
        <v>4177649</v>
      </c>
      <c r="AW307" s="256">
        <v>4533092</v>
      </c>
      <c r="AX307" s="256">
        <v>4515170</v>
      </c>
      <c r="AY307" s="256">
        <v>5235026</v>
      </c>
      <c r="AZ307" s="256">
        <v>7147882</v>
      </c>
      <c r="BA307" s="256">
        <v>9259869</v>
      </c>
      <c r="BB307" s="256">
        <v>9022764</v>
      </c>
      <c r="BC307" s="256">
        <v>11816373</v>
      </c>
      <c r="BD307" s="256">
        <v>11170652</v>
      </c>
      <c r="BE307" s="256">
        <v>11762888</v>
      </c>
      <c r="BF307" s="256">
        <v>10968841</v>
      </c>
    </row>
    <row r="308" spans="1:58" x14ac:dyDescent="0.3">
      <c r="A308" s="257" t="s">
        <v>1035</v>
      </c>
      <c r="B308" s="259">
        <v>0</v>
      </c>
      <c r="C308" s="259">
        <v>0</v>
      </c>
      <c r="D308" s="259">
        <v>0</v>
      </c>
      <c r="E308" s="259">
        <v>0</v>
      </c>
      <c r="F308" s="259">
        <v>0</v>
      </c>
      <c r="G308" s="259">
        <v>0</v>
      </c>
      <c r="H308" s="258" t="s">
        <v>784</v>
      </c>
      <c r="I308" s="258" t="s">
        <v>784</v>
      </c>
      <c r="J308" s="258" t="s">
        <v>784</v>
      </c>
      <c r="K308" s="258" t="s">
        <v>784</v>
      </c>
      <c r="L308" s="258" t="s">
        <v>784</v>
      </c>
      <c r="M308" s="258" t="s">
        <v>784</v>
      </c>
      <c r="N308" s="258" t="s">
        <v>784</v>
      </c>
      <c r="O308" s="258" t="s">
        <v>784</v>
      </c>
      <c r="P308" s="258" t="s">
        <v>784</v>
      </c>
      <c r="Q308" s="258" t="s">
        <v>784</v>
      </c>
      <c r="R308" s="258" t="s">
        <v>784</v>
      </c>
      <c r="S308" s="258" t="s">
        <v>784</v>
      </c>
      <c r="T308" s="258" t="s">
        <v>784</v>
      </c>
      <c r="U308" s="258" t="s">
        <v>784</v>
      </c>
      <c r="V308" s="258" t="s">
        <v>784</v>
      </c>
      <c r="W308" s="258" t="s">
        <v>784</v>
      </c>
      <c r="X308" s="258" t="s">
        <v>784</v>
      </c>
      <c r="Y308" s="258" t="s">
        <v>784</v>
      </c>
      <c r="Z308" s="258" t="s">
        <v>784</v>
      </c>
      <c r="AA308" s="258" t="s">
        <v>784</v>
      </c>
      <c r="AB308" s="258" t="s">
        <v>784</v>
      </c>
      <c r="AC308" s="258" t="s">
        <v>784</v>
      </c>
      <c r="AD308" s="258" t="s">
        <v>784</v>
      </c>
      <c r="AE308" s="258" t="s">
        <v>784</v>
      </c>
      <c r="AF308" s="258" t="s">
        <v>784</v>
      </c>
      <c r="AG308" s="258" t="s">
        <v>784</v>
      </c>
      <c r="AH308" s="258" t="s">
        <v>784</v>
      </c>
      <c r="AI308" s="258" t="s">
        <v>784</v>
      </c>
      <c r="AJ308" s="258" t="s">
        <v>784</v>
      </c>
      <c r="AK308" s="258" t="s">
        <v>784</v>
      </c>
      <c r="AL308" s="258" t="s">
        <v>784</v>
      </c>
      <c r="AM308" s="258" t="s">
        <v>784</v>
      </c>
      <c r="AN308" s="258" t="s">
        <v>784</v>
      </c>
      <c r="AO308" s="258" t="s">
        <v>784</v>
      </c>
      <c r="AP308" s="258" t="s">
        <v>784</v>
      </c>
      <c r="AQ308" s="258" t="s">
        <v>784</v>
      </c>
      <c r="AR308" s="258" t="s">
        <v>784</v>
      </c>
      <c r="AS308" s="258" t="s">
        <v>784</v>
      </c>
      <c r="AT308" s="258" t="s">
        <v>784</v>
      </c>
      <c r="AU308" s="258" t="s">
        <v>784</v>
      </c>
      <c r="AV308" s="258" t="s">
        <v>784</v>
      </c>
      <c r="AW308" s="258" t="s">
        <v>784</v>
      </c>
      <c r="AX308" s="258" t="s">
        <v>784</v>
      </c>
      <c r="AY308" s="258" t="s">
        <v>784</v>
      </c>
      <c r="AZ308" s="258" t="s">
        <v>784</v>
      </c>
      <c r="BA308" s="258" t="s">
        <v>784</v>
      </c>
      <c r="BB308" s="258" t="s">
        <v>784</v>
      </c>
      <c r="BC308" s="258" t="s">
        <v>784</v>
      </c>
      <c r="BD308" s="258" t="s">
        <v>784</v>
      </c>
      <c r="BE308" s="258" t="s">
        <v>784</v>
      </c>
      <c r="BF308" s="258" t="s">
        <v>784</v>
      </c>
    </row>
    <row r="309" spans="1:58" x14ac:dyDescent="0.3">
      <c r="A309" s="260" t="s">
        <v>888</v>
      </c>
      <c r="B309" s="256">
        <v>0</v>
      </c>
      <c r="C309" s="256">
        <v>0</v>
      </c>
      <c r="D309" s="256">
        <v>0</v>
      </c>
      <c r="E309" s="256">
        <v>0</v>
      </c>
      <c r="F309" s="256">
        <v>0</v>
      </c>
      <c r="G309" s="256">
        <v>0</v>
      </c>
      <c r="H309" s="256">
        <v>0</v>
      </c>
      <c r="I309" s="256">
        <v>0</v>
      </c>
      <c r="J309" s="256">
        <v>0</v>
      </c>
      <c r="K309" s="261" t="s">
        <v>784</v>
      </c>
      <c r="L309" s="261" t="s">
        <v>784</v>
      </c>
      <c r="M309" s="261" t="s">
        <v>784</v>
      </c>
      <c r="N309" s="261" t="s">
        <v>784</v>
      </c>
      <c r="O309" s="261" t="s">
        <v>784</v>
      </c>
      <c r="P309" s="261" t="s">
        <v>784</v>
      </c>
      <c r="Q309" s="261" t="s">
        <v>784</v>
      </c>
      <c r="R309" s="256">
        <v>0</v>
      </c>
      <c r="S309" s="256">
        <v>0</v>
      </c>
      <c r="T309" s="256">
        <v>0</v>
      </c>
      <c r="U309" s="256">
        <v>0</v>
      </c>
      <c r="V309" s="256">
        <v>0</v>
      </c>
      <c r="W309" s="256">
        <v>0</v>
      </c>
      <c r="X309" s="256">
        <v>0</v>
      </c>
      <c r="Y309" s="256">
        <v>0</v>
      </c>
      <c r="Z309" s="256">
        <v>0</v>
      </c>
      <c r="AA309" s="256">
        <v>0</v>
      </c>
      <c r="AB309" s="256">
        <v>0</v>
      </c>
      <c r="AC309" s="256">
        <v>0</v>
      </c>
      <c r="AD309" s="256">
        <v>0</v>
      </c>
      <c r="AE309" s="256">
        <v>0</v>
      </c>
      <c r="AF309" s="256">
        <v>0</v>
      </c>
      <c r="AG309" s="256">
        <v>0</v>
      </c>
      <c r="AH309" s="256">
        <v>0</v>
      </c>
      <c r="AI309" s="256">
        <v>0</v>
      </c>
      <c r="AJ309" s="256">
        <v>0</v>
      </c>
      <c r="AK309" s="256">
        <v>0</v>
      </c>
      <c r="AL309" s="256">
        <v>25718</v>
      </c>
      <c r="AM309" s="256">
        <v>775163</v>
      </c>
      <c r="AN309" s="256">
        <v>724663</v>
      </c>
      <c r="AO309" s="256">
        <v>459663</v>
      </c>
      <c r="AP309" s="256">
        <v>421270</v>
      </c>
      <c r="AQ309" s="256">
        <v>676691</v>
      </c>
      <c r="AR309" s="256">
        <v>708873</v>
      </c>
      <c r="AS309" s="256">
        <v>747000</v>
      </c>
      <c r="AT309" s="256">
        <v>389753</v>
      </c>
      <c r="AU309" s="256">
        <v>281251</v>
      </c>
      <c r="AV309" s="256">
        <v>2959261</v>
      </c>
      <c r="AW309" s="256">
        <v>3220824</v>
      </c>
      <c r="AX309" s="256">
        <v>3307368</v>
      </c>
      <c r="AY309" s="256">
        <v>3748241</v>
      </c>
      <c r="AZ309" s="256">
        <v>5539105</v>
      </c>
      <c r="BA309" s="256">
        <v>5428115</v>
      </c>
      <c r="BB309" s="256">
        <v>5248108</v>
      </c>
      <c r="BC309" s="256">
        <v>5318627</v>
      </c>
      <c r="BD309" s="256">
        <v>4389772</v>
      </c>
      <c r="BE309" s="256">
        <v>4562425</v>
      </c>
      <c r="BF309" s="256">
        <v>4340854</v>
      </c>
    </row>
    <row r="310" spans="1:58" x14ac:dyDescent="0.3">
      <c r="A310" s="260" t="s">
        <v>891</v>
      </c>
      <c r="B310" s="256">
        <v>0</v>
      </c>
      <c r="C310" s="256">
        <v>0</v>
      </c>
      <c r="D310" s="256">
        <v>0</v>
      </c>
      <c r="E310" s="256">
        <v>0</v>
      </c>
      <c r="F310" s="256">
        <v>0</v>
      </c>
      <c r="G310" s="256">
        <v>0</v>
      </c>
      <c r="H310" s="256">
        <v>0</v>
      </c>
      <c r="I310" s="256">
        <v>0</v>
      </c>
      <c r="J310" s="256">
        <v>0</v>
      </c>
      <c r="K310" s="261" t="s">
        <v>784</v>
      </c>
      <c r="L310" s="261" t="s">
        <v>784</v>
      </c>
      <c r="M310" s="261" t="s">
        <v>784</v>
      </c>
      <c r="N310" s="261" t="s">
        <v>784</v>
      </c>
      <c r="O310" s="261" t="s">
        <v>784</v>
      </c>
      <c r="P310" s="261" t="s">
        <v>784</v>
      </c>
      <c r="Q310" s="261" t="s">
        <v>784</v>
      </c>
      <c r="R310" s="256">
        <v>0</v>
      </c>
      <c r="S310" s="256">
        <v>0</v>
      </c>
      <c r="T310" s="256">
        <v>0</v>
      </c>
      <c r="U310" s="256">
        <v>0</v>
      </c>
      <c r="V310" s="256">
        <v>87568</v>
      </c>
      <c r="W310" s="256">
        <v>87192</v>
      </c>
      <c r="X310" s="256">
        <v>87192</v>
      </c>
      <c r="Y310" s="256">
        <v>87192</v>
      </c>
      <c r="Z310" s="256">
        <v>31461</v>
      </c>
      <c r="AA310" s="256">
        <v>31454</v>
      </c>
      <c r="AB310" s="256">
        <v>31430</v>
      </c>
      <c r="AC310" s="256">
        <v>31431</v>
      </c>
      <c r="AD310" s="256">
        <v>31431</v>
      </c>
      <c r="AE310" s="256">
        <v>31431</v>
      </c>
      <c r="AF310" s="256">
        <v>31431</v>
      </c>
      <c r="AG310" s="256">
        <v>31393</v>
      </c>
      <c r="AH310" s="256">
        <v>54038</v>
      </c>
      <c r="AI310" s="256">
        <v>31245</v>
      </c>
      <c r="AJ310" s="256">
        <v>31241</v>
      </c>
      <c r="AK310" s="256">
        <v>31241</v>
      </c>
      <c r="AL310" s="256">
        <v>31241</v>
      </c>
      <c r="AM310" s="256">
        <v>0</v>
      </c>
      <c r="AN310" s="256">
        <v>0</v>
      </c>
      <c r="AO310" s="256">
        <v>0</v>
      </c>
      <c r="AP310" s="256">
        <v>0</v>
      </c>
      <c r="AQ310" s="256">
        <v>0</v>
      </c>
      <c r="AR310" s="256">
        <v>0</v>
      </c>
      <c r="AS310" s="256">
        <v>0</v>
      </c>
      <c r="AT310" s="256">
        <v>0</v>
      </c>
      <c r="AU310" s="256">
        <v>0</v>
      </c>
      <c r="AV310" s="256">
        <v>0</v>
      </c>
      <c r="AW310" s="256">
        <v>0</v>
      </c>
      <c r="AX310" s="256">
        <v>0</v>
      </c>
      <c r="AY310" s="256">
        <v>0</v>
      </c>
      <c r="AZ310" s="256">
        <v>0</v>
      </c>
      <c r="BA310" s="256">
        <v>2066670</v>
      </c>
      <c r="BB310" s="256">
        <v>2039518</v>
      </c>
      <c r="BC310" s="256">
        <v>1942333</v>
      </c>
      <c r="BD310" s="256">
        <v>1808793</v>
      </c>
      <c r="BE310" s="256">
        <v>1871454</v>
      </c>
      <c r="BF310" s="256">
        <v>1800248</v>
      </c>
    </row>
    <row r="311" spans="1:58" x14ac:dyDescent="0.3">
      <c r="A311" s="260" t="s">
        <v>904</v>
      </c>
      <c r="B311" s="256">
        <v>0</v>
      </c>
      <c r="C311" s="256">
        <v>0</v>
      </c>
      <c r="D311" s="256">
        <v>0</v>
      </c>
      <c r="E311" s="256">
        <v>0</v>
      </c>
      <c r="F311" s="256">
        <v>0</v>
      </c>
      <c r="G311" s="256">
        <v>0</v>
      </c>
      <c r="H311" s="256">
        <v>0</v>
      </c>
      <c r="I311" s="256">
        <v>0</v>
      </c>
      <c r="J311" s="256">
        <v>0</v>
      </c>
      <c r="K311" s="256">
        <v>0</v>
      </c>
      <c r="L311" s="256">
        <v>0</v>
      </c>
      <c r="M311" s="256">
        <v>0</v>
      </c>
      <c r="N311" s="256">
        <v>0</v>
      </c>
      <c r="O311" s="256">
        <v>0</v>
      </c>
      <c r="P311" s="256">
        <v>200</v>
      </c>
      <c r="Q311" s="256">
        <v>300</v>
      </c>
      <c r="R311" s="256">
        <v>0</v>
      </c>
      <c r="S311" s="256">
        <v>114139</v>
      </c>
      <c r="T311" s="256">
        <v>82619</v>
      </c>
      <c r="U311" s="256">
        <v>85333</v>
      </c>
      <c r="V311" s="256">
        <v>171877</v>
      </c>
      <c r="W311" s="256">
        <v>207215</v>
      </c>
      <c r="X311" s="256">
        <v>202816</v>
      </c>
      <c r="Y311" s="256">
        <v>259802</v>
      </c>
      <c r="Z311" s="256">
        <v>128912</v>
      </c>
      <c r="AA311" s="256">
        <v>108756</v>
      </c>
      <c r="AB311" s="256">
        <v>100657</v>
      </c>
      <c r="AC311" s="256">
        <v>100694</v>
      </c>
      <c r="AD311" s="256">
        <v>105063</v>
      </c>
      <c r="AE311" s="256">
        <v>141898</v>
      </c>
      <c r="AF311" s="256">
        <v>96077</v>
      </c>
      <c r="AG311" s="256">
        <v>96506</v>
      </c>
      <c r="AH311" s="256">
        <v>89238</v>
      </c>
      <c r="AI311" s="256">
        <v>89941</v>
      </c>
      <c r="AJ311" s="256">
        <v>106416</v>
      </c>
      <c r="AK311" s="256">
        <v>106362</v>
      </c>
      <c r="AL311" s="256">
        <v>86154</v>
      </c>
      <c r="AM311" s="256">
        <v>656202</v>
      </c>
      <c r="AN311" s="256">
        <v>563933</v>
      </c>
      <c r="AO311" s="256">
        <v>625273</v>
      </c>
      <c r="AP311" s="256">
        <v>829246</v>
      </c>
      <c r="AQ311" s="256">
        <v>938838</v>
      </c>
      <c r="AR311" s="256">
        <v>996106</v>
      </c>
      <c r="AS311" s="256">
        <v>1273718</v>
      </c>
      <c r="AT311" s="256">
        <v>714313</v>
      </c>
      <c r="AU311" s="256">
        <v>944654</v>
      </c>
      <c r="AV311" s="256">
        <v>889337</v>
      </c>
      <c r="AW311" s="256">
        <v>835671</v>
      </c>
      <c r="AX311" s="256">
        <v>719573</v>
      </c>
      <c r="AY311" s="256">
        <v>592462</v>
      </c>
      <c r="AZ311" s="256">
        <v>675662</v>
      </c>
      <c r="BA311" s="256">
        <v>702022</v>
      </c>
      <c r="BB311" s="256">
        <v>294981</v>
      </c>
      <c r="BC311" s="256">
        <v>2300388</v>
      </c>
      <c r="BD311" s="256">
        <v>2613821</v>
      </c>
      <c r="BE311" s="256">
        <v>2653271</v>
      </c>
      <c r="BF311" s="256">
        <v>2067530</v>
      </c>
    </row>
    <row r="312" spans="1:58" x14ac:dyDescent="0.3">
      <c r="A312" s="260" t="s">
        <v>1036</v>
      </c>
      <c r="B312" s="256">
        <v>0</v>
      </c>
      <c r="C312" s="256">
        <v>0</v>
      </c>
      <c r="D312" s="256">
        <v>0</v>
      </c>
      <c r="E312" s="256">
        <v>0</v>
      </c>
      <c r="F312" s="256">
        <v>0</v>
      </c>
      <c r="G312" s="256">
        <v>0</v>
      </c>
      <c r="H312" s="261" t="s">
        <v>784</v>
      </c>
      <c r="I312" s="261" t="s">
        <v>784</v>
      </c>
      <c r="J312" s="261" t="s">
        <v>784</v>
      </c>
      <c r="K312" s="261" t="s">
        <v>784</v>
      </c>
      <c r="L312" s="261" t="s">
        <v>784</v>
      </c>
      <c r="M312" s="261" t="s">
        <v>784</v>
      </c>
      <c r="N312" s="261" t="s">
        <v>784</v>
      </c>
      <c r="O312" s="261" t="s">
        <v>784</v>
      </c>
      <c r="P312" s="261" t="s">
        <v>784</v>
      </c>
      <c r="Q312" s="261" t="s">
        <v>784</v>
      </c>
      <c r="R312" s="261" t="s">
        <v>784</v>
      </c>
      <c r="S312" s="261" t="s">
        <v>784</v>
      </c>
      <c r="T312" s="261" t="s">
        <v>784</v>
      </c>
      <c r="U312" s="261" t="s">
        <v>784</v>
      </c>
      <c r="V312" s="261" t="s">
        <v>784</v>
      </c>
      <c r="W312" s="261" t="s">
        <v>784</v>
      </c>
      <c r="X312" s="261" t="s">
        <v>784</v>
      </c>
      <c r="Y312" s="261" t="s">
        <v>784</v>
      </c>
      <c r="Z312" s="261" t="s">
        <v>784</v>
      </c>
      <c r="AA312" s="261" t="s">
        <v>784</v>
      </c>
      <c r="AB312" s="261" t="s">
        <v>784</v>
      </c>
      <c r="AC312" s="261" t="s">
        <v>784</v>
      </c>
      <c r="AD312" s="261" t="s">
        <v>784</v>
      </c>
      <c r="AE312" s="261" t="s">
        <v>784</v>
      </c>
      <c r="AF312" s="261" t="s">
        <v>784</v>
      </c>
      <c r="AG312" s="261" t="s">
        <v>784</v>
      </c>
      <c r="AH312" s="261" t="s">
        <v>784</v>
      </c>
      <c r="AI312" s="261" t="s">
        <v>784</v>
      </c>
      <c r="AJ312" s="261" t="s">
        <v>784</v>
      </c>
      <c r="AK312" s="261" t="s">
        <v>784</v>
      </c>
      <c r="AL312" s="261" t="s">
        <v>784</v>
      </c>
      <c r="AM312" s="261" t="s">
        <v>784</v>
      </c>
      <c r="AN312" s="261" t="s">
        <v>784</v>
      </c>
      <c r="AO312" s="261" t="s">
        <v>784</v>
      </c>
      <c r="AP312" s="261" t="s">
        <v>784</v>
      </c>
      <c r="AQ312" s="261" t="s">
        <v>784</v>
      </c>
      <c r="AR312" s="261" t="s">
        <v>784</v>
      </c>
      <c r="AS312" s="261" t="s">
        <v>784</v>
      </c>
      <c r="AT312" s="261" t="s">
        <v>784</v>
      </c>
      <c r="AU312" s="261" t="s">
        <v>784</v>
      </c>
      <c r="AV312" s="261" t="s">
        <v>784</v>
      </c>
      <c r="AW312" s="261" t="s">
        <v>784</v>
      </c>
      <c r="AX312" s="261" t="s">
        <v>784</v>
      </c>
      <c r="AY312" s="261" t="s">
        <v>784</v>
      </c>
      <c r="AZ312" s="261" t="s">
        <v>784</v>
      </c>
      <c r="BA312" s="261" t="s">
        <v>784</v>
      </c>
      <c r="BB312" s="261" t="s">
        <v>784</v>
      </c>
      <c r="BC312" s="261" t="s">
        <v>784</v>
      </c>
      <c r="BD312" s="261" t="s">
        <v>784</v>
      </c>
      <c r="BE312" s="261" t="s">
        <v>784</v>
      </c>
      <c r="BF312" s="261" t="s">
        <v>784</v>
      </c>
    </row>
    <row r="313" spans="1:58" x14ac:dyDescent="0.3">
      <c r="A313" s="260" t="s">
        <v>931</v>
      </c>
      <c r="B313" s="256">
        <v>0</v>
      </c>
      <c r="C313" s="256">
        <v>0</v>
      </c>
      <c r="D313" s="256">
        <v>0</v>
      </c>
      <c r="E313" s="256">
        <v>0</v>
      </c>
      <c r="F313" s="256">
        <v>0</v>
      </c>
      <c r="G313" s="256">
        <v>0</v>
      </c>
      <c r="H313" s="261" t="s">
        <v>784</v>
      </c>
      <c r="I313" s="261" t="s">
        <v>784</v>
      </c>
      <c r="J313" s="261" t="s">
        <v>784</v>
      </c>
      <c r="K313" s="261" t="s">
        <v>784</v>
      </c>
      <c r="L313" s="261" t="s">
        <v>784</v>
      </c>
      <c r="M313" s="261" t="s">
        <v>784</v>
      </c>
      <c r="N313" s="261" t="s">
        <v>784</v>
      </c>
      <c r="O313" s="261" t="s">
        <v>784</v>
      </c>
      <c r="P313" s="261" t="s">
        <v>784</v>
      </c>
      <c r="Q313" s="261" t="s">
        <v>784</v>
      </c>
      <c r="R313" s="261" t="s">
        <v>784</v>
      </c>
      <c r="S313" s="261" t="s">
        <v>784</v>
      </c>
      <c r="T313" s="261" t="s">
        <v>784</v>
      </c>
      <c r="U313" s="261" t="s">
        <v>784</v>
      </c>
      <c r="V313" s="261" t="s">
        <v>784</v>
      </c>
      <c r="W313" s="261" t="s">
        <v>784</v>
      </c>
      <c r="X313" s="261" t="s">
        <v>784</v>
      </c>
      <c r="Y313" s="261" t="s">
        <v>784</v>
      </c>
      <c r="Z313" s="261" t="s">
        <v>784</v>
      </c>
      <c r="AA313" s="261" t="s">
        <v>784</v>
      </c>
      <c r="AB313" s="261" t="s">
        <v>784</v>
      </c>
      <c r="AC313" s="261" t="s">
        <v>784</v>
      </c>
      <c r="AD313" s="261" t="s">
        <v>784</v>
      </c>
      <c r="AE313" s="261" t="s">
        <v>784</v>
      </c>
      <c r="AF313" s="261" t="s">
        <v>784</v>
      </c>
      <c r="AG313" s="261" t="s">
        <v>784</v>
      </c>
      <c r="AH313" s="261" t="s">
        <v>784</v>
      </c>
      <c r="AI313" s="261" t="s">
        <v>784</v>
      </c>
      <c r="AJ313" s="261" t="s">
        <v>784</v>
      </c>
      <c r="AK313" s="261" t="s">
        <v>784</v>
      </c>
      <c r="AL313" s="261" t="s">
        <v>784</v>
      </c>
      <c r="AM313" s="261" t="s">
        <v>784</v>
      </c>
      <c r="AN313" s="261" t="s">
        <v>784</v>
      </c>
      <c r="AO313" s="261" t="s">
        <v>784</v>
      </c>
      <c r="AP313" s="261" t="s">
        <v>784</v>
      </c>
      <c r="AQ313" s="261" t="s">
        <v>784</v>
      </c>
      <c r="AR313" s="261" t="s">
        <v>784</v>
      </c>
      <c r="AS313" s="261" t="s">
        <v>784</v>
      </c>
      <c r="AT313" s="261" t="s">
        <v>784</v>
      </c>
      <c r="AU313" s="261" t="s">
        <v>784</v>
      </c>
      <c r="AV313" s="261" t="s">
        <v>784</v>
      </c>
      <c r="AW313" s="261" t="s">
        <v>784</v>
      </c>
      <c r="AX313" s="261" t="s">
        <v>784</v>
      </c>
      <c r="AY313" s="261" t="s">
        <v>784</v>
      </c>
      <c r="AZ313" s="261" t="s">
        <v>784</v>
      </c>
      <c r="BA313" s="261" t="s">
        <v>784</v>
      </c>
      <c r="BB313" s="261" t="s">
        <v>784</v>
      </c>
      <c r="BC313" s="261" t="s">
        <v>784</v>
      </c>
      <c r="BD313" s="261" t="s">
        <v>784</v>
      </c>
      <c r="BE313" s="261" t="s">
        <v>784</v>
      </c>
      <c r="BF313" s="261" t="s">
        <v>784</v>
      </c>
    </row>
    <row r="314" spans="1:58" x14ac:dyDescent="0.3">
      <c r="A314" s="260" t="s">
        <v>1037</v>
      </c>
      <c r="B314" s="256">
        <v>0</v>
      </c>
      <c r="C314" s="256">
        <v>0</v>
      </c>
      <c r="D314" s="256">
        <v>0</v>
      </c>
      <c r="E314" s="256">
        <v>0</v>
      </c>
      <c r="F314" s="256">
        <v>0</v>
      </c>
      <c r="G314" s="256">
        <v>0</v>
      </c>
      <c r="H314" s="261" t="s">
        <v>784</v>
      </c>
      <c r="I314" s="261" t="s">
        <v>784</v>
      </c>
      <c r="J314" s="261" t="s">
        <v>784</v>
      </c>
      <c r="K314" s="261" t="s">
        <v>784</v>
      </c>
      <c r="L314" s="261" t="s">
        <v>784</v>
      </c>
      <c r="M314" s="261" t="s">
        <v>784</v>
      </c>
      <c r="N314" s="261" t="s">
        <v>784</v>
      </c>
      <c r="O314" s="261" t="s">
        <v>784</v>
      </c>
      <c r="P314" s="261" t="s">
        <v>784</v>
      </c>
      <c r="Q314" s="261" t="s">
        <v>784</v>
      </c>
      <c r="R314" s="261" t="s">
        <v>784</v>
      </c>
      <c r="S314" s="261" t="s">
        <v>784</v>
      </c>
      <c r="T314" s="261" t="s">
        <v>784</v>
      </c>
      <c r="U314" s="261" t="s">
        <v>784</v>
      </c>
      <c r="V314" s="261" t="s">
        <v>784</v>
      </c>
      <c r="W314" s="261" t="s">
        <v>784</v>
      </c>
      <c r="X314" s="261" t="s">
        <v>784</v>
      </c>
      <c r="Y314" s="261" t="s">
        <v>784</v>
      </c>
      <c r="Z314" s="261" t="s">
        <v>784</v>
      </c>
      <c r="AA314" s="261" t="s">
        <v>784</v>
      </c>
      <c r="AB314" s="261" t="s">
        <v>784</v>
      </c>
      <c r="AC314" s="261" t="s">
        <v>784</v>
      </c>
      <c r="AD314" s="261" t="s">
        <v>784</v>
      </c>
      <c r="AE314" s="261" t="s">
        <v>784</v>
      </c>
      <c r="AF314" s="261" t="s">
        <v>784</v>
      </c>
      <c r="AG314" s="261" t="s">
        <v>784</v>
      </c>
      <c r="AH314" s="261" t="s">
        <v>784</v>
      </c>
      <c r="AI314" s="261" t="s">
        <v>784</v>
      </c>
      <c r="AJ314" s="261" t="s">
        <v>784</v>
      </c>
      <c r="AK314" s="261" t="s">
        <v>784</v>
      </c>
      <c r="AL314" s="261" t="s">
        <v>784</v>
      </c>
      <c r="AM314" s="261" t="s">
        <v>784</v>
      </c>
      <c r="AN314" s="261" t="s">
        <v>784</v>
      </c>
      <c r="AO314" s="261" t="s">
        <v>784</v>
      </c>
      <c r="AP314" s="261" t="s">
        <v>784</v>
      </c>
      <c r="AQ314" s="261" t="s">
        <v>784</v>
      </c>
      <c r="AR314" s="261" t="s">
        <v>784</v>
      </c>
      <c r="AS314" s="261" t="s">
        <v>784</v>
      </c>
      <c r="AT314" s="261" t="s">
        <v>784</v>
      </c>
      <c r="AU314" s="261" t="s">
        <v>784</v>
      </c>
      <c r="AV314" s="261" t="s">
        <v>784</v>
      </c>
      <c r="AW314" s="261" t="s">
        <v>784</v>
      </c>
      <c r="AX314" s="261" t="s">
        <v>784</v>
      </c>
      <c r="AY314" s="261" t="s">
        <v>784</v>
      </c>
      <c r="AZ314" s="261" t="s">
        <v>784</v>
      </c>
      <c r="BA314" s="261" t="s">
        <v>784</v>
      </c>
      <c r="BB314" s="261" t="s">
        <v>784</v>
      </c>
      <c r="BC314" s="261" t="s">
        <v>784</v>
      </c>
      <c r="BD314" s="261" t="s">
        <v>784</v>
      </c>
      <c r="BE314" s="261" t="s">
        <v>784</v>
      </c>
      <c r="BF314" s="261" t="s">
        <v>784</v>
      </c>
    </row>
    <row r="315" spans="1:58" x14ac:dyDescent="0.3">
      <c r="A315" s="255" t="s">
        <v>1038</v>
      </c>
      <c r="B315" s="256">
        <v>0</v>
      </c>
      <c r="C315" s="256">
        <v>0</v>
      </c>
      <c r="D315" s="256">
        <v>0</v>
      </c>
      <c r="E315" s="256">
        <v>0</v>
      </c>
      <c r="F315" s="256">
        <v>0</v>
      </c>
      <c r="G315" s="256">
        <v>0</v>
      </c>
      <c r="H315" s="256">
        <v>0</v>
      </c>
      <c r="I315" s="256">
        <v>0</v>
      </c>
      <c r="J315" s="256">
        <v>0</v>
      </c>
      <c r="K315" s="256">
        <v>0</v>
      </c>
      <c r="L315" s="256">
        <v>0</v>
      </c>
      <c r="M315" s="256">
        <v>0</v>
      </c>
      <c r="N315" s="256">
        <v>0</v>
      </c>
      <c r="O315" s="256">
        <v>0</v>
      </c>
      <c r="P315" s="256">
        <v>0</v>
      </c>
      <c r="Q315" s="256">
        <v>0</v>
      </c>
      <c r="R315" s="256">
        <v>0</v>
      </c>
      <c r="S315" s="256">
        <v>0</v>
      </c>
      <c r="T315" s="256">
        <v>0</v>
      </c>
      <c r="U315" s="256">
        <v>0</v>
      </c>
      <c r="V315" s="256">
        <v>0</v>
      </c>
      <c r="W315" s="256">
        <v>0</v>
      </c>
      <c r="X315" s="256">
        <v>0</v>
      </c>
      <c r="Y315" s="256">
        <v>0</v>
      </c>
      <c r="Z315" s="256">
        <v>0</v>
      </c>
      <c r="AA315" s="256">
        <v>0</v>
      </c>
      <c r="AB315" s="256">
        <v>0</v>
      </c>
      <c r="AC315" s="256">
        <v>0</v>
      </c>
      <c r="AD315" s="256">
        <v>0</v>
      </c>
      <c r="AE315" s="256">
        <v>0</v>
      </c>
      <c r="AF315" s="256">
        <v>0</v>
      </c>
      <c r="AG315" s="256">
        <v>0</v>
      </c>
      <c r="AH315" s="256">
        <v>0</v>
      </c>
      <c r="AI315" s="256">
        <v>0</v>
      </c>
      <c r="AJ315" s="256">
        <v>0</v>
      </c>
      <c r="AK315" s="256">
        <v>0</v>
      </c>
      <c r="AL315" s="256">
        <v>0</v>
      </c>
      <c r="AM315" s="256">
        <v>0</v>
      </c>
      <c r="AN315" s="256">
        <v>0</v>
      </c>
      <c r="AO315" s="256">
        <v>0</v>
      </c>
      <c r="AP315" s="256">
        <v>0</v>
      </c>
      <c r="AQ315" s="256">
        <v>0</v>
      </c>
      <c r="AR315" s="256">
        <v>0</v>
      </c>
      <c r="AS315" s="256">
        <v>0</v>
      </c>
      <c r="AT315" s="256">
        <v>0</v>
      </c>
      <c r="AU315" s="256">
        <v>0</v>
      </c>
      <c r="AV315" s="256">
        <v>0</v>
      </c>
      <c r="AW315" s="256">
        <v>0</v>
      </c>
      <c r="AX315" s="256">
        <v>0</v>
      </c>
      <c r="AY315" s="256">
        <v>0</v>
      </c>
      <c r="AZ315" s="256">
        <v>0</v>
      </c>
      <c r="BA315" s="256">
        <v>0</v>
      </c>
      <c r="BB315" s="256">
        <v>0</v>
      </c>
      <c r="BC315" s="256">
        <v>0</v>
      </c>
      <c r="BD315" s="256">
        <v>0</v>
      </c>
      <c r="BE315" s="256">
        <v>0</v>
      </c>
      <c r="BF315" s="256">
        <v>0</v>
      </c>
    </row>
    <row r="316" spans="1:58" x14ac:dyDescent="0.3">
      <c r="A316" s="255" t="s">
        <v>922</v>
      </c>
      <c r="B316" s="256">
        <v>0</v>
      </c>
      <c r="C316" s="256">
        <v>0</v>
      </c>
      <c r="D316" s="256">
        <v>-946</v>
      </c>
      <c r="E316" s="256">
        <v>32</v>
      </c>
      <c r="F316" s="256">
        <v>0</v>
      </c>
      <c r="G316" s="256">
        <v>0</v>
      </c>
      <c r="H316" s="256">
        <v>0</v>
      </c>
      <c r="I316" s="256">
        <v>0</v>
      </c>
      <c r="J316" s="256">
        <v>0</v>
      </c>
      <c r="K316" s="256">
        <v>0</v>
      </c>
      <c r="L316" s="256">
        <v>0</v>
      </c>
      <c r="M316" s="256">
        <v>0</v>
      </c>
      <c r="N316" s="256">
        <v>0</v>
      </c>
      <c r="O316" s="256">
        <v>0</v>
      </c>
      <c r="P316" s="256">
        <v>0</v>
      </c>
      <c r="Q316" s="256">
        <v>0</v>
      </c>
      <c r="R316" s="256">
        <v>0</v>
      </c>
      <c r="S316" s="256">
        <v>0</v>
      </c>
      <c r="T316" s="256">
        <v>0</v>
      </c>
      <c r="U316" s="256">
        <v>0</v>
      </c>
      <c r="V316" s="256">
        <v>0</v>
      </c>
      <c r="W316" s="256">
        <v>0</v>
      </c>
      <c r="X316" s="256">
        <v>0</v>
      </c>
      <c r="Y316" s="256">
        <v>-24208</v>
      </c>
      <c r="Z316" s="256">
        <v>0</v>
      </c>
      <c r="AA316" s="256">
        <v>0</v>
      </c>
      <c r="AB316" s="256">
        <v>0</v>
      </c>
      <c r="AC316" s="256">
        <v>0</v>
      </c>
      <c r="AD316" s="256">
        <v>0</v>
      </c>
      <c r="AE316" s="256">
        <v>0</v>
      </c>
      <c r="AF316" s="256">
        <v>0</v>
      </c>
      <c r="AG316" s="256">
        <v>0</v>
      </c>
      <c r="AH316" s="256">
        <v>0</v>
      </c>
      <c r="AI316" s="256">
        <v>0</v>
      </c>
      <c r="AJ316" s="256">
        <v>0</v>
      </c>
      <c r="AK316" s="256">
        <v>0</v>
      </c>
      <c r="AL316" s="256">
        <v>0</v>
      </c>
      <c r="AM316" s="256">
        <v>833</v>
      </c>
      <c r="AN316" s="256">
        <v>1161</v>
      </c>
      <c r="AO316" s="256">
        <v>1519</v>
      </c>
      <c r="AP316" s="256">
        <v>759</v>
      </c>
      <c r="AQ316" s="256">
        <v>979</v>
      </c>
      <c r="AR316" s="256">
        <v>993</v>
      </c>
      <c r="AS316" s="256">
        <v>1031</v>
      </c>
      <c r="AT316" s="256">
        <v>849</v>
      </c>
      <c r="AU316" s="256">
        <v>0</v>
      </c>
      <c r="AV316" s="256">
        <v>0</v>
      </c>
      <c r="AW316" s="256">
        <v>0</v>
      </c>
      <c r="AX316" s="256">
        <v>0</v>
      </c>
      <c r="AY316" s="256">
        <v>0</v>
      </c>
      <c r="AZ316" s="256">
        <v>0</v>
      </c>
      <c r="BA316" s="256">
        <v>0</v>
      </c>
      <c r="BB316" s="256">
        <v>0</v>
      </c>
      <c r="BC316" s="256">
        <v>0</v>
      </c>
      <c r="BD316" s="256">
        <v>0</v>
      </c>
      <c r="BE316" s="256">
        <v>0</v>
      </c>
      <c r="BF316" s="256">
        <v>0</v>
      </c>
    </row>
    <row r="317" spans="1:58" x14ac:dyDescent="0.3">
      <c r="A317" s="255" t="s">
        <v>923</v>
      </c>
      <c r="B317" s="256">
        <v>406866</v>
      </c>
      <c r="C317" s="256">
        <v>395564</v>
      </c>
      <c r="D317" s="256">
        <v>403266</v>
      </c>
      <c r="E317" s="256">
        <v>384462</v>
      </c>
      <c r="F317" s="256">
        <v>2660457</v>
      </c>
      <c r="G317" s="256">
        <v>2653050</v>
      </c>
      <c r="H317" s="256">
        <v>3929551</v>
      </c>
      <c r="I317" s="256">
        <v>3949242</v>
      </c>
      <c r="J317" s="256">
        <v>3871719</v>
      </c>
      <c r="K317" s="256">
        <v>3913844</v>
      </c>
      <c r="L317" s="256">
        <v>3844494</v>
      </c>
      <c r="M317" s="256">
        <v>3722348</v>
      </c>
      <c r="N317" s="256">
        <v>3659377</v>
      </c>
      <c r="O317" s="256">
        <v>3574096</v>
      </c>
      <c r="P317" s="256">
        <v>3231086</v>
      </c>
      <c r="Q317" s="256">
        <v>2364625</v>
      </c>
      <c r="R317" s="256">
        <v>1454598</v>
      </c>
      <c r="S317" s="256">
        <v>1470098</v>
      </c>
      <c r="T317" s="256">
        <v>1470858</v>
      </c>
      <c r="U317" s="256">
        <v>1515186</v>
      </c>
      <c r="V317" s="256">
        <v>621733</v>
      </c>
      <c r="W317" s="256">
        <v>627568</v>
      </c>
      <c r="X317" s="256">
        <v>606134</v>
      </c>
      <c r="Y317" s="256">
        <v>703072</v>
      </c>
      <c r="Z317" s="256">
        <v>914105</v>
      </c>
      <c r="AA317" s="256">
        <v>834993</v>
      </c>
      <c r="AB317" s="256">
        <v>774526</v>
      </c>
      <c r="AC317" s="256">
        <v>847552</v>
      </c>
      <c r="AD317" s="256">
        <v>834152</v>
      </c>
      <c r="AE317" s="256">
        <v>904659</v>
      </c>
      <c r="AF317" s="256">
        <v>930824</v>
      </c>
      <c r="AG317" s="256">
        <v>970108</v>
      </c>
      <c r="AH317" s="256">
        <v>860483</v>
      </c>
      <c r="AI317" s="256">
        <v>881116</v>
      </c>
      <c r="AJ317" s="256">
        <v>941004</v>
      </c>
      <c r="AK317" s="256">
        <v>959645</v>
      </c>
      <c r="AL317" s="256">
        <v>1006596</v>
      </c>
      <c r="AM317" s="256">
        <v>1031762</v>
      </c>
      <c r="AN317" s="256">
        <v>1198604</v>
      </c>
      <c r="AO317" s="256">
        <v>1313713</v>
      </c>
      <c r="AP317" s="256">
        <v>2164342</v>
      </c>
      <c r="AQ317" s="256">
        <v>2561678</v>
      </c>
      <c r="AR317" s="256">
        <v>2580173</v>
      </c>
      <c r="AS317" s="256">
        <v>2541814</v>
      </c>
      <c r="AT317" s="256">
        <v>3150414</v>
      </c>
      <c r="AU317" s="256">
        <v>5335225</v>
      </c>
      <c r="AV317" s="256">
        <v>5421757</v>
      </c>
      <c r="AW317" s="256">
        <v>5686920</v>
      </c>
      <c r="AX317" s="256">
        <v>6620249</v>
      </c>
      <c r="AY317" s="256">
        <v>6722946</v>
      </c>
      <c r="AZ317" s="256">
        <v>8171627</v>
      </c>
      <c r="BA317" s="256">
        <v>9237921</v>
      </c>
      <c r="BB317" s="256">
        <v>9892017</v>
      </c>
      <c r="BC317" s="256">
        <v>10628965</v>
      </c>
      <c r="BD317" s="256">
        <v>10753888</v>
      </c>
      <c r="BE317" s="256">
        <v>12901104</v>
      </c>
      <c r="BF317" s="256">
        <v>13878280</v>
      </c>
    </row>
    <row r="318" spans="1:58" x14ac:dyDescent="0.3">
      <c r="A318" s="257" t="s">
        <v>924</v>
      </c>
      <c r="B318" s="259">
        <v>4720</v>
      </c>
      <c r="C318" s="259">
        <v>4720</v>
      </c>
      <c r="D318" s="259">
        <v>4720</v>
      </c>
      <c r="E318" s="259">
        <v>4733</v>
      </c>
      <c r="F318" s="259">
        <v>2348623</v>
      </c>
      <c r="G318" s="259">
        <v>2361674</v>
      </c>
      <c r="H318" s="259">
        <v>3695109</v>
      </c>
      <c r="I318" s="259">
        <v>3767053</v>
      </c>
      <c r="J318" s="259">
        <v>3809535</v>
      </c>
      <c r="K318" s="259">
        <v>3815879</v>
      </c>
      <c r="L318" s="259">
        <v>3815997</v>
      </c>
      <c r="M318" s="259">
        <v>3816006</v>
      </c>
      <c r="N318" s="259">
        <v>3817130</v>
      </c>
      <c r="O318" s="259">
        <v>3818665</v>
      </c>
      <c r="P318" s="259">
        <v>3821205</v>
      </c>
      <c r="Q318" s="259">
        <v>3821205</v>
      </c>
      <c r="R318" s="259">
        <v>3821205</v>
      </c>
      <c r="S318" s="259">
        <v>3821205</v>
      </c>
      <c r="T318" s="259">
        <v>3821206</v>
      </c>
      <c r="U318" s="259">
        <v>3821206</v>
      </c>
      <c r="V318" s="259">
        <v>3821206</v>
      </c>
      <c r="W318" s="259">
        <v>3821206</v>
      </c>
      <c r="X318" s="259">
        <v>3209454</v>
      </c>
      <c r="Y318" s="259">
        <v>3209454</v>
      </c>
      <c r="Z318" s="259">
        <v>3265185</v>
      </c>
      <c r="AA318" s="259">
        <v>3265192</v>
      </c>
      <c r="AB318" s="259">
        <v>3265216</v>
      </c>
      <c r="AC318" s="259">
        <v>3265216</v>
      </c>
      <c r="AD318" s="259">
        <v>3265216</v>
      </c>
      <c r="AE318" s="259">
        <v>3265216</v>
      </c>
      <c r="AF318" s="259">
        <v>3265216</v>
      </c>
      <c r="AG318" s="259">
        <v>3265253</v>
      </c>
      <c r="AH318" s="259">
        <v>3265256</v>
      </c>
      <c r="AI318" s="259">
        <v>3273110</v>
      </c>
      <c r="AJ318" s="259">
        <v>3273114</v>
      </c>
      <c r="AK318" s="259">
        <v>3273114</v>
      </c>
      <c r="AL318" s="259">
        <v>3273114</v>
      </c>
      <c r="AM318" s="259">
        <v>3292211</v>
      </c>
      <c r="AN318" s="259">
        <v>3307246</v>
      </c>
      <c r="AO318" s="259">
        <v>3307246</v>
      </c>
      <c r="AP318" s="259">
        <v>3316411</v>
      </c>
      <c r="AQ318" s="259">
        <v>3326998</v>
      </c>
      <c r="AR318" s="259">
        <v>3326998</v>
      </c>
      <c r="AS318" s="259">
        <v>3326998</v>
      </c>
      <c r="AT318" s="259">
        <v>3326900</v>
      </c>
      <c r="AU318" s="259">
        <v>5305772</v>
      </c>
      <c r="AV318" s="259">
        <v>5303644</v>
      </c>
      <c r="AW318" s="259">
        <v>5303644</v>
      </c>
      <c r="AX318" s="259">
        <v>5303644</v>
      </c>
      <c r="AY318" s="259">
        <v>5320231</v>
      </c>
      <c r="AZ318" s="259">
        <v>5320231</v>
      </c>
      <c r="BA318" s="259">
        <v>5319674</v>
      </c>
      <c r="BB318" s="259">
        <v>5319674</v>
      </c>
      <c r="BC318" s="259">
        <v>5352792</v>
      </c>
      <c r="BD318" s="259">
        <v>5352792</v>
      </c>
      <c r="BE318" s="259">
        <v>5352792</v>
      </c>
      <c r="BF318" s="259">
        <v>5352792</v>
      </c>
    </row>
    <row r="319" spans="1:58" x14ac:dyDescent="0.3">
      <c r="A319" s="257" t="s">
        <v>925</v>
      </c>
      <c r="B319" s="259">
        <v>415084</v>
      </c>
      <c r="C319" s="259">
        <v>415084</v>
      </c>
      <c r="D319" s="259">
        <v>415084</v>
      </c>
      <c r="E319" s="259">
        <v>416915</v>
      </c>
      <c r="F319" s="259">
        <v>416914</v>
      </c>
      <c r="G319" s="259">
        <v>416914</v>
      </c>
      <c r="H319" s="259">
        <v>417964</v>
      </c>
      <c r="I319" s="259">
        <v>417964</v>
      </c>
      <c r="J319" s="259">
        <v>416914</v>
      </c>
      <c r="K319" s="259">
        <v>416914</v>
      </c>
      <c r="L319" s="259">
        <v>416914</v>
      </c>
      <c r="M319" s="259">
        <v>416914</v>
      </c>
      <c r="N319" s="259">
        <v>416914</v>
      </c>
      <c r="O319" s="259">
        <v>416914</v>
      </c>
      <c r="P319" s="259">
        <v>416914</v>
      </c>
      <c r="Q319" s="259">
        <v>416914</v>
      </c>
      <c r="R319" s="259">
        <v>416914</v>
      </c>
      <c r="S319" s="259">
        <v>416914</v>
      </c>
      <c r="T319" s="259">
        <v>416914</v>
      </c>
      <c r="U319" s="259">
        <v>416914</v>
      </c>
      <c r="V319" s="259">
        <v>416914</v>
      </c>
      <c r="W319" s="259">
        <v>416914</v>
      </c>
      <c r="X319" s="259">
        <v>101720</v>
      </c>
      <c r="Y319" s="259">
        <v>101720</v>
      </c>
      <c r="Z319" s="259">
        <v>101720</v>
      </c>
      <c r="AA319" s="259">
        <v>101720</v>
      </c>
      <c r="AB319" s="259">
        <v>101720</v>
      </c>
      <c r="AC319" s="259">
        <v>101720</v>
      </c>
      <c r="AD319" s="259">
        <v>100875</v>
      </c>
      <c r="AE319" s="259">
        <v>96549</v>
      </c>
      <c r="AF319" s="259">
        <v>93619</v>
      </c>
      <c r="AG319" s="259">
        <v>81099</v>
      </c>
      <c r="AH319" s="259">
        <v>82500</v>
      </c>
      <c r="AI319" s="259">
        <v>72997</v>
      </c>
      <c r="AJ319" s="259">
        <v>49067</v>
      </c>
      <c r="AK319" s="259">
        <v>50510</v>
      </c>
      <c r="AL319" s="259">
        <v>58183</v>
      </c>
      <c r="AM319" s="259">
        <v>82240</v>
      </c>
      <c r="AN319" s="259">
        <v>193448</v>
      </c>
      <c r="AO319" s="259">
        <v>198284</v>
      </c>
      <c r="AP319" s="259">
        <v>228027</v>
      </c>
      <c r="AQ319" s="259">
        <v>229312</v>
      </c>
      <c r="AR319" s="259">
        <v>231245</v>
      </c>
      <c r="AS319" s="259">
        <v>233362</v>
      </c>
      <c r="AT319" s="259">
        <v>321359</v>
      </c>
      <c r="AU319" s="259">
        <v>321483</v>
      </c>
      <c r="AV319" s="259">
        <v>322294</v>
      </c>
      <c r="AW319" s="259">
        <v>338879</v>
      </c>
      <c r="AX319" s="259">
        <v>348886</v>
      </c>
      <c r="AY319" s="259">
        <v>354036</v>
      </c>
      <c r="AZ319" s="259">
        <v>370351</v>
      </c>
      <c r="BA319" s="259">
        <v>381665</v>
      </c>
      <c r="BB319" s="259">
        <v>377427</v>
      </c>
      <c r="BC319" s="259">
        <v>199890</v>
      </c>
      <c r="BD319" s="259">
        <v>278597</v>
      </c>
      <c r="BE319" s="259">
        <v>295848</v>
      </c>
      <c r="BF319" s="259">
        <v>-171877</v>
      </c>
    </row>
    <row r="320" spans="1:58" x14ac:dyDescent="0.3">
      <c r="A320" s="257" t="s">
        <v>932</v>
      </c>
      <c r="B320" s="259">
        <v>0</v>
      </c>
      <c r="C320" s="259">
        <v>0</v>
      </c>
      <c r="D320" s="259">
        <v>0</v>
      </c>
      <c r="E320" s="259">
        <v>0</v>
      </c>
      <c r="F320" s="259">
        <v>0</v>
      </c>
      <c r="G320" s="259">
        <v>0</v>
      </c>
      <c r="H320" s="259">
        <v>0</v>
      </c>
      <c r="I320" s="259">
        <v>0</v>
      </c>
      <c r="J320" s="259">
        <v>0</v>
      </c>
      <c r="K320" s="259">
        <v>0</v>
      </c>
      <c r="L320" s="259">
        <v>0</v>
      </c>
      <c r="M320" s="259">
        <v>0</v>
      </c>
      <c r="N320" s="259">
        <v>0</v>
      </c>
      <c r="O320" s="259">
        <v>0</v>
      </c>
      <c r="P320" s="259">
        <v>0</v>
      </c>
      <c r="Q320" s="259">
        <v>0</v>
      </c>
      <c r="R320" s="259">
        <v>0</v>
      </c>
      <c r="S320" s="259">
        <v>0</v>
      </c>
      <c r="T320" s="259">
        <v>0</v>
      </c>
      <c r="U320" s="259">
        <v>0</v>
      </c>
      <c r="V320" s="259">
        <v>0</v>
      </c>
      <c r="W320" s="259">
        <v>0</v>
      </c>
      <c r="X320" s="259">
        <v>0</v>
      </c>
      <c r="Y320" s="259">
        <v>0</v>
      </c>
      <c r="Z320" s="259">
        <v>0</v>
      </c>
      <c r="AA320" s="259">
        <v>0</v>
      </c>
      <c r="AB320" s="259">
        <v>0</v>
      </c>
      <c r="AC320" s="259">
        <v>0</v>
      </c>
      <c r="AD320" s="259">
        <v>0</v>
      </c>
      <c r="AE320" s="259">
        <v>0</v>
      </c>
      <c r="AF320" s="259">
        <v>0</v>
      </c>
      <c r="AG320" s="259">
        <v>0</v>
      </c>
      <c r="AH320" s="259">
        <v>0</v>
      </c>
      <c r="AI320" s="259">
        <v>0</v>
      </c>
      <c r="AJ320" s="259">
        <v>0</v>
      </c>
      <c r="AK320" s="259">
        <v>0</v>
      </c>
      <c r="AL320" s="259">
        <v>0</v>
      </c>
      <c r="AM320" s="259">
        <v>0</v>
      </c>
      <c r="AN320" s="259">
        <v>0</v>
      </c>
      <c r="AO320" s="259">
        <v>0</v>
      </c>
      <c r="AP320" s="259">
        <v>0</v>
      </c>
      <c r="AQ320" s="259">
        <v>0</v>
      </c>
      <c r="AR320" s="259">
        <v>0</v>
      </c>
      <c r="AS320" s="259">
        <v>0</v>
      </c>
      <c r="AT320" s="259">
        <v>0</v>
      </c>
      <c r="AU320" s="259">
        <v>0</v>
      </c>
      <c r="AV320" s="259">
        <v>0</v>
      </c>
      <c r="AW320" s="259">
        <v>0</v>
      </c>
      <c r="AX320" s="259">
        <v>0</v>
      </c>
      <c r="AY320" s="259">
        <v>0</v>
      </c>
      <c r="AZ320" s="259">
        <v>0</v>
      </c>
      <c r="BA320" s="259">
        <v>0</v>
      </c>
      <c r="BB320" s="259">
        <v>0</v>
      </c>
      <c r="BC320" s="259">
        <v>0</v>
      </c>
      <c r="BD320" s="259">
        <v>0</v>
      </c>
      <c r="BE320" s="259">
        <v>0</v>
      </c>
      <c r="BF320" s="259">
        <v>0</v>
      </c>
    </row>
    <row r="321" spans="1:58" x14ac:dyDescent="0.3">
      <c r="A321" s="260" t="s">
        <v>1039</v>
      </c>
      <c r="B321" s="256">
        <v>0</v>
      </c>
      <c r="C321" s="256">
        <v>0</v>
      </c>
      <c r="D321" s="256">
        <v>0</v>
      </c>
      <c r="E321" s="256">
        <v>0</v>
      </c>
      <c r="F321" s="256">
        <v>0</v>
      </c>
      <c r="G321" s="256">
        <v>0</v>
      </c>
      <c r="H321" s="256">
        <v>0</v>
      </c>
      <c r="I321" s="256">
        <v>0</v>
      </c>
      <c r="J321" s="256">
        <v>0</v>
      </c>
      <c r="K321" s="256">
        <v>0</v>
      </c>
      <c r="L321" s="256">
        <v>0</v>
      </c>
      <c r="M321" s="256">
        <v>0</v>
      </c>
      <c r="N321" s="256">
        <v>0</v>
      </c>
      <c r="O321" s="256">
        <v>0</v>
      </c>
      <c r="P321" s="256">
        <v>0</v>
      </c>
      <c r="Q321" s="256">
        <v>0</v>
      </c>
      <c r="R321" s="256">
        <v>0</v>
      </c>
      <c r="S321" s="256">
        <v>0</v>
      </c>
      <c r="T321" s="256">
        <v>0</v>
      </c>
      <c r="U321" s="256">
        <v>0</v>
      </c>
      <c r="V321" s="256">
        <v>0</v>
      </c>
      <c r="W321" s="256">
        <v>0</v>
      </c>
      <c r="X321" s="256">
        <v>0</v>
      </c>
      <c r="Y321" s="256">
        <v>0</v>
      </c>
      <c r="Z321" s="256">
        <v>0</v>
      </c>
      <c r="AA321" s="256">
        <v>0</v>
      </c>
      <c r="AB321" s="256">
        <v>0</v>
      </c>
      <c r="AC321" s="256">
        <v>0</v>
      </c>
      <c r="AD321" s="256">
        <v>0</v>
      </c>
      <c r="AE321" s="256">
        <v>0</v>
      </c>
      <c r="AF321" s="256">
        <v>0</v>
      </c>
      <c r="AG321" s="256">
        <v>0</v>
      </c>
      <c r="AH321" s="256">
        <v>0</v>
      </c>
      <c r="AI321" s="256">
        <v>0</v>
      </c>
      <c r="AJ321" s="256">
        <v>0</v>
      </c>
      <c r="AK321" s="256">
        <v>0</v>
      </c>
      <c r="AL321" s="256">
        <v>0</v>
      </c>
      <c r="AM321" s="256">
        <v>0</v>
      </c>
      <c r="AN321" s="256">
        <v>0</v>
      </c>
      <c r="AO321" s="256">
        <v>0</v>
      </c>
      <c r="AP321" s="256">
        <v>0</v>
      </c>
      <c r="AQ321" s="256">
        <v>0</v>
      </c>
      <c r="AR321" s="256">
        <v>0</v>
      </c>
      <c r="AS321" s="256">
        <v>0</v>
      </c>
      <c r="AT321" s="256">
        <v>0</v>
      </c>
      <c r="AU321" s="256">
        <v>0</v>
      </c>
      <c r="AV321" s="256">
        <v>0</v>
      </c>
      <c r="AW321" s="256">
        <v>0</v>
      </c>
      <c r="AX321" s="256">
        <v>0</v>
      </c>
      <c r="AY321" s="256">
        <v>0</v>
      </c>
      <c r="AZ321" s="256">
        <v>0</v>
      </c>
      <c r="BA321" s="256">
        <v>0</v>
      </c>
      <c r="BB321" s="256">
        <v>0</v>
      </c>
      <c r="BC321" s="256">
        <v>0</v>
      </c>
      <c r="BD321" s="256">
        <v>0</v>
      </c>
      <c r="BE321" s="256">
        <v>0</v>
      </c>
      <c r="BF321" s="256">
        <v>0</v>
      </c>
    </row>
    <row r="322" spans="1:58" x14ac:dyDescent="0.3">
      <c r="A322" s="260" t="s">
        <v>1040</v>
      </c>
      <c r="B322" s="256">
        <v>0</v>
      </c>
      <c r="C322" s="256">
        <v>0</v>
      </c>
      <c r="D322" s="256">
        <v>0</v>
      </c>
      <c r="E322" s="256">
        <v>0</v>
      </c>
      <c r="F322" s="256">
        <v>0</v>
      </c>
      <c r="G322" s="256">
        <v>0</v>
      </c>
      <c r="H322" s="256">
        <v>0</v>
      </c>
      <c r="I322" s="256">
        <v>0</v>
      </c>
      <c r="J322" s="256">
        <v>0</v>
      </c>
      <c r="K322" s="256">
        <v>0</v>
      </c>
      <c r="L322" s="256">
        <v>0</v>
      </c>
      <c r="M322" s="256">
        <v>0</v>
      </c>
      <c r="N322" s="256">
        <v>0</v>
      </c>
      <c r="O322" s="256">
        <v>0</v>
      </c>
      <c r="P322" s="256">
        <v>0</v>
      </c>
      <c r="Q322" s="256">
        <v>0</v>
      </c>
      <c r="R322" s="256">
        <v>0</v>
      </c>
      <c r="S322" s="256">
        <v>0</v>
      </c>
      <c r="T322" s="256">
        <v>0</v>
      </c>
      <c r="U322" s="256">
        <v>0</v>
      </c>
      <c r="V322" s="256">
        <v>0</v>
      </c>
      <c r="W322" s="256">
        <v>0</v>
      </c>
      <c r="X322" s="256">
        <v>0</v>
      </c>
      <c r="Y322" s="256">
        <v>0</v>
      </c>
      <c r="Z322" s="256">
        <v>0</v>
      </c>
      <c r="AA322" s="256">
        <v>0</v>
      </c>
      <c r="AB322" s="256">
        <v>0</v>
      </c>
      <c r="AC322" s="256">
        <v>0</v>
      </c>
      <c r="AD322" s="256">
        <v>0</v>
      </c>
      <c r="AE322" s="256">
        <v>0</v>
      </c>
      <c r="AF322" s="256">
        <v>0</v>
      </c>
      <c r="AG322" s="256">
        <v>0</v>
      </c>
      <c r="AH322" s="256">
        <v>0</v>
      </c>
      <c r="AI322" s="256">
        <v>0</v>
      </c>
      <c r="AJ322" s="256">
        <v>0</v>
      </c>
      <c r="AK322" s="256">
        <v>0</v>
      </c>
      <c r="AL322" s="256">
        <v>0</v>
      </c>
      <c r="AM322" s="256">
        <v>0</v>
      </c>
      <c r="AN322" s="256">
        <v>0</v>
      </c>
      <c r="AO322" s="256">
        <v>0</v>
      </c>
      <c r="AP322" s="256">
        <v>0</v>
      </c>
      <c r="AQ322" s="256">
        <v>0</v>
      </c>
      <c r="AR322" s="256">
        <v>0</v>
      </c>
      <c r="AS322" s="256">
        <v>0</v>
      </c>
      <c r="AT322" s="256">
        <v>0</v>
      </c>
      <c r="AU322" s="256">
        <v>0</v>
      </c>
      <c r="AV322" s="256">
        <v>0</v>
      </c>
      <c r="AW322" s="256">
        <v>0</v>
      </c>
      <c r="AX322" s="256">
        <v>0</v>
      </c>
      <c r="AY322" s="256">
        <v>0</v>
      </c>
      <c r="AZ322" s="256">
        <v>0</v>
      </c>
      <c r="BA322" s="256">
        <v>0</v>
      </c>
      <c r="BB322" s="256">
        <v>0</v>
      </c>
      <c r="BC322" s="256">
        <v>0</v>
      </c>
      <c r="BD322" s="256">
        <v>0</v>
      </c>
      <c r="BE322" s="256">
        <v>0</v>
      </c>
      <c r="BF322" s="256">
        <v>0</v>
      </c>
    </row>
    <row r="323" spans="1:58" x14ac:dyDescent="0.3">
      <c r="A323" s="257" t="s">
        <v>933</v>
      </c>
      <c r="B323" s="259">
        <v>-303</v>
      </c>
      <c r="C323" s="259">
        <v>-210</v>
      </c>
      <c r="D323" s="259">
        <v>0</v>
      </c>
      <c r="E323" s="259">
        <v>0</v>
      </c>
      <c r="F323" s="259">
        <v>0</v>
      </c>
      <c r="G323" s="259">
        <v>0</v>
      </c>
      <c r="H323" s="259">
        <v>0</v>
      </c>
      <c r="I323" s="259">
        <v>0</v>
      </c>
      <c r="J323" s="259">
        <v>0</v>
      </c>
      <c r="K323" s="259">
        <v>0</v>
      </c>
      <c r="L323" s="259">
        <v>0</v>
      </c>
      <c r="M323" s="259">
        <v>0</v>
      </c>
      <c r="N323" s="259">
        <v>0</v>
      </c>
      <c r="O323" s="259">
        <v>0</v>
      </c>
      <c r="P323" s="259">
        <v>0</v>
      </c>
      <c r="Q323" s="259">
        <v>0</v>
      </c>
      <c r="R323" s="259">
        <v>0</v>
      </c>
      <c r="S323" s="259">
        <v>0</v>
      </c>
      <c r="T323" s="259">
        <v>0</v>
      </c>
      <c r="U323" s="259">
        <v>0</v>
      </c>
      <c r="V323" s="259">
        <v>0</v>
      </c>
      <c r="W323" s="259">
        <v>0</v>
      </c>
      <c r="X323" s="259">
        <v>0</v>
      </c>
      <c r="Y323" s="259">
        <v>0</v>
      </c>
      <c r="Z323" s="259">
        <v>0</v>
      </c>
      <c r="AA323" s="259">
        <v>0</v>
      </c>
      <c r="AB323" s="259">
        <v>0</v>
      </c>
      <c r="AC323" s="259">
        <v>0</v>
      </c>
      <c r="AD323" s="259">
        <v>0</v>
      </c>
      <c r="AE323" s="259">
        <v>0</v>
      </c>
      <c r="AF323" s="259">
        <v>0</v>
      </c>
      <c r="AG323" s="259">
        <v>0</v>
      </c>
      <c r="AH323" s="259">
        <v>0</v>
      </c>
      <c r="AI323" s="259">
        <v>0</v>
      </c>
      <c r="AJ323" s="259">
        <v>0</v>
      </c>
      <c r="AK323" s="259">
        <v>0</v>
      </c>
      <c r="AL323" s="259">
        <v>0</v>
      </c>
      <c r="AM323" s="259">
        <v>0</v>
      </c>
      <c r="AN323" s="259">
        <v>0</v>
      </c>
      <c r="AO323" s="259">
        <v>0</v>
      </c>
      <c r="AP323" s="259">
        <v>0</v>
      </c>
      <c r="AQ323" s="259">
        <v>0</v>
      </c>
      <c r="AR323" s="259">
        <v>0</v>
      </c>
      <c r="AS323" s="259">
        <v>0</v>
      </c>
      <c r="AT323" s="259">
        <v>0</v>
      </c>
      <c r="AU323" s="259">
        <v>0</v>
      </c>
      <c r="AV323" s="259">
        <v>0</v>
      </c>
      <c r="AW323" s="259">
        <v>0</v>
      </c>
      <c r="AX323" s="259">
        <v>255381</v>
      </c>
      <c r="AY323" s="259">
        <v>255381</v>
      </c>
      <c r="AZ323" s="259">
        <v>255381</v>
      </c>
      <c r="BA323" s="259">
        <v>255381</v>
      </c>
      <c r="BB323" s="259">
        <v>3682453</v>
      </c>
      <c r="BC323" s="259">
        <v>3682453</v>
      </c>
      <c r="BD323" s="259">
        <v>3256052</v>
      </c>
      <c r="BE323" s="259">
        <v>3256052</v>
      </c>
      <c r="BF323" s="259">
        <v>8801741</v>
      </c>
    </row>
    <row r="324" spans="1:58" x14ac:dyDescent="0.3">
      <c r="A324" s="260" t="s">
        <v>934</v>
      </c>
      <c r="B324" s="256">
        <v>0</v>
      </c>
      <c r="C324" s="256">
        <v>0</v>
      </c>
      <c r="D324" s="256">
        <v>0</v>
      </c>
      <c r="E324" s="256">
        <v>0</v>
      </c>
      <c r="F324" s="256">
        <v>0</v>
      </c>
      <c r="G324" s="256">
        <v>0</v>
      </c>
      <c r="H324" s="256">
        <v>0</v>
      </c>
      <c r="I324" s="256">
        <v>0</v>
      </c>
      <c r="J324" s="256">
        <v>0</v>
      </c>
      <c r="K324" s="256">
        <v>0</v>
      </c>
      <c r="L324" s="256">
        <v>0</v>
      </c>
      <c r="M324" s="256">
        <v>0</v>
      </c>
      <c r="N324" s="256">
        <v>0</v>
      </c>
      <c r="O324" s="256">
        <v>0</v>
      </c>
      <c r="P324" s="256">
        <v>0</v>
      </c>
      <c r="Q324" s="256">
        <v>0</v>
      </c>
      <c r="R324" s="256">
        <v>0</v>
      </c>
      <c r="S324" s="256">
        <v>0</v>
      </c>
      <c r="T324" s="256">
        <v>0</v>
      </c>
      <c r="U324" s="256">
        <v>0</v>
      </c>
      <c r="V324" s="256">
        <v>0</v>
      </c>
      <c r="W324" s="256">
        <v>0</v>
      </c>
      <c r="X324" s="256">
        <v>0</v>
      </c>
      <c r="Y324" s="256">
        <v>0</v>
      </c>
      <c r="Z324" s="256">
        <v>0</v>
      </c>
      <c r="AA324" s="256">
        <v>0</v>
      </c>
      <c r="AB324" s="256">
        <v>0</v>
      </c>
      <c r="AC324" s="256">
        <v>0</v>
      </c>
      <c r="AD324" s="256">
        <v>0</v>
      </c>
      <c r="AE324" s="256">
        <v>0</v>
      </c>
      <c r="AF324" s="256">
        <v>0</v>
      </c>
      <c r="AG324" s="256">
        <v>0</v>
      </c>
      <c r="AH324" s="256">
        <v>0</v>
      </c>
      <c r="AI324" s="256">
        <v>0</v>
      </c>
      <c r="AJ324" s="256">
        <v>0</v>
      </c>
      <c r="AK324" s="256">
        <v>0</v>
      </c>
      <c r="AL324" s="256">
        <v>0</v>
      </c>
      <c r="AM324" s="256">
        <v>0</v>
      </c>
      <c r="AN324" s="256">
        <v>0</v>
      </c>
      <c r="AO324" s="256">
        <v>0</v>
      </c>
      <c r="AP324" s="256">
        <v>0</v>
      </c>
      <c r="AQ324" s="256">
        <v>0</v>
      </c>
      <c r="AR324" s="256">
        <v>0</v>
      </c>
      <c r="AS324" s="256">
        <v>0</v>
      </c>
      <c r="AT324" s="256">
        <v>0</v>
      </c>
      <c r="AU324" s="256">
        <v>0</v>
      </c>
      <c r="AV324" s="256">
        <v>0</v>
      </c>
      <c r="AW324" s="256">
        <v>0</v>
      </c>
      <c r="AX324" s="256">
        <v>12769</v>
      </c>
      <c r="AY324" s="256">
        <v>12769</v>
      </c>
      <c r="AZ324" s="256">
        <v>12769</v>
      </c>
      <c r="BA324" s="256">
        <v>12769</v>
      </c>
      <c r="BB324" s="256">
        <v>184123</v>
      </c>
      <c r="BC324" s="256">
        <v>12769</v>
      </c>
      <c r="BD324" s="256">
        <v>12769</v>
      </c>
      <c r="BE324" s="256">
        <v>12769</v>
      </c>
      <c r="BF324" s="256">
        <v>443118</v>
      </c>
    </row>
    <row r="325" spans="1:58" x14ac:dyDescent="0.3">
      <c r="A325" s="260" t="s">
        <v>935</v>
      </c>
      <c r="B325" s="256">
        <v>0</v>
      </c>
      <c r="C325" s="256">
        <v>0</v>
      </c>
      <c r="D325" s="256">
        <v>0</v>
      </c>
      <c r="E325" s="256">
        <v>0</v>
      </c>
      <c r="F325" s="256">
        <v>0</v>
      </c>
      <c r="G325" s="256">
        <v>0</v>
      </c>
      <c r="H325" s="256">
        <v>0</v>
      </c>
      <c r="I325" s="256">
        <v>0</v>
      </c>
      <c r="J325" s="256">
        <v>0</v>
      </c>
      <c r="K325" s="256">
        <v>0</v>
      </c>
      <c r="L325" s="256">
        <v>0</v>
      </c>
      <c r="M325" s="256">
        <v>0</v>
      </c>
      <c r="N325" s="256">
        <v>0</v>
      </c>
      <c r="O325" s="256">
        <v>0</v>
      </c>
      <c r="P325" s="256">
        <v>0</v>
      </c>
      <c r="Q325" s="256">
        <v>0</v>
      </c>
      <c r="R325" s="256">
        <v>0</v>
      </c>
      <c r="S325" s="256">
        <v>0</v>
      </c>
      <c r="T325" s="256">
        <v>0</v>
      </c>
      <c r="U325" s="256">
        <v>0</v>
      </c>
      <c r="V325" s="256">
        <v>0</v>
      </c>
      <c r="W325" s="256">
        <v>0</v>
      </c>
      <c r="X325" s="256">
        <v>0</v>
      </c>
      <c r="Y325" s="256">
        <v>0</v>
      </c>
      <c r="Z325" s="256">
        <v>0</v>
      </c>
      <c r="AA325" s="256">
        <v>0</v>
      </c>
      <c r="AB325" s="256">
        <v>0</v>
      </c>
      <c r="AC325" s="256">
        <v>0</v>
      </c>
      <c r="AD325" s="256">
        <v>0</v>
      </c>
      <c r="AE325" s="256">
        <v>0</v>
      </c>
      <c r="AF325" s="256">
        <v>0</v>
      </c>
      <c r="AG325" s="256">
        <v>0</v>
      </c>
      <c r="AH325" s="256">
        <v>0</v>
      </c>
      <c r="AI325" s="256">
        <v>0</v>
      </c>
      <c r="AJ325" s="256">
        <v>0</v>
      </c>
      <c r="AK325" s="256">
        <v>0</v>
      </c>
      <c r="AL325" s="256">
        <v>0</v>
      </c>
      <c r="AM325" s="256">
        <v>0</v>
      </c>
      <c r="AN325" s="256">
        <v>0</v>
      </c>
      <c r="AO325" s="256">
        <v>0</v>
      </c>
      <c r="AP325" s="256">
        <v>0</v>
      </c>
      <c r="AQ325" s="256">
        <v>0</v>
      </c>
      <c r="AR325" s="256">
        <v>0</v>
      </c>
      <c r="AS325" s="256">
        <v>0</v>
      </c>
      <c r="AT325" s="256">
        <v>0</v>
      </c>
      <c r="AU325" s="256">
        <v>0</v>
      </c>
      <c r="AV325" s="256">
        <v>0</v>
      </c>
      <c r="AW325" s="256">
        <v>0</v>
      </c>
      <c r="AX325" s="256">
        <v>0</v>
      </c>
      <c r="AY325" s="256">
        <v>0</v>
      </c>
      <c r="AZ325" s="256">
        <v>0</v>
      </c>
      <c r="BA325" s="256">
        <v>0</v>
      </c>
      <c r="BB325" s="256">
        <v>0</v>
      </c>
      <c r="BC325" s="256">
        <v>181958</v>
      </c>
      <c r="BD325" s="256">
        <v>181958</v>
      </c>
      <c r="BE325" s="256">
        <v>181958</v>
      </c>
      <c r="BF325" s="256">
        <v>0</v>
      </c>
    </row>
    <row r="326" spans="1:58" x14ac:dyDescent="0.3">
      <c r="A326" s="260" t="s">
        <v>936</v>
      </c>
      <c r="B326" s="256">
        <v>0</v>
      </c>
      <c r="C326" s="256">
        <v>0</v>
      </c>
      <c r="D326" s="256">
        <v>0</v>
      </c>
      <c r="E326" s="256">
        <v>0</v>
      </c>
      <c r="F326" s="256">
        <v>0</v>
      </c>
      <c r="G326" s="256">
        <v>0</v>
      </c>
      <c r="H326" s="256">
        <v>0</v>
      </c>
      <c r="I326" s="256">
        <v>0</v>
      </c>
      <c r="J326" s="256">
        <v>0</v>
      </c>
      <c r="K326" s="256">
        <v>0</v>
      </c>
      <c r="L326" s="256">
        <v>0</v>
      </c>
      <c r="M326" s="256">
        <v>0</v>
      </c>
      <c r="N326" s="256">
        <v>0</v>
      </c>
      <c r="O326" s="256">
        <v>0</v>
      </c>
      <c r="P326" s="256">
        <v>0</v>
      </c>
      <c r="Q326" s="256">
        <v>0</v>
      </c>
      <c r="R326" s="256">
        <v>0</v>
      </c>
      <c r="S326" s="256">
        <v>0</v>
      </c>
      <c r="T326" s="256">
        <v>0</v>
      </c>
      <c r="U326" s="256">
        <v>0</v>
      </c>
      <c r="V326" s="256">
        <v>0</v>
      </c>
      <c r="W326" s="256">
        <v>0</v>
      </c>
      <c r="X326" s="256">
        <v>0</v>
      </c>
      <c r="Y326" s="256">
        <v>0</v>
      </c>
      <c r="Z326" s="256">
        <v>0</v>
      </c>
      <c r="AA326" s="256">
        <v>0</v>
      </c>
      <c r="AB326" s="256">
        <v>0</v>
      </c>
      <c r="AC326" s="256">
        <v>0</v>
      </c>
      <c r="AD326" s="256">
        <v>0</v>
      </c>
      <c r="AE326" s="256">
        <v>0</v>
      </c>
      <c r="AF326" s="256">
        <v>0</v>
      </c>
      <c r="AG326" s="256">
        <v>0</v>
      </c>
      <c r="AH326" s="256">
        <v>0</v>
      </c>
      <c r="AI326" s="256">
        <v>0</v>
      </c>
      <c r="AJ326" s="256">
        <v>0</v>
      </c>
      <c r="AK326" s="256">
        <v>0</v>
      </c>
      <c r="AL326" s="256">
        <v>0</v>
      </c>
      <c r="AM326" s="256">
        <v>0</v>
      </c>
      <c r="AN326" s="256">
        <v>0</v>
      </c>
      <c r="AO326" s="256">
        <v>0</v>
      </c>
      <c r="AP326" s="256">
        <v>0</v>
      </c>
      <c r="AQ326" s="256">
        <v>0</v>
      </c>
      <c r="AR326" s="256">
        <v>0</v>
      </c>
      <c r="AS326" s="256">
        <v>0</v>
      </c>
      <c r="AT326" s="256">
        <v>0</v>
      </c>
      <c r="AU326" s="256">
        <v>0</v>
      </c>
      <c r="AV326" s="256">
        <v>0</v>
      </c>
      <c r="AW326" s="256">
        <v>0</v>
      </c>
      <c r="AX326" s="256">
        <v>0</v>
      </c>
      <c r="AY326" s="256">
        <v>0</v>
      </c>
      <c r="AZ326" s="256">
        <v>0</v>
      </c>
      <c r="BA326" s="256">
        <v>0</v>
      </c>
      <c r="BB326" s="256">
        <v>0</v>
      </c>
      <c r="BC326" s="256">
        <v>0</v>
      </c>
      <c r="BD326" s="256">
        <v>0</v>
      </c>
      <c r="BE326" s="256">
        <v>0</v>
      </c>
      <c r="BF326" s="256">
        <v>0</v>
      </c>
    </row>
    <row r="327" spans="1:58" x14ac:dyDescent="0.3">
      <c r="A327" s="260" t="s">
        <v>937</v>
      </c>
      <c r="B327" s="256">
        <v>0</v>
      </c>
      <c r="C327" s="256">
        <v>0</v>
      </c>
      <c r="D327" s="256">
        <v>0</v>
      </c>
      <c r="E327" s="256">
        <v>0</v>
      </c>
      <c r="F327" s="256">
        <v>0</v>
      </c>
      <c r="G327" s="256">
        <v>0</v>
      </c>
      <c r="H327" s="256">
        <v>0</v>
      </c>
      <c r="I327" s="256">
        <v>0</v>
      </c>
      <c r="J327" s="256">
        <v>0</v>
      </c>
      <c r="K327" s="256">
        <v>0</v>
      </c>
      <c r="L327" s="256">
        <v>0</v>
      </c>
      <c r="M327" s="256">
        <v>0</v>
      </c>
      <c r="N327" s="256">
        <v>0</v>
      </c>
      <c r="O327" s="256">
        <v>0</v>
      </c>
      <c r="P327" s="256">
        <v>0</v>
      </c>
      <c r="Q327" s="256">
        <v>0</v>
      </c>
      <c r="R327" s="256">
        <v>0</v>
      </c>
      <c r="S327" s="256">
        <v>0</v>
      </c>
      <c r="T327" s="256">
        <v>0</v>
      </c>
      <c r="U327" s="256">
        <v>0</v>
      </c>
      <c r="V327" s="256">
        <v>0</v>
      </c>
      <c r="W327" s="256">
        <v>0</v>
      </c>
      <c r="X327" s="256">
        <v>0</v>
      </c>
      <c r="Y327" s="256">
        <v>0</v>
      </c>
      <c r="Z327" s="256">
        <v>0</v>
      </c>
      <c r="AA327" s="256">
        <v>0</v>
      </c>
      <c r="AB327" s="256">
        <v>0</v>
      </c>
      <c r="AC327" s="256">
        <v>0</v>
      </c>
      <c r="AD327" s="256">
        <v>0</v>
      </c>
      <c r="AE327" s="256">
        <v>0</v>
      </c>
      <c r="AF327" s="256">
        <v>0</v>
      </c>
      <c r="AG327" s="256">
        <v>0</v>
      </c>
      <c r="AH327" s="256">
        <v>0</v>
      </c>
      <c r="AI327" s="256">
        <v>0</v>
      </c>
      <c r="AJ327" s="256">
        <v>0</v>
      </c>
      <c r="AK327" s="256">
        <v>0</v>
      </c>
      <c r="AL327" s="256">
        <v>0</v>
      </c>
      <c r="AM327" s="256">
        <v>0</v>
      </c>
      <c r="AN327" s="256">
        <v>0</v>
      </c>
      <c r="AO327" s="256">
        <v>0</v>
      </c>
      <c r="AP327" s="256">
        <v>0</v>
      </c>
      <c r="AQ327" s="256">
        <v>0</v>
      </c>
      <c r="AR327" s="256">
        <v>0</v>
      </c>
      <c r="AS327" s="256">
        <v>0</v>
      </c>
      <c r="AT327" s="256">
        <v>0</v>
      </c>
      <c r="AU327" s="256">
        <v>0</v>
      </c>
      <c r="AV327" s="256">
        <v>0</v>
      </c>
      <c r="AW327" s="256">
        <v>0</v>
      </c>
      <c r="AX327" s="256">
        <v>60655</v>
      </c>
      <c r="AY327" s="256">
        <v>60655</v>
      </c>
      <c r="AZ327" s="256">
        <v>60655</v>
      </c>
      <c r="BA327" s="256">
        <v>60655</v>
      </c>
      <c r="BB327" s="256">
        <v>60688</v>
      </c>
      <c r="BC327" s="256">
        <v>60655</v>
      </c>
      <c r="BD327" s="256">
        <v>60655</v>
      </c>
      <c r="BE327" s="256">
        <v>60655</v>
      </c>
      <c r="BF327" s="256">
        <v>120</v>
      </c>
    </row>
    <row r="328" spans="1:58" x14ac:dyDescent="0.3">
      <c r="A328" s="260" t="s">
        <v>938</v>
      </c>
      <c r="B328" s="256">
        <v>0</v>
      </c>
      <c r="C328" s="256">
        <v>0</v>
      </c>
      <c r="D328" s="256">
        <v>0</v>
      </c>
      <c r="E328" s="256">
        <v>0</v>
      </c>
      <c r="F328" s="256">
        <v>0</v>
      </c>
      <c r="G328" s="256">
        <v>0</v>
      </c>
      <c r="H328" s="256">
        <v>0</v>
      </c>
      <c r="I328" s="256">
        <v>0</v>
      </c>
      <c r="J328" s="256">
        <v>0</v>
      </c>
      <c r="K328" s="256">
        <v>0</v>
      </c>
      <c r="L328" s="256">
        <v>0</v>
      </c>
      <c r="M328" s="256">
        <v>0</v>
      </c>
      <c r="N328" s="256">
        <v>0</v>
      </c>
      <c r="O328" s="256">
        <v>0</v>
      </c>
      <c r="P328" s="256">
        <v>0</v>
      </c>
      <c r="Q328" s="256">
        <v>0</v>
      </c>
      <c r="R328" s="256">
        <v>0</v>
      </c>
      <c r="S328" s="256">
        <v>0</v>
      </c>
      <c r="T328" s="256">
        <v>0</v>
      </c>
      <c r="U328" s="256">
        <v>0</v>
      </c>
      <c r="V328" s="256">
        <v>0</v>
      </c>
      <c r="W328" s="256">
        <v>0</v>
      </c>
      <c r="X328" s="256">
        <v>0</v>
      </c>
      <c r="Y328" s="256">
        <v>0</v>
      </c>
      <c r="Z328" s="256">
        <v>0</v>
      </c>
      <c r="AA328" s="256">
        <v>0</v>
      </c>
      <c r="AB328" s="256">
        <v>0</v>
      </c>
      <c r="AC328" s="256">
        <v>0</v>
      </c>
      <c r="AD328" s="256">
        <v>0</v>
      </c>
      <c r="AE328" s="256">
        <v>0</v>
      </c>
      <c r="AF328" s="256">
        <v>0</v>
      </c>
      <c r="AG328" s="256">
        <v>0</v>
      </c>
      <c r="AH328" s="256">
        <v>0</v>
      </c>
      <c r="AI328" s="256">
        <v>0</v>
      </c>
      <c r="AJ328" s="256">
        <v>0</v>
      </c>
      <c r="AK328" s="256">
        <v>0</v>
      </c>
      <c r="AL328" s="256">
        <v>0</v>
      </c>
      <c r="AM328" s="256">
        <v>0</v>
      </c>
      <c r="AN328" s="256">
        <v>0</v>
      </c>
      <c r="AO328" s="256">
        <v>0</v>
      </c>
      <c r="AP328" s="256">
        <v>0</v>
      </c>
      <c r="AQ328" s="256">
        <v>0</v>
      </c>
      <c r="AR328" s="256">
        <v>0</v>
      </c>
      <c r="AS328" s="256">
        <v>0</v>
      </c>
      <c r="AT328" s="256">
        <v>0</v>
      </c>
      <c r="AU328" s="256">
        <v>0</v>
      </c>
      <c r="AV328" s="256">
        <v>0</v>
      </c>
      <c r="AW328" s="256">
        <v>0</v>
      </c>
      <c r="AX328" s="256">
        <v>0</v>
      </c>
      <c r="AY328" s="256">
        <v>0</v>
      </c>
      <c r="AZ328" s="256">
        <v>0</v>
      </c>
      <c r="BA328" s="256">
        <v>0</v>
      </c>
      <c r="BB328" s="256">
        <v>0</v>
      </c>
      <c r="BC328" s="256">
        <v>0</v>
      </c>
      <c r="BD328" s="256">
        <v>0</v>
      </c>
      <c r="BE328" s="256">
        <v>0</v>
      </c>
      <c r="BF328" s="256">
        <v>0</v>
      </c>
    </row>
    <row r="329" spans="1:58" x14ac:dyDescent="0.3">
      <c r="A329" s="260" t="s">
        <v>939</v>
      </c>
      <c r="B329" s="256">
        <v>0</v>
      </c>
      <c r="C329" s="256">
        <v>0</v>
      </c>
      <c r="D329" s="256">
        <v>0</v>
      </c>
      <c r="E329" s="256">
        <v>0</v>
      </c>
      <c r="F329" s="256">
        <v>0</v>
      </c>
      <c r="G329" s="256">
        <v>0</v>
      </c>
      <c r="H329" s="256">
        <v>0</v>
      </c>
      <c r="I329" s="256">
        <v>0</v>
      </c>
      <c r="J329" s="256">
        <v>0</v>
      </c>
      <c r="K329" s="256">
        <v>0</v>
      </c>
      <c r="L329" s="256">
        <v>0</v>
      </c>
      <c r="M329" s="256">
        <v>0</v>
      </c>
      <c r="N329" s="256">
        <v>0</v>
      </c>
      <c r="O329" s="256">
        <v>0</v>
      </c>
      <c r="P329" s="256">
        <v>0</v>
      </c>
      <c r="Q329" s="256">
        <v>0</v>
      </c>
      <c r="R329" s="256">
        <v>0</v>
      </c>
      <c r="S329" s="256">
        <v>0</v>
      </c>
      <c r="T329" s="256">
        <v>0</v>
      </c>
      <c r="U329" s="256">
        <v>0</v>
      </c>
      <c r="V329" s="256">
        <v>0</v>
      </c>
      <c r="W329" s="256">
        <v>0</v>
      </c>
      <c r="X329" s="256">
        <v>0</v>
      </c>
      <c r="Y329" s="256">
        <v>0</v>
      </c>
      <c r="Z329" s="256">
        <v>0</v>
      </c>
      <c r="AA329" s="256">
        <v>0</v>
      </c>
      <c r="AB329" s="256">
        <v>0</v>
      </c>
      <c r="AC329" s="256">
        <v>0</v>
      </c>
      <c r="AD329" s="256">
        <v>0</v>
      </c>
      <c r="AE329" s="256">
        <v>0</v>
      </c>
      <c r="AF329" s="256">
        <v>0</v>
      </c>
      <c r="AG329" s="256">
        <v>0</v>
      </c>
      <c r="AH329" s="256">
        <v>0</v>
      </c>
      <c r="AI329" s="256">
        <v>0</v>
      </c>
      <c r="AJ329" s="256">
        <v>0</v>
      </c>
      <c r="AK329" s="256">
        <v>0</v>
      </c>
      <c r="AL329" s="256">
        <v>0</v>
      </c>
      <c r="AM329" s="256">
        <v>0</v>
      </c>
      <c r="AN329" s="256">
        <v>0</v>
      </c>
      <c r="AO329" s="256">
        <v>0</v>
      </c>
      <c r="AP329" s="256">
        <v>0</v>
      </c>
      <c r="AQ329" s="256">
        <v>0</v>
      </c>
      <c r="AR329" s="256">
        <v>0</v>
      </c>
      <c r="AS329" s="256">
        <v>0</v>
      </c>
      <c r="AT329" s="256">
        <v>0</v>
      </c>
      <c r="AU329" s="256">
        <v>0</v>
      </c>
      <c r="AV329" s="256">
        <v>0</v>
      </c>
      <c r="AW329" s="256">
        <v>0</v>
      </c>
      <c r="AX329" s="256">
        <v>0</v>
      </c>
      <c r="AY329" s="256">
        <v>0</v>
      </c>
      <c r="AZ329" s="256">
        <v>0</v>
      </c>
      <c r="BA329" s="256">
        <v>0</v>
      </c>
      <c r="BB329" s="256">
        <v>0</v>
      </c>
      <c r="BC329" s="256">
        <v>0</v>
      </c>
      <c r="BD329" s="256">
        <v>0</v>
      </c>
      <c r="BE329" s="256">
        <v>0</v>
      </c>
      <c r="BF329" s="256">
        <v>0</v>
      </c>
    </row>
    <row r="330" spans="1:58" x14ac:dyDescent="0.3">
      <c r="A330" s="260" t="s">
        <v>1041</v>
      </c>
      <c r="B330" s="256">
        <v>-303</v>
      </c>
      <c r="C330" s="256">
        <v>-210</v>
      </c>
      <c r="D330" s="256">
        <v>0</v>
      </c>
      <c r="E330" s="256">
        <v>0</v>
      </c>
      <c r="F330" s="256">
        <v>0</v>
      </c>
      <c r="G330" s="256">
        <v>0</v>
      </c>
      <c r="H330" s="256">
        <v>0</v>
      </c>
      <c r="I330" s="256">
        <v>0</v>
      </c>
      <c r="J330" s="256">
        <v>0</v>
      </c>
      <c r="K330" s="256">
        <v>0</v>
      </c>
      <c r="L330" s="256">
        <v>0</v>
      </c>
      <c r="M330" s="256">
        <v>0</v>
      </c>
      <c r="N330" s="256">
        <v>0</v>
      </c>
      <c r="O330" s="256">
        <v>0</v>
      </c>
      <c r="P330" s="256">
        <v>0</v>
      </c>
      <c r="Q330" s="256">
        <v>0</v>
      </c>
      <c r="R330" s="256">
        <v>0</v>
      </c>
      <c r="S330" s="256">
        <v>0</v>
      </c>
      <c r="T330" s="256">
        <v>0</v>
      </c>
      <c r="U330" s="256">
        <v>0</v>
      </c>
      <c r="V330" s="256">
        <v>0</v>
      </c>
      <c r="W330" s="256">
        <v>0</v>
      </c>
      <c r="X330" s="256">
        <v>0</v>
      </c>
      <c r="Y330" s="256">
        <v>0</v>
      </c>
      <c r="Z330" s="256">
        <v>0</v>
      </c>
      <c r="AA330" s="256">
        <v>0</v>
      </c>
      <c r="AB330" s="256">
        <v>0</v>
      </c>
      <c r="AC330" s="256">
        <v>0</v>
      </c>
      <c r="AD330" s="256">
        <v>0</v>
      </c>
      <c r="AE330" s="256">
        <v>0</v>
      </c>
      <c r="AF330" s="256">
        <v>0</v>
      </c>
      <c r="AG330" s="256">
        <v>0</v>
      </c>
      <c r="AH330" s="256">
        <v>0</v>
      </c>
      <c r="AI330" s="256">
        <v>0</v>
      </c>
      <c r="AJ330" s="256">
        <v>0</v>
      </c>
      <c r="AK330" s="256">
        <v>0</v>
      </c>
      <c r="AL330" s="256">
        <v>0</v>
      </c>
      <c r="AM330" s="256">
        <v>0</v>
      </c>
      <c r="AN330" s="256">
        <v>0</v>
      </c>
      <c r="AO330" s="256">
        <v>0</v>
      </c>
      <c r="AP330" s="256">
        <v>0</v>
      </c>
      <c r="AQ330" s="256">
        <v>0</v>
      </c>
      <c r="AR330" s="256">
        <v>0</v>
      </c>
      <c r="AS330" s="256">
        <v>0</v>
      </c>
      <c r="AT330" s="256">
        <v>0</v>
      </c>
      <c r="AU330" s="256">
        <v>0</v>
      </c>
      <c r="AV330" s="256">
        <v>0</v>
      </c>
      <c r="AW330" s="256">
        <v>0</v>
      </c>
      <c r="AX330" s="261" t="s">
        <v>784</v>
      </c>
      <c r="AY330" s="261" t="s">
        <v>784</v>
      </c>
      <c r="AZ330" s="261" t="s">
        <v>784</v>
      </c>
      <c r="BA330" s="261" t="s">
        <v>784</v>
      </c>
      <c r="BB330" s="261" t="s">
        <v>784</v>
      </c>
      <c r="BC330" s="261" t="s">
        <v>784</v>
      </c>
      <c r="BD330" s="261" t="s">
        <v>784</v>
      </c>
      <c r="BE330" s="261" t="s">
        <v>784</v>
      </c>
      <c r="BF330" s="261" t="s">
        <v>784</v>
      </c>
    </row>
    <row r="331" spans="1:58" x14ac:dyDescent="0.3">
      <c r="A331" s="257" t="s">
        <v>944</v>
      </c>
      <c r="B331" s="259">
        <v>0</v>
      </c>
      <c r="C331" s="259">
        <v>7944</v>
      </c>
      <c r="D331" s="259">
        <v>34657</v>
      </c>
      <c r="E331" s="259">
        <v>45045</v>
      </c>
      <c r="F331" s="258" t="s">
        <v>784</v>
      </c>
      <c r="G331" s="258" t="s">
        <v>784</v>
      </c>
      <c r="H331" s="258" t="s">
        <v>784</v>
      </c>
      <c r="I331" s="258" t="s">
        <v>784</v>
      </c>
      <c r="J331" s="258" t="s">
        <v>784</v>
      </c>
      <c r="K331" s="258" t="s">
        <v>784</v>
      </c>
      <c r="L331" s="258" t="s">
        <v>784</v>
      </c>
      <c r="M331" s="258" t="s">
        <v>784</v>
      </c>
      <c r="N331" s="258" t="s">
        <v>784</v>
      </c>
      <c r="O331" s="258" t="s">
        <v>784</v>
      </c>
      <c r="P331" s="258" t="s">
        <v>784</v>
      </c>
      <c r="Q331" s="258" t="s">
        <v>784</v>
      </c>
      <c r="R331" s="258" t="s">
        <v>784</v>
      </c>
      <c r="S331" s="258" t="s">
        <v>784</v>
      </c>
      <c r="T331" s="258" t="s">
        <v>784</v>
      </c>
      <c r="U331" s="258" t="s">
        <v>784</v>
      </c>
      <c r="V331" s="258" t="s">
        <v>784</v>
      </c>
      <c r="W331" s="258" t="s">
        <v>784</v>
      </c>
      <c r="X331" s="258" t="s">
        <v>784</v>
      </c>
      <c r="Y331" s="258" t="s">
        <v>784</v>
      </c>
      <c r="Z331" s="258" t="s">
        <v>784</v>
      </c>
      <c r="AA331" s="258" t="s">
        <v>784</v>
      </c>
      <c r="AB331" s="258" t="s">
        <v>784</v>
      </c>
      <c r="AC331" s="258" t="s">
        <v>784</v>
      </c>
      <c r="AD331" s="258" t="s">
        <v>784</v>
      </c>
      <c r="AE331" s="258" t="s">
        <v>784</v>
      </c>
      <c r="AF331" s="258" t="s">
        <v>784</v>
      </c>
      <c r="AG331" s="258" t="s">
        <v>784</v>
      </c>
      <c r="AH331" s="258" t="s">
        <v>784</v>
      </c>
      <c r="AI331" s="258" t="s">
        <v>784</v>
      </c>
      <c r="AJ331" s="258" t="s">
        <v>784</v>
      </c>
      <c r="AK331" s="258" t="s">
        <v>784</v>
      </c>
      <c r="AL331" s="258" t="s">
        <v>784</v>
      </c>
      <c r="AM331" s="258" t="s">
        <v>784</v>
      </c>
      <c r="AN331" s="258" t="s">
        <v>784</v>
      </c>
      <c r="AO331" s="258" t="s">
        <v>784</v>
      </c>
      <c r="AP331" s="258" t="s">
        <v>784</v>
      </c>
      <c r="AQ331" s="258" t="s">
        <v>784</v>
      </c>
      <c r="AR331" s="258" t="s">
        <v>784</v>
      </c>
      <c r="AS331" s="258" t="s">
        <v>784</v>
      </c>
      <c r="AT331" s="258" t="s">
        <v>784</v>
      </c>
      <c r="AU331" s="258" t="s">
        <v>784</v>
      </c>
      <c r="AV331" s="258" t="s">
        <v>784</v>
      </c>
      <c r="AW331" s="258" t="s">
        <v>784</v>
      </c>
      <c r="AX331" s="258" t="s">
        <v>784</v>
      </c>
      <c r="AY331" s="258" t="s">
        <v>784</v>
      </c>
      <c r="AZ331" s="258" t="s">
        <v>784</v>
      </c>
      <c r="BA331" s="258" t="s">
        <v>784</v>
      </c>
      <c r="BB331" s="258" t="s">
        <v>784</v>
      </c>
      <c r="BC331" s="258" t="s">
        <v>784</v>
      </c>
      <c r="BD331" s="258" t="s">
        <v>784</v>
      </c>
      <c r="BE331" s="258" t="s">
        <v>784</v>
      </c>
      <c r="BF331" s="258" t="s">
        <v>784</v>
      </c>
    </row>
    <row r="332" spans="1:58" x14ac:dyDescent="0.3">
      <c r="A332" s="260" t="s">
        <v>1042</v>
      </c>
      <c r="B332" s="256">
        <v>0</v>
      </c>
      <c r="C332" s="261" t="s">
        <v>784</v>
      </c>
      <c r="D332" s="261" t="s">
        <v>784</v>
      </c>
      <c r="E332" s="261" t="s">
        <v>784</v>
      </c>
      <c r="F332" s="261" t="s">
        <v>784</v>
      </c>
      <c r="G332" s="261" t="s">
        <v>784</v>
      </c>
      <c r="H332" s="261" t="s">
        <v>784</v>
      </c>
      <c r="I332" s="261" t="s">
        <v>784</v>
      </c>
      <c r="J332" s="261" t="s">
        <v>784</v>
      </c>
      <c r="K332" s="261" t="s">
        <v>784</v>
      </c>
      <c r="L332" s="261" t="s">
        <v>784</v>
      </c>
      <c r="M332" s="261" t="s">
        <v>784</v>
      </c>
      <c r="N332" s="261" t="s">
        <v>784</v>
      </c>
      <c r="O332" s="261" t="s">
        <v>784</v>
      </c>
      <c r="P332" s="261" t="s">
        <v>784</v>
      </c>
      <c r="Q332" s="261" t="s">
        <v>784</v>
      </c>
      <c r="R332" s="261" t="s">
        <v>784</v>
      </c>
      <c r="S332" s="261" t="s">
        <v>784</v>
      </c>
      <c r="T332" s="261" t="s">
        <v>784</v>
      </c>
      <c r="U332" s="261" t="s">
        <v>784</v>
      </c>
      <c r="V332" s="261" t="s">
        <v>784</v>
      </c>
      <c r="W332" s="261" t="s">
        <v>784</v>
      </c>
      <c r="X332" s="261" t="s">
        <v>784</v>
      </c>
      <c r="Y332" s="261" t="s">
        <v>784</v>
      </c>
      <c r="Z332" s="261" t="s">
        <v>784</v>
      </c>
      <c r="AA332" s="261" t="s">
        <v>784</v>
      </c>
      <c r="AB332" s="261" t="s">
        <v>784</v>
      </c>
      <c r="AC332" s="261" t="s">
        <v>784</v>
      </c>
      <c r="AD332" s="261" t="s">
        <v>784</v>
      </c>
      <c r="AE332" s="261" t="s">
        <v>784</v>
      </c>
      <c r="AF332" s="261" t="s">
        <v>784</v>
      </c>
      <c r="AG332" s="261" t="s">
        <v>784</v>
      </c>
      <c r="AH332" s="261" t="s">
        <v>784</v>
      </c>
      <c r="AI332" s="261" t="s">
        <v>784</v>
      </c>
      <c r="AJ332" s="261" t="s">
        <v>784</v>
      </c>
      <c r="AK332" s="261" t="s">
        <v>784</v>
      </c>
      <c r="AL332" s="261" t="s">
        <v>784</v>
      </c>
      <c r="AM332" s="261" t="s">
        <v>784</v>
      </c>
      <c r="AN332" s="261" t="s">
        <v>784</v>
      </c>
      <c r="AO332" s="261" t="s">
        <v>784</v>
      </c>
      <c r="AP332" s="261" t="s">
        <v>784</v>
      </c>
      <c r="AQ332" s="261" t="s">
        <v>784</v>
      </c>
      <c r="AR332" s="261" t="s">
        <v>784</v>
      </c>
      <c r="AS332" s="261" t="s">
        <v>784</v>
      </c>
      <c r="AT332" s="261" t="s">
        <v>784</v>
      </c>
      <c r="AU332" s="261" t="s">
        <v>784</v>
      </c>
      <c r="AV332" s="261" t="s">
        <v>784</v>
      </c>
      <c r="AW332" s="261" t="s">
        <v>784</v>
      </c>
      <c r="AX332" s="261" t="s">
        <v>784</v>
      </c>
      <c r="AY332" s="261" t="s">
        <v>784</v>
      </c>
      <c r="AZ332" s="261" t="s">
        <v>784</v>
      </c>
      <c r="BA332" s="261" t="s">
        <v>784</v>
      </c>
      <c r="BB332" s="261" t="s">
        <v>784</v>
      </c>
      <c r="BC332" s="261" t="s">
        <v>784</v>
      </c>
      <c r="BD332" s="261" t="s">
        <v>784</v>
      </c>
      <c r="BE332" s="261" t="s">
        <v>784</v>
      </c>
      <c r="BF332" s="261" t="s">
        <v>784</v>
      </c>
    </row>
    <row r="333" spans="1:58" x14ac:dyDescent="0.3">
      <c r="A333" s="260" t="s">
        <v>945</v>
      </c>
      <c r="B333" s="256">
        <v>0</v>
      </c>
      <c r="C333" s="261" t="s">
        <v>784</v>
      </c>
      <c r="D333" s="261" t="s">
        <v>784</v>
      </c>
      <c r="E333" s="261" t="s">
        <v>784</v>
      </c>
      <c r="F333" s="261" t="s">
        <v>784</v>
      </c>
      <c r="G333" s="261" t="s">
        <v>784</v>
      </c>
      <c r="H333" s="261" t="s">
        <v>784</v>
      </c>
      <c r="I333" s="261" t="s">
        <v>784</v>
      </c>
      <c r="J333" s="261" t="s">
        <v>784</v>
      </c>
      <c r="K333" s="261" t="s">
        <v>784</v>
      </c>
      <c r="L333" s="261" t="s">
        <v>784</v>
      </c>
      <c r="M333" s="261" t="s">
        <v>784</v>
      </c>
      <c r="N333" s="261" t="s">
        <v>784</v>
      </c>
      <c r="O333" s="261" t="s">
        <v>784</v>
      </c>
      <c r="P333" s="261" t="s">
        <v>784</v>
      </c>
      <c r="Q333" s="261" t="s">
        <v>784</v>
      </c>
      <c r="R333" s="261" t="s">
        <v>784</v>
      </c>
      <c r="S333" s="261" t="s">
        <v>784</v>
      </c>
      <c r="T333" s="261" t="s">
        <v>784</v>
      </c>
      <c r="U333" s="261" t="s">
        <v>784</v>
      </c>
      <c r="V333" s="261" t="s">
        <v>784</v>
      </c>
      <c r="W333" s="261" t="s">
        <v>784</v>
      </c>
      <c r="X333" s="261" t="s">
        <v>784</v>
      </c>
      <c r="Y333" s="261" t="s">
        <v>784</v>
      </c>
      <c r="Z333" s="261" t="s">
        <v>784</v>
      </c>
      <c r="AA333" s="261" t="s">
        <v>784</v>
      </c>
      <c r="AB333" s="261" t="s">
        <v>784</v>
      </c>
      <c r="AC333" s="261" t="s">
        <v>784</v>
      </c>
      <c r="AD333" s="261" t="s">
        <v>784</v>
      </c>
      <c r="AE333" s="261" t="s">
        <v>784</v>
      </c>
      <c r="AF333" s="261" t="s">
        <v>784</v>
      </c>
      <c r="AG333" s="261" t="s">
        <v>784</v>
      </c>
      <c r="AH333" s="261" t="s">
        <v>784</v>
      </c>
      <c r="AI333" s="261" t="s">
        <v>784</v>
      </c>
      <c r="AJ333" s="261" t="s">
        <v>784</v>
      </c>
      <c r="AK333" s="261" t="s">
        <v>784</v>
      </c>
      <c r="AL333" s="261" t="s">
        <v>784</v>
      </c>
      <c r="AM333" s="261" t="s">
        <v>784</v>
      </c>
      <c r="AN333" s="261" t="s">
        <v>784</v>
      </c>
      <c r="AO333" s="261" t="s">
        <v>784</v>
      </c>
      <c r="AP333" s="261" t="s">
        <v>784</v>
      </c>
      <c r="AQ333" s="261" t="s">
        <v>784</v>
      </c>
      <c r="AR333" s="261" t="s">
        <v>784</v>
      </c>
      <c r="AS333" s="261" t="s">
        <v>784</v>
      </c>
      <c r="AT333" s="261" t="s">
        <v>784</v>
      </c>
      <c r="AU333" s="261" t="s">
        <v>784</v>
      </c>
      <c r="AV333" s="261" t="s">
        <v>784</v>
      </c>
      <c r="AW333" s="261" t="s">
        <v>784</v>
      </c>
      <c r="AX333" s="261" t="s">
        <v>784</v>
      </c>
      <c r="AY333" s="261" t="s">
        <v>784</v>
      </c>
      <c r="AZ333" s="261" t="s">
        <v>784</v>
      </c>
      <c r="BA333" s="261" t="s">
        <v>784</v>
      </c>
      <c r="BB333" s="261" t="s">
        <v>784</v>
      </c>
      <c r="BC333" s="261" t="s">
        <v>784</v>
      </c>
      <c r="BD333" s="261" t="s">
        <v>784</v>
      </c>
      <c r="BE333" s="261" t="s">
        <v>784</v>
      </c>
      <c r="BF333" s="261" t="s">
        <v>784</v>
      </c>
    </row>
    <row r="334" spans="1:58" x14ac:dyDescent="0.3">
      <c r="A334" s="260" t="s">
        <v>1043</v>
      </c>
      <c r="B334" s="256">
        <v>0</v>
      </c>
      <c r="C334" s="261" t="s">
        <v>784</v>
      </c>
      <c r="D334" s="261" t="s">
        <v>784</v>
      </c>
      <c r="E334" s="261" t="s">
        <v>784</v>
      </c>
      <c r="F334" s="261" t="s">
        <v>784</v>
      </c>
      <c r="G334" s="261" t="s">
        <v>784</v>
      </c>
      <c r="H334" s="261" t="s">
        <v>784</v>
      </c>
      <c r="I334" s="261" t="s">
        <v>784</v>
      </c>
      <c r="J334" s="261" t="s">
        <v>784</v>
      </c>
      <c r="K334" s="261" t="s">
        <v>784</v>
      </c>
      <c r="L334" s="261" t="s">
        <v>784</v>
      </c>
      <c r="M334" s="261" t="s">
        <v>784</v>
      </c>
      <c r="N334" s="261" t="s">
        <v>784</v>
      </c>
      <c r="O334" s="261" t="s">
        <v>784</v>
      </c>
      <c r="P334" s="261" t="s">
        <v>784</v>
      </c>
      <c r="Q334" s="261" t="s">
        <v>784</v>
      </c>
      <c r="R334" s="261" t="s">
        <v>784</v>
      </c>
      <c r="S334" s="261" t="s">
        <v>784</v>
      </c>
      <c r="T334" s="261" t="s">
        <v>784</v>
      </c>
      <c r="U334" s="261" t="s">
        <v>784</v>
      </c>
      <c r="V334" s="261" t="s">
        <v>784</v>
      </c>
      <c r="W334" s="261" t="s">
        <v>784</v>
      </c>
      <c r="X334" s="261" t="s">
        <v>784</v>
      </c>
      <c r="Y334" s="261" t="s">
        <v>784</v>
      </c>
      <c r="Z334" s="261" t="s">
        <v>784</v>
      </c>
      <c r="AA334" s="261" t="s">
        <v>784</v>
      </c>
      <c r="AB334" s="261" t="s">
        <v>784</v>
      </c>
      <c r="AC334" s="261" t="s">
        <v>784</v>
      </c>
      <c r="AD334" s="261" t="s">
        <v>784</v>
      </c>
      <c r="AE334" s="261" t="s">
        <v>784</v>
      </c>
      <c r="AF334" s="261" t="s">
        <v>784</v>
      </c>
      <c r="AG334" s="261" t="s">
        <v>784</v>
      </c>
      <c r="AH334" s="261" t="s">
        <v>784</v>
      </c>
      <c r="AI334" s="261" t="s">
        <v>784</v>
      </c>
      <c r="AJ334" s="261" t="s">
        <v>784</v>
      </c>
      <c r="AK334" s="261" t="s">
        <v>784</v>
      </c>
      <c r="AL334" s="261" t="s">
        <v>784</v>
      </c>
      <c r="AM334" s="261" t="s">
        <v>784</v>
      </c>
      <c r="AN334" s="261" t="s">
        <v>784</v>
      </c>
      <c r="AO334" s="261" t="s">
        <v>784</v>
      </c>
      <c r="AP334" s="261" t="s">
        <v>784</v>
      </c>
      <c r="AQ334" s="261" t="s">
        <v>784</v>
      </c>
      <c r="AR334" s="261" t="s">
        <v>784</v>
      </c>
      <c r="AS334" s="261" t="s">
        <v>784</v>
      </c>
      <c r="AT334" s="261" t="s">
        <v>784</v>
      </c>
      <c r="AU334" s="261" t="s">
        <v>784</v>
      </c>
      <c r="AV334" s="261" t="s">
        <v>784</v>
      </c>
      <c r="AW334" s="261" t="s">
        <v>784</v>
      </c>
      <c r="AX334" s="261" t="s">
        <v>784</v>
      </c>
      <c r="AY334" s="261" t="s">
        <v>784</v>
      </c>
      <c r="AZ334" s="261" t="s">
        <v>784</v>
      </c>
      <c r="BA334" s="261" t="s">
        <v>784</v>
      </c>
      <c r="BB334" s="261" t="s">
        <v>784</v>
      </c>
      <c r="BC334" s="261" t="s">
        <v>784</v>
      </c>
      <c r="BD334" s="261" t="s">
        <v>784</v>
      </c>
      <c r="BE334" s="261" t="s">
        <v>784</v>
      </c>
      <c r="BF334" s="261" t="s">
        <v>784</v>
      </c>
    </row>
    <row r="335" spans="1:58" x14ac:dyDescent="0.3">
      <c r="A335" s="257" t="s">
        <v>943</v>
      </c>
      <c r="B335" s="259">
        <v>-12635</v>
      </c>
      <c r="C335" s="259">
        <v>-31974</v>
      </c>
      <c r="D335" s="259">
        <v>-51195</v>
      </c>
      <c r="E335" s="259">
        <v>-82231</v>
      </c>
      <c r="F335" s="259">
        <v>-155005</v>
      </c>
      <c r="G335" s="259">
        <v>-168857</v>
      </c>
      <c r="H335" s="259">
        <v>-222026</v>
      </c>
      <c r="I335" s="259">
        <v>-323352</v>
      </c>
      <c r="J335" s="259">
        <v>-459040</v>
      </c>
      <c r="K335" s="259">
        <v>-405755</v>
      </c>
      <c r="L335" s="259">
        <v>-456358</v>
      </c>
      <c r="M335" s="259">
        <v>-596559</v>
      </c>
      <c r="N335" s="259">
        <v>-736606</v>
      </c>
      <c r="O335" s="259">
        <v>-835787</v>
      </c>
      <c r="P335" s="259">
        <v>-1381845</v>
      </c>
      <c r="Q335" s="259">
        <v>-2106089</v>
      </c>
      <c r="R335" s="259">
        <v>-2974476</v>
      </c>
      <c r="S335" s="259">
        <v>-2972777</v>
      </c>
      <c r="T335" s="259">
        <v>-2963034</v>
      </c>
      <c r="U335" s="259">
        <v>-2953498</v>
      </c>
      <c r="V335" s="259">
        <v>-3977549</v>
      </c>
      <c r="W335" s="259">
        <v>-4031088</v>
      </c>
      <c r="X335" s="259">
        <v>-3020446</v>
      </c>
      <c r="Y335" s="259">
        <v>-3020411</v>
      </c>
      <c r="Z335" s="259">
        <v>-2840251</v>
      </c>
      <c r="AA335" s="259">
        <v>-2905637</v>
      </c>
      <c r="AB335" s="259">
        <v>-2956659</v>
      </c>
      <c r="AC335" s="259">
        <v>-2885189</v>
      </c>
      <c r="AD335" s="259">
        <v>-2598628</v>
      </c>
      <c r="AE335" s="259">
        <v>-2594610</v>
      </c>
      <c r="AF335" s="259">
        <v>-2547504</v>
      </c>
      <c r="AG335" s="259">
        <v>-2531122</v>
      </c>
      <c r="AH335" s="259">
        <v>-2579073</v>
      </c>
      <c r="AI335" s="259">
        <v>-2545083</v>
      </c>
      <c r="AJ335" s="259">
        <v>-2474524</v>
      </c>
      <c r="AK335" s="259">
        <v>-2403065</v>
      </c>
      <c r="AL335" s="259">
        <v>-2342902</v>
      </c>
      <c r="AM335" s="259">
        <v>-2396581</v>
      </c>
      <c r="AN335" s="259">
        <v>-2330919</v>
      </c>
      <c r="AO335" s="259">
        <v>-2324981</v>
      </c>
      <c r="AP335" s="259">
        <v>-1530431</v>
      </c>
      <c r="AQ335" s="259">
        <v>-1591892</v>
      </c>
      <c r="AR335" s="259">
        <v>-1691694</v>
      </c>
      <c r="AS335" s="259">
        <v>-1802292</v>
      </c>
      <c r="AT335" s="259">
        <v>-1077665</v>
      </c>
      <c r="AU335" s="259">
        <v>-1143456</v>
      </c>
      <c r="AV335" s="259">
        <v>-722554</v>
      </c>
      <c r="AW335" s="259">
        <v>-625450</v>
      </c>
      <c r="AX335" s="259">
        <v>0</v>
      </c>
      <c r="AY335" s="259">
        <v>1068970</v>
      </c>
      <c r="AZ335" s="259">
        <v>1708050</v>
      </c>
      <c r="BA335" s="259">
        <v>2500364</v>
      </c>
      <c r="BB335" s="259">
        <v>0</v>
      </c>
      <c r="BC335" s="259">
        <v>1162065</v>
      </c>
      <c r="BD335" s="259">
        <v>2003034</v>
      </c>
      <c r="BE335" s="259">
        <v>3631858</v>
      </c>
      <c r="BF335" s="259">
        <v>0</v>
      </c>
    </row>
    <row r="336" spans="1:58" x14ac:dyDescent="0.3">
      <c r="A336" s="257" t="s">
        <v>931</v>
      </c>
      <c r="B336" s="259">
        <v>0</v>
      </c>
      <c r="C336" s="259">
        <v>0</v>
      </c>
      <c r="D336" s="259">
        <v>0</v>
      </c>
      <c r="E336" s="259">
        <v>0</v>
      </c>
      <c r="F336" s="259">
        <v>0</v>
      </c>
      <c r="G336" s="258" t="s">
        <v>784</v>
      </c>
      <c r="H336" s="259">
        <v>1050</v>
      </c>
      <c r="I336" s="259">
        <v>1050</v>
      </c>
      <c r="J336" s="259">
        <v>0</v>
      </c>
      <c r="K336" s="259">
        <v>0</v>
      </c>
      <c r="L336" s="259">
        <v>0</v>
      </c>
      <c r="M336" s="259">
        <v>0</v>
      </c>
      <c r="N336" s="259">
        <v>0</v>
      </c>
      <c r="O336" s="258" t="s">
        <v>784</v>
      </c>
      <c r="P336" s="258" t="s">
        <v>784</v>
      </c>
      <c r="Q336" s="258" t="s">
        <v>784</v>
      </c>
      <c r="R336" s="259">
        <v>0</v>
      </c>
      <c r="S336" s="259">
        <v>0</v>
      </c>
      <c r="T336" s="259">
        <v>0</v>
      </c>
      <c r="U336" s="259">
        <v>0</v>
      </c>
      <c r="V336" s="259">
        <v>0</v>
      </c>
      <c r="W336" s="259">
        <v>0</v>
      </c>
      <c r="X336" s="259">
        <v>0</v>
      </c>
      <c r="Y336" s="259">
        <v>0</v>
      </c>
      <c r="Z336" s="259">
        <v>0</v>
      </c>
      <c r="AA336" s="259">
        <v>0</v>
      </c>
      <c r="AB336" s="259">
        <v>0</v>
      </c>
      <c r="AC336" s="259">
        <v>0</v>
      </c>
      <c r="AD336" s="259">
        <v>0</v>
      </c>
      <c r="AE336" s="259">
        <v>0</v>
      </c>
      <c r="AF336" s="259">
        <v>0</v>
      </c>
      <c r="AG336" s="259">
        <v>0</v>
      </c>
      <c r="AH336" s="259">
        <v>0</v>
      </c>
      <c r="AI336" s="259">
        <v>0</v>
      </c>
      <c r="AJ336" s="259">
        <v>0</v>
      </c>
      <c r="AK336" s="259">
        <v>0</v>
      </c>
      <c r="AL336" s="259">
        <v>0</v>
      </c>
      <c r="AM336" s="259">
        <v>0</v>
      </c>
      <c r="AN336" s="258" t="s">
        <v>784</v>
      </c>
      <c r="AO336" s="259">
        <v>0</v>
      </c>
      <c r="AP336" s="259">
        <v>0</v>
      </c>
      <c r="AQ336" s="259">
        <v>0</v>
      </c>
      <c r="AR336" s="259">
        <v>0</v>
      </c>
      <c r="AS336" s="259">
        <v>0</v>
      </c>
      <c r="AT336" s="259">
        <v>0</v>
      </c>
      <c r="AU336" s="259">
        <v>0</v>
      </c>
      <c r="AV336" s="259">
        <v>0</v>
      </c>
      <c r="AW336" s="259">
        <v>0</v>
      </c>
      <c r="AX336" s="259">
        <v>0</v>
      </c>
      <c r="AY336" s="259">
        <v>0</v>
      </c>
      <c r="AZ336" s="259">
        <v>0</v>
      </c>
      <c r="BA336" s="259">
        <v>0</v>
      </c>
      <c r="BB336" s="259">
        <v>0</v>
      </c>
      <c r="BC336" s="259">
        <v>-146177</v>
      </c>
      <c r="BD336" s="259">
        <v>0</v>
      </c>
      <c r="BE336" s="259">
        <v>-147448</v>
      </c>
      <c r="BF336" s="259">
        <v>0</v>
      </c>
    </row>
    <row r="337" spans="1:58" x14ac:dyDescent="0.3">
      <c r="A337" s="252" t="s">
        <v>1044</v>
      </c>
      <c r="B337" s="254">
        <v>0</v>
      </c>
      <c r="C337" s="254">
        <v>0</v>
      </c>
      <c r="D337" s="254">
        <v>0</v>
      </c>
      <c r="E337" s="254">
        <v>0</v>
      </c>
      <c r="F337" s="253" t="s">
        <v>784</v>
      </c>
      <c r="G337" s="253" t="s">
        <v>784</v>
      </c>
      <c r="H337" s="253" t="s">
        <v>784</v>
      </c>
      <c r="I337" s="253" t="s">
        <v>784</v>
      </c>
      <c r="J337" s="253" t="s">
        <v>784</v>
      </c>
      <c r="K337" s="253" t="s">
        <v>784</v>
      </c>
      <c r="L337" s="253" t="s">
        <v>784</v>
      </c>
      <c r="M337" s="253" t="s">
        <v>784</v>
      </c>
      <c r="N337" s="253" t="s">
        <v>784</v>
      </c>
      <c r="O337" s="253" t="s">
        <v>784</v>
      </c>
      <c r="P337" s="253" t="s">
        <v>784</v>
      </c>
      <c r="Q337" s="253" t="s">
        <v>784</v>
      </c>
      <c r="R337" s="253" t="s">
        <v>784</v>
      </c>
      <c r="S337" s="253" t="s">
        <v>784</v>
      </c>
      <c r="T337" s="253" t="s">
        <v>784</v>
      </c>
      <c r="U337" s="253" t="s">
        <v>784</v>
      </c>
      <c r="V337" s="253" t="s">
        <v>784</v>
      </c>
      <c r="W337" s="253" t="s">
        <v>784</v>
      </c>
      <c r="X337" s="253" t="s">
        <v>784</v>
      </c>
      <c r="Y337" s="253" t="s">
        <v>784</v>
      </c>
      <c r="Z337" s="253" t="s">
        <v>784</v>
      </c>
      <c r="AA337" s="253" t="s">
        <v>784</v>
      </c>
      <c r="AB337" s="253" t="s">
        <v>784</v>
      </c>
      <c r="AC337" s="253" t="s">
        <v>784</v>
      </c>
      <c r="AD337" s="253" t="s">
        <v>784</v>
      </c>
      <c r="AE337" s="253" t="s">
        <v>784</v>
      </c>
      <c r="AF337" s="253" t="s">
        <v>784</v>
      </c>
      <c r="AG337" s="253" t="s">
        <v>784</v>
      </c>
      <c r="AH337" s="253" t="s">
        <v>784</v>
      </c>
      <c r="AI337" s="253" t="s">
        <v>784</v>
      </c>
      <c r="AJ337" s="253" t="s">
        <v>784</v>
      </c>
      <c r="AK337" s="253" t="s">
        <v>784</v>
      </c>
      <c r="AL337" s="253" t="s">
        <v>784</v>
      </c>
      <c r="AM337" s="253" t="s">
        <v>784</v>
      </c>
      <c r="AN337" s="253" t="s">
        <v>784</v>
      </c>
      <c r="AO337" s="253" t="s">
        <v>784</v>
      </c>
      <c r="AP337" s="253" t="s">
        <v>784</v>
      </c>
      <c r="AQ337" s="253" t="s">
        <v>784</v>
      </c>
      <c r="AR337" s="253" t="s">
        <v>784</v>
      </c>
      <c r="AS337" s="253" t="s">
        <v>784</v>
      </c>
      <c r="AT337" s="253" t="s">
        <v>784</v>
      </c>
      <c r="AU337" s="253" t="s">
        <v>784</v>
      </c>
      <c r="AV337" s="253" t="s">
        <v>784</v>
      </c>
      <c r="AW337" s="253" t="s">
        <v>784</v>
      </c>
      <c r="AX337" s="253" t="s">
        <v>784</v>
      </c>
      <c r="AY337" s="253" t="s">
        <v>784</v>
      </c>
      <c r="AZ337" s="253" t="s">
        <v>784</v>
      </c>
      <c r="BA337" s="253" t="s">
        <v>784</v>
      </c>
      <c r="BB337" s="253" t="s">
        <v>784</v>
      </c>
      <c r="BC337" s="253" t="s">
        <v>784</v>
      </c>
      <c r="BD337" s="253" t="s">
        <v>784</v>
      </c>
      <c r="BE337" s="253" t="s">
        <v>784</v>
      </c>
      <c r="BF337" s="253" t="s">
        <v>784</v>
      </c>
    </row>
    <row r="338" spans="1:58" x14ac:dyDescent="0.3">
      <c r="A338" s="252"/>
      <c r="B338" s="253"/>
      <c r="C338" s="253"/>
      <c r="D338" s="253"/>
      <c r="E338" s="253"/>
      <c r="F338" s="253"/>
      <c r="G338" s="25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253"/>
      <c r="AS338" s="253"/>
      <c r="AT338" s="253"/>
      <c r="AU338" s="253"/>
      <c r="AV338" s="253"/>
      <c r="AW338" s="253"/>
      <c r="AX338" s="253"/>
      <c r="AY338" s="253"/>
      <c r="AZ338" s="253"/>
      <c r="BA338" s="253"/>
      <c r="BB338" s="253"/>
      <c r="BC338" s="253"/>
      <c r="BD338" s="253"/>
      <c r="BE338" s="253"/>
      <c r="BF338" s="253"/>
    </row>
    <row r="339" spans="1:58" x14ac:dyDescent="0.3">
      <c r="A339" s="252" t="s">
        <v>947</v>
      </c>
      <c r="B339" s="253" t="s">
        <v>5</v>
      </c>
      <c r="C339" s="253" t="s">
        <v>5</v>
      </c>
      <c r="D339" s="253" t="s">
        <v>5</v>
      </c>
      <c r="E339" s="253" t="s">
        <v>5</v>
      </c>
      <c r="F339" s="253" t="s">
        <v>5</v>
      </c>
      <c r="G339" s="253" t="s">
        <v>5</v>
      </c>
      <c r="H339" s="253" t="s">
        <v>5</v>
      </c>
      <c r="I339" s="253" t="s">
        <v>5</v>
      </c>
      <c r="J339" s="253" t="s">
        <v>5</v>
      </c>
      <c r="K339" s="253" t="s">
        <v>5</v>
      </c>
      <c r="L339" s="253" t="s">
        <v>5</v>
      </c>
      <c r="M339" s="253" t="s">
        <v>5</v>
      </c>
      <c r="N339" s="253" t="s">
        <v>5</v>
      </c>
      <c r="O339" s="253" t="s">
        <v>5</v>
      </c>
      <c r="P339" s="253" t="s">
        <v>5</v>
      </c>
      <c r="Q339" s="253" t="s">
        <v>5</v>
      </c>
      <c r="R339" s="253" t="s">
        <v>5</v>
      </c>
      <c r="S339" s="253" t="s">
        <v>5</v>
      </c>
      <c r="T339" s="253" t="s">
        <v>5</v>
      </c>
      <c r="U339" s="253" t="s">
        <v>5</v>
      </c>
      <c r="V339" s="253" t="s">
        <v>5</v>
      </c>
      <c r="W339" s="253" t="s">
        <v>5</v>
      </c>
      <c r="X339" s="253" t="s">
        <v>5</v>
      </c>
      <c r="Y339" s="253" t="s">
        <v>5</v>
      </c>
      <c r="Z339" s="253" t="s">
        <v>5</v>
      </c>
      <c r="AA339" s="253" t="s">
        <v>5</v>
      </c>
      <c r="AB339" s="253" t="s">
        <v>5</v>
      </c>
      <c r="AC339" s="253" t="s">
        <v>5</v>
      </c>
      <c r="AD339" s="253" t="s">
        <v>5</v>
      </c>
      <c r="AE339" s="253" t="s">
        <v>5</v>
      </c>
      <c r="AF339" s="253" t="s">
        <v>5</v>
      </c>
      <c r="AG339" s="253" t="s">
        <v>5</v>
      </c>
      <c r="AH339" s="253" t="s">
        <v>5</v>
      </c>
      <c r="AI339" s="253" t="s">
        <v>5</v>
      </c>
      <c r="AJ339" s="253" t="s">
        <v>5</v>
      </c>
      <c r="AK339" s="253" t="s">
        <v>5</v>
      </c>
      <c r="AL339" s="253" t="s">
        <v>5</v>
      </c>
      <c r="AM339" s="253" t="s">
        <v>5</v>
      </c>
      <c r="AN339" s="253" t="s">
        <v>5</v>
      </c>
      <c r="AO339" s="253" t="s">
        <v>5</v>
      </c>
      <c r="AP339" s="253" t="s">
        <v>5</v>
      </c>
      <c r="AQ339" s="253" t="s">
        <v>5</v>
      </c>
      <c r="AR339" s="253" t="s">
        <v>5</v>
      </c>
      <c r="AS339" s="253" t="s">
        <v>5</v>
      </c>
      <c r="AT339" s="253" t="s">
        <v>5</v>
      </c>
      <c r="AU339" s="253" t="s">
        <v>5</v>
      </c>
      <c r="AV339" s="253" t="s">
        <v>5</v>
      </c>
      <c r="AW339" s="253" t="s">
        <v>5</v>
      </c>
      <c r="AX339" s="253" t="s">
        <v>5</v>
      </c>
      <c r="AY339" s="253" t="s">
        <v>5</v>
      </c>
      <c r="AZ339" s="253" t="s">
        <v>5</v>
      </c>
      <c r="BA339" s="253" t="s">
        <v>5</v>
      </c>
      <c r="BB339" s="253" t="s">
        <v>5</v>
      </c>
      <c r="BC339" s="253" t="s">
        <v>5</v>
      </c>
      <c r="BD339" s="253" t="s">
        <v>5</v>
      </c>
      <c r="BE339" s="253" t="s">
        <v>5</v>
      </c>
      <c r="BF339" s="253" t="s">
        <v>5</v>
      </c>
    </row>
    <row r="340" spans="1:58" x14ac:dyDescent="0.3">
      <c r="A340" s="252" t="s">
        <v>948</v>
      </c>
      <c r="B340" s="253">
        <v>12</v>
      </c>
      <c r="C340" s="253">
        <v>3</v>
      </c>
      <c r="D340" s="253">
        <v>6</v>
      </c>
      <c r="E340" s="253">
        <v>9</v>
      </c>
      <c r="F340" s="253">
        <v>12</v>
      </c>
      <c r="G340" s="253">
        <v>3</v>
      </c>
      <c r="H340" s="253">
        <v>6</v>
      </c>
      <c r="I340" s="253">
        <v>9</v>
      </c>
      <c r="J340" s="253">
        <v>12</v>
      </c>
      <c r="K340" s="253">
        <v>3</v>
      </c>
      <c r="L340" s="253">
        <v>6</v>
      </c>
      <c r="M340" s="253">
        <v>9</v>
      </c>
      <c r="N340" s="253">
        <v>12</v>
      </c>
      <c r="O340" s="253">
        <v>3</v>
      </c>
      <c r="P340" s="253">
        <v>6</v>
      </c>
      <c r="Q340" s="253">
        <v>9</v>
      </c>
      <c r="R340" s="253">
        <v>12</v>
      </c>
      <c r="S340" s="253">
        <v>3</v>
      </c>
      <c r="T340" s="253">
        <v>6</v>
      </c>
      <c r="U340" s="253">
        <v>9</v>
      </c>
      <c r="V340" s="253">
        <v>12</v>
      </c>
      <c r="W340" s="253">
        <v>3</v>
      </c>
      <c r="X340" s="253">
        <v>6</v>
      </c>
      <c r="Y340" s="253">
        <v>9</v>
      </c>
      <c r="Z340" s="253">
        <v>12</v>
      </c>
      <c r="AA340" s="253">
        <v>3</v>
      </c>
      <c r="AB340" s="253">
        <v>6</v>
      </c>
      <c r="AC340" s="253">
        <v>9</v>
      </c>
      <c r="AD340" s="253">
        <v>12</v>
      </c>
      <c r="AE340" s="253">
        <v>3</v>
      </c>
      <c r="AF340" s="253">
        <v>6</v>
      </c>
      <c r="AG340" s="253">
        <v>9</v>
      </c>
      <c r="AH340" s="253">
        <v>12</v>
      </c>
      <c r="AI340" s="253">
        <v>3</v>
      </c>
      <c r="AJ340" s="253">
        <v>6</v>
      </c>
      <c r="AK340" s="253">
        <v>9</v>
      </c>
      <c r="AL340" s="253">
        <v>12</v>
      </c>
      <c r="AM340" s="253">
        <v>3</v>
      </c>
      <c r="AN340" s="253">
        <v>6</v>
      </c>
      <c r="AO340" s="253">
        <v>9</v>
      </c>
      <c r="AP340" s="253">
        <v>12</v>
      </c>
      <c r="AQ340" s="253">
        <v>3</v>
      </c>
      <c r="AR340" s="253">
        <v>6</v>
      </c>
      <c r="AS340" s="253">
        <v>9</v>
      </c>
      <c r="AT340" s="253">
        <v>12</v>
      </c>
      <c r="AU340" s="253">
        <v>3</v>
      </c>
      <c r="AV340" s="253">
        <v>6</v>
      </c>
      <c r="AW340" s="253">
        <v>9</v>
      </c>
      <c r="AX340" s="253">
        <v>12</v>
      </c>
      <c r="AY340" s="253">
        <v>3</v>
      </c>
      <c r="AZ340" s="253">
        <v>6</v>
      </c>
      <c r="BA340" s="253">
        <v>9</v>
      </c>
      <c r="BB340" s="253">
        <v>12</v>
      </c>
      <c r="BC340" s="253">
        <v>3</v>
      </c>
      <c r="BD340" s="253">
        <v>6</v>
      </c>
      <c r="BE340" s="253">
        <v>9</v>
      </c>
      <c r="BF340" s="253">
        <v>12</v>
      </c>
    </row>
    <row r="341" spans="1:58" x14ac:dyDescent="0.3">
      <c r="A341" s="252"/>
      <c r="B341" s="253"/>
      <c r="C341" s="253"/>
      <c r="D341" s="253"/>
      <c r="E341" s="253"/>
      <c r="F341" s="253"/>
      <c r="G341" s="25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253"/>
      <c r="AS341" s="253"/>
      <c r="AT341" s="253"/>
      <c r="AU341" s="253"/>
      <c r="AV341" s="253"/>
      <c r="AW341" s="253"/>
      <c r="AX341" s="253"/>
      <c r="AY341" s="253"/>
      <c r="AZ341" s="253"/>
      <c r="BA341" s="253"/>
      <c r="BB341" s="253"/>
      <c r="BC341" s="253"/>
      <c r="BD341" s="253"/>
      <c r="BE341" s="253"/>
      <c r="BF341" s="253"/>
    </row>
    <row r="342" spans="1:58" x14ac:dyDescent="0.3">
      <c r="A342" s="252" t="s">
        <v>1045</v>
      </c>
      <c r="B342" s="254">
        <v>16656</v>
      </c>
      <c r="C342" s="254">
        <v>1840</v>
      </c>
      <c r="D342" s="254">
        <v>7737</v>
      </c>
      <c r="E342" s="254">
        <v>11363</v>
      </c>
      <c r="F342" s="253" t="s">
        <v>784</v>
      </c>
      <c r="G342" s="253" t="s">
        <v>784</v>
      </c>
      <c r="H342" s="253" t="s">
        <v>784</v>
      </c>
      <c r="I342" s="253" t="s">
        <v>784</v>
      </c>
      <c r="J342" s="253" t="s">
        <v>784</v>
      </c>
      <c r="K342" s="253" t="s">
        <v>784</v>
      </c>
      <c r="L342" s="253" t="s">
        <v>784</v>
      </c>
      <c r="M342" s="253" t="s">
        <v>784</v>
      </c>
      <c r="N342" s="253" t="s">
        <v>784</v>
      </c>
      <c r="O342" s="253" t="s">
        <v>784</v>
      </c>
      <c r="P342" s="253" t="s">
        <v>784</v>
      </c>
      <c r="Q342" s="253" t="s">
        <v>784</v>
      </c>
      <c r="R342" s="253" t="s">
        <v>784</v>
      </c>
      <c r="S342" s="253" t="s">
        <v>784</v>
      </c>
      <c r="T342" s="253" t="s">
        <v>784</v>
      </c>
      <c r="U342" s="253" t="s">
        <v>784</v>
      </c>
      <c r="V342" s="253" t="s">
        <v>784</v>
      </c>
      <c r="W342" s="253" t="s">
        <v>784</v>
      </c>
      <c r="X342" s="253" t="s">
        <v>784</v>
      </c>
      <c r="Y342" s="253" t="s">
        <v>784</v>
      </c>
      <c r="Z342" s="253" t="s">
        <v>784</v>
      </c>
      <c r="AA342" s="253" t="s">
        <v>784</v>
      </c>
      <c r="AB342" s="253" t="s">
        <v>784</v>
      </c>
      <c r="AC342" s="253" t="s">
        <v>784</v>
      </c>
      <c r="AD342" s="253" t="s">
        <v>784</v>
      </c>
      <c r="AE342" s="253" t="s">
        <v>784</v>
      </c>
      <c r="AF342" s="253" t="s">
        <v>784</v>
      </c>
      <c r="AG342" s="253" t="s">
        <v>784</v>
      </c>
      <c r="AH342" s="253" t="s">
        <v>784</v>
      </c>
      <c r="AI342" s="253" t="s">
        <v>784</v>
      </c>
      <c r="AJ342" s="253" t="s">
        <v>784</v>
      </c>
      <c r="AK342" s="253" t="s">
        <v>784</v>
      </c>
      <c r="AL342" s="253" t="s">
        <v>784</v>
      </c>
      <c r="AM342" s="253" t="s">
        <v>784</v>
      </c>
      <c r="AN342" s="253" t="s">
        <v>784</v>
      </c>
      <c r="AO342" s="253" t="s">
        <v>784</v>
      </c>
      <c r="AP342" s="253" t="s">
        <v>784</v>
      </c>
      <c r="AQ342" s="253" t="s">
        <v>784</v>
      </c>
      <c r="AR342" s="253" t="s">
        <v>784</v>
      </c>
      <c r="AS342" s="253" t="s">
        <v>784</v>
      </c>
      <c r="AT342" s="253" t="s">
        <v>784</v>
      </c>
      <c r="AU342" s="253" t="s">
        <v>784</v>
      </c>
      <c r="AV342" s="253" t="s">
        <v>784</v>
      </c>
      <c r="AW342" s="253" t="s">
        <v>784</v>
      </c>
      <c r="AX342" s="253" t="s">
        <v>784</v>
      </c>
      <c r="AY342" s="253" t="s">
        <v>784</v>
      </c>
      <c r="AZ342" s="253" t="s">
        <v>784</v>
      </c>
      <c r="BA342" s="253" t="s">
        <v>784</v>
      </c>
      <c r="BB342" s="253" t="s">
        <v>784</v>
      </c>
      <c r="BC342" s="253" t="s">
        <v>784</v>
      </c>
      <c r="BD342" s="253" t="s">
        <v>784</v>
      </c>
      <c r="BE342" s="253" t="s">
        <v>784</v>
      </c>
      <c r="BF342" s="253" t="s">
        <v>784</v>
      </c>
    </row>
    <row r="343" spans="1:58" x14ac:dyDescent="0.3">
      <c r="A343" s="252" t="s">
        <v>1046</v>
      </c>
      <c r="B343" s="254">
        <v>1351</v>
      </c>
      <c r="C343" s="254">
        <v>299</v>
      </c>
      <c r="D343" s="254">
        <v>1132</v>
      </c>
      <c r="E343" s="254">
        <v>1955</v>
      </c>
      <c r="F343" s="253" t="s">
        <v>784</v>
      </c>
      <c r="G343" s="253" t="s">
        <v>784</v>
      </c>
      <c r="H343" s="253" t="s">
        <v>784</v>
      </c>
      <c r="I343" s="253" t="s">
        <v>784</v>
      </c>
      <c r="J343" s="253" t="s">
        <v>784</v>
      </c>
      <c r="K343" s="253" t="s">
        <v>784</v>
      </c>
      <c r="L343" s="253" t="s">
        <v>784</v>
      </c>
      <c r="M343" s="253" t="s">
        <v>784</v>
      </c>
      <c r="N343" s="253" t="s">
        <v>784</v>
      </c>
      <c r="O343" s="253" t="s">
        <v>784</v>
      </c>
      <c r="P343" s="253" t="s">
        <v>784</v>
      </c>
      <c r="Q343" s="253" t="s">
        <v>784</v>
      </c>
      <c r="R343" s="253" t="s">
        <v>784</v>
      </c>
      <c r="S343" s="253" t="s">
        <v>784</v>
      </c>
      <c r="T343" s="253" t="s">
        <v>784</v>
      </c>
      <c r="U343" s="253" t="s">
        <v>784</v>
      </c>
      <c r="V343" s="253" t="s">
        <v>784</v>
      </c>
      <c r="W343" s="253" t="s">
        <v>784</v>
      </c>
      <c r="X343" s="253" t="s">
        <v>784</v>
      </c>
      <c r="Y343" s="253" t="s">
        <v>784</v>
      </c>
      <c r="Z343" s="253" t="s">
        <v>784</v>
      </c>
      <c r="AA343" s="253" t="s">
        <v>784</v>
      </c>
      <c r="AB343" s="253" t="s">
        <v>784</v>
      </c>
      <c r="AC343" s="253" t="s">
        <v>784</v>
      </c>
      <c r="AD343" s="253" t="s">
        <v>784</v>
      </c>
      <c r="AE343" s="253" t="s">
        <v>784</v>
      </c>
      <c r="AF343" s="253" t="s">
        <v>784</v>
      </c>
      <c r="AG343" s="253" t="s">
        <v>784</v>
      </c>
      <c r="AH343" s="253" t="s">
        <v>784</v>
      </c>
      <c r="AI343" s="253" t="s">
        <v>784</v>
      </c>
      <c r="AJ343" s="253" t="s">
        <v>784</v>
      </c>
      <c r="AK343" s="253" t="s">
        <v>784</v>
      </c>
      <c r="AL343" s="253" t="s">
        <v>784</v>
      </c>
      <c r="AM343" s="253" t="s">
        <v>784</v>
      </c>
      <c r="AN343" s="253" t="s">
        <v>784</v>
      </c>
      <c r="AO343" s="253" t="s">
        <v>784</v>
      </c>
      <c r="AP343" s="253" t="s">
        <v>784</v>
      </c>
      <c r="AQ343" s="253" t="s">
        <v>784</v>
      </c>
      <c r="AR343" s="253" t="s">
        <v>784</v>
      </c>
      <c r="AS343" s="253" t="s">
        <v>784</v>
      </c>
      <c r="AT343" s="253" t="s">
        <v>784</v>
      </c>
      <c r="AU343" s="253" t="s">
        <v>784</v>
      </c>
      <c r="AV343" s="253" t="s">
        <v>784</v>
      </c>
      <c r="AW343" s="253" t="s">
        <v>784</v>
      </c>
      <c r="AX343" s="253" t="s">
        <v>784</v>
      </c>
      <c r="AY343" s="253" t="s">
        <v>784</v>
      </c>
      <c r="AZ343" s="253" t="s">
        <v>784</v>
      </c>
      <c r="BA343" s="253" t="s">
        <v>784</v>
      </c>
      <c r="BB343" s="253" t="s">
        <v>784</v>
      </c>
      <c r="BC343" s="253" t="s">
        <v>784</v>
      </c>
      <c r="BD343" s="253" t="s">
        <v>784</v>
      </c>
      <c r="BE343" s="253" t="s">
        <v>784</v>
      </c>
      <c r="BF343" s="253" t="s">
        <v>784</v>
      </c>
    </row>
    <row r="344" spans="1:58" x14ac:dyDescent="0.3">
      <c r="A344" s="252" t="s">
        <v>1047</v>
      </c>
      <c r="B344" s="254">
        <v>15305</v>
      </c>
      <c r="C344" s="254">
        <v>1541</v>
      </c>
      <c r="D344" s="254">
        <v>6605</v>
      </c>
      <c r="E344" s="254">
        <v>9408</v>
      </c>
      <c r="F344" s="254">
        <v>15593</v>
      </c>
      <c r="G344" s="254">
        <v>353</v>
      </c>
      <c r="H344" s="254">
        <v>8193</v>
      </c>
      <c r="I344" s="254">
        <v>8307</v>
      </c>
      <c r="J344" s="254">
        <v>9937</v>
      </c>
      <c r="K344" s="254">
        <v>3150</v>
      </c>
      <c r="L344" s="254">
        <v>3714</v>
      </c>
      <c r="M344" s="254">
        <v>3795</v>
      </c>
      <c r="N344" s="254">
        <v>6746</v>
      </c>
      <c r="O344" s="254">
        <v>2143</v>
      </c>
      <c r="P344" s="254">
        <v>2995</v>
      </c>
      <c r="Q344" s="254">
        <v>5406</v>
      </c>
      <c r="R344" s="254">
        <v>4395</v>
      </c>
      <c r="S344" s="254">
        <v>143303</v>
      </c>
      <c r="T344" s="254">
        <v>280907</v>
      </c>
      <c r="U344" s="254">
        <v>405122</v>
      </c>
      <c r="V344" s="254">
        <v>486839</v>
      </c>
      <c r="W344" s="254">
        <v>4853</v>
      </c>
      <c r="X344" s="254">
        <v>101661</v>
      </c>
      <c r="Y344" s="254">
        <v>229602</v>
      </c>
      <c r="Z344" s="254">
        <v>253071</v>
      </c>
      <c r="AA344" s="254">
        <v>41509</v>
      </c>
      <c r="AB344" s="254">
        <v>144890</v>
      </c>
      <c r="AC344" s="254">
        <v>284132</v>
      </c>
      <c r="AD344" s="254">
        <v>397871</v>
      </c>
      <c r="AE344" s="254">
        <v>74786</v>
      </c>
      <c r="AF344" s="254">
        <v>230293</v>
      </c>
      <c r="AG344" s="254">
        <v>340307</v>
      </c>
      <c r="AH344" s="254">
        <v>533922</v>
      </c>
      <c r="AI344" s="254">
        <v>117155</v>
      </c>
      <c r="AJ344" s="254">
        <v>356560</v>
      </c>
      <c r="AK344" s="254">
        <v>581187</v>
      </c>
      <c r="AL344" s="254">
        <v>848920</v>
      </c>
      <c r="AM344" s="254">
        <v>139431</v>
      </c>
      <c r="AN344" s="254">
        <v>687306</v>
      </c>
      <c r="AO344" s="254">
        <v>1086351</v>
      </c>
      <c r="AP344" s="254">
        <v>1644346</v>
      </c>
      <c r="AQ344" s="254">
        <v>223162</v>
      </c>
      <c r="AR344" s="254">
        <v>535455</v>
      </c>
      <c r="AS344" s="254">
        <v>1024150</v>
      </c>
      <c r="AT344" s="254">
        <v>1904185</v>
      </c>
      <c r="AU344" s="254">
        <v>655334</v>
      </c>
      <c r="AV344" s="254">
        <v>1678171</v>
      </c>
      <c r="AW344" s="254">
        <v>2617688</v>
      </c>
      <c r="AX344" s="254">
        <v>4396003</v>
      </c>
      <c r="AY344" s="254">
        <v>1529995</v>
      </c>
      <c r="AZ344" s="254">
        <v>3403980</v>
      </c>
      <c r="BA344" s="254">
        <v>5389766</v>
      </c>
      <c r="BB344" s="254">
        <v>6363475</v>
      </c>
      <c r="BC344" s="254">
        <v>2814955</v>
      </c>
      <c r="BD344" s="254">
        <v>5126161</v>
      </c>
      <c r="BE344" s="254">
        <v>8909843</v>
      </c>
      <c r="BF344" s="254">
        <v>11905041</v>
      </c>
    </row>
    <row r="345" spans="1:58" x14ac:dyDescent="0.3">
      <c r="A345" s="252" t="s">
        <v>950</v>
      </c>
      <c r="B345" s="254">
        <v>1885</v>
      </c>
      <c r="C345" s="254">
        <v>4026</v>
      </c>
      <c r="D345" s="254">
        <v>7162</v>
      </c>
      <c r="E345" s="254">
        <v>11788</v>
      </c>
      <c r="F345" s="254">
        <v>14418</v>
      </c>
      <c r="G345" s="254">
        <v>2800</v>
      </c>
      <c r="H345" s="254">
        <v>5588</v>
      </c>
      <c r="I345" s="254">
        <v>6883</v>
      </c>
      <c r="J345" s="254">
        <v>9429</v>
      </c>
      <c r="K345" s="254">
        <v>707</v>
      </c>
      <c r="L345" s="254">
        <v>2569</v>
      </c>
      <c r="M345" s="254">
        <v>2495</v>
      </c>
      <c r="N345" s="254">
        <v>3123</v>
      </c>
      <c r="O345" s="254">
        <v>499</v>
      </c>
      <c r="P345" s="254">
        <v>1101</v>
      </c>
      <c r="Q345" s="254">
        <v>1832</v>
      </c>
      <c r="R345" s="254">
        <v>2267</v>
      </c>
      <c r="S345" s="254">
        <v>120006</v>
      </c>
      <c r="T345" s="254">
        <v>202451</v>
      </c>
      <c r="U345" s="254">
        <v>300619</v>
      </c>
      <c r="V345" s="254">
        <v>468078</v>
      </c>
      <c r="W345" s="254">
        <v>4037</v>
      </c>
      <c r="X345" s="254">
        <v>120278</v>
      </c>
      <c r="Y345" s="254">
        <v>277087</v>
      </c>
      <c r="Z345" s="254">
        <v>294457</v>
      </c>
      <c r="AA345" s="254">
        <v>66577</v>
      </c>
      <c r="AB345" s="254">
        <v>180653</v>
      </c>
      <c r="AC345" s="254">
        <v>305267</v>
      </c>
      <c r="AD345" s="254">
        <v>408468</v>
      </c>
      <c r="AE345" s="254">
        <v>68240</v>
      </c>
      <c r="AF345" s="254">
        <v>200047</v>
      </c>
      <c r="AG345" s="254">
        <v>293559</v>
      </c>
      <c r="AH345" s="254">
        <v>435064</v>
      </c>
      <c r="AI345" s="254">
        <v>93692</v>
      </c>
      <c r="AJ345" s="254">
        <v>241159</v>
      </c>
      <c r="AK345" s="254">
        <v>358146</v>
      </c>
      <c r="AL345" s="254">
        <v>528809</v>
      </c>
      <c r="AM345" s="254">
        <v>96529</v>
      </c>
      <c r="AN345" s="254">
        <v>364980</v>
      </c>
      <c r="AO345" s="254">
        <v>597355</v>
      </c>
      <c r="AP345" s="254">
        <v>940379</v>
      </c>
      <c r="AQ345" s="254">
        <v>206826</v>
      </c>
      <c r="AR345" s="254">
        <v>432562</v>
      </c>
      <c r="AS345" s="254">
        <v>751872</v>
      </c>
      <c r="AT345" s="254">
        <v>1286926</v>
      </c>
      <c r="AU345" s="254">
        <v>236531</v>
      </c>
      <c r="AV345" s="254">
        <v>705094</v>
      </c>
      <c r="AW345" s="254">
        <v>1158350</v>
      </c>
      <c r="AX345" s="254">
        <v>1883358</v>
      </c>
      <c r="AY345" s="254">
        <v>462095</v>
      </c>
      <c r="AZ345" s="254">
        <v>1119431</v>
      </c>
      <c r="BA345" s="254">
        <v>1731742</v>
      </c>
      <c r="BB345" s="254">
        <v>2106303</v>
      </c>
      <c r="BC345" s="254">
        <v>981886</v>
      </c>
      <c r="BD345" s="254">
        <v>1824958</v>
      </c>
      <c r="BE345" s="254">
        <v>3452556</v>
      </c>
      <c r="BF345" s="254">
        <v>4246137</v>
      </c>
    </row>
    <row r="346" spans="1:58" x14ac:dyDescent="0.3">
      <c r="A346" s="252" t="s">
        <v>951</v>
      </c>
      <c r="B346" s="254">
        <v>13420</v>
      </c>
      <c r="C346" s="254">
        <v>-2485</v>
      </c>
      <c r="D346" s="254">
        <v>-557</v>
      </c>
      <c r="E346" s="254">
        <v>-2380</v>
      </c>
      <c r="F346" s="254">
        <v>1175</v>
      </c>
      <c r="G346" s="254">
        <v>-2447</v>
      </c>
      <c r="H346" s="254">
        <v>2605</v>
      </c>
      <c r="I346" s="254">
        <v>1424</v>
      </c>
      <c r="J346" s="254">
        <v>508</v>
      </c>
      <c r="K346" s="254">
        <v>2443</v>
      </c>
      <c r="L346" s="254">
        <v>1145</v>
      </c>
      <c r="M346" s="254">
        <v>1300</v>
      </c>
      <c r="N346" s="254">
        <v>3623</v>
      </c>
      <c r="O346" s="254">
        <v>1644</v>
      </c>
      <c r="P346" s="254">
        <v>1894</v>
      </c>
      <c r="Q346" s="254">
        <v>3574</v>
      </c>
      <c r="R346" s="254">
        <v>2128</v>
      </c>
      <c r="S346" s="254">
        <v>23297</v>
      </c>
      <c r="T346" s="254">
        <v>78456</v>
      </c>
      <c r="U346" s="254">
        <v>104503</v>
      </c>
      <c r="V346" s="254">
        <v>18761</v>
      </c>
      <c r="W346" s="254">
        <v>816</v>
      </c>
      <c r="X346" s="254">
        <v>-18617</v>
      </c>
      <c r="Y346" s="254">
        <v>-47485</v>
      </c>
      <c r="Z346" s="254">
        <v>-41386</v>
      </c>
      <c r="AA346" s="254">
        <v>-25068</v>
      </c>
      <c r="AB346" s="254">
        <v>-35763</v>
      </c>
      <c r="AC346" s="254">
        <v>-21135</v>
      </c>
      <c r="AD346" s="254">
        <v>-10597</v>
      </c>
      <c r="AE346" s="254">
        <v>6546</v>
      </c>
      <c r="AF346" s="254">
        <v>30246</v>
      </c>
      <c r="AG346" s="254">
        <v>46748</v>
      </c>
      <c r="AH346" s="254">
        <v>98858</v>
      </c>
      <c r="AI346" s="254">
        <v>23463</v>
      </c>
      <c r="AJ346" s="254">
        <v>115401</v>
      </c>
      <c r="AK346" s="254">
        <v>223041</v>
      </c>
      <c r="AL346" s="254">
        <v>320111</v>
      </c>
      <c r="AM346" s="254">
        <v>42902</v>
      </c>
      <c r="AN346" s="254">
        <v>322326</v>
      </c>
      <c r="AO346" s="254">
        <v>488996</v>
      </c>
      <c r="AP346" s="254">
        <v>703967</v>
      </c>
      <c r="AQ346" s="254">
        <v>16336</v>
      </c>
      <c r="AR346" s="254">
        <v>102893</v>
      </c>
      <c r="AS346" s="254">
        <v>272278</v>
      </c>
      <c r="AT346" s="254">
        <v>617259</v>
      </c>
      <c r="AU346" s="254">
        <v>418803</v>
      </c>
      <c r="AV346" s="254">
        <v>973077</v>
      </c>
      <c r="AW346" s="254">
        <v>1459338</v>
      </c>
      <c r="AX346" s="254">
        <v>2512645</v>
      </c>
      <c r="AY346" s="254">
        <v>1067900</v>
      </c>
      <c r="AZ346" s="254">
        <v>2284549</v>
      </c>
      <c r="BA346" s="254">
        <v>3658024</v>
      </c>
      <c r="BB346" s="254">
        <v>4257172</v>
      </c>
      <c r="BC346" s="254">
        <v>1833069</v>
      </c>
      <c r="BD346" s="254">
        <v>3301203</v>
      </c>
      <c r="BE346" s="254">
        <v>5457287</v>
      </c>
      <c r="BF346" s="254">
        <v>7658904</v>
      </c>
    </row>
    <row r="347" spans="1:58" x14ac:dyDescent="0.3">
      <c r="A347" s="252" t="s">
        <v>1048</v>
      </c>
      <c r="B347" s="254">
        <v>30447</v>
      </c>
      <c r="C347" s="254">
        <v>23091</v>
      </c>
      <c r="D347" s="254">
        <v>44853</v>
      </c>
      <c r="E347" s="254">
        <v>80664</v>
      </c>
      <c r="F347" s="253" t="s">
        <v>784</v>
      </c>
      <c r="G347" s="253" t="s">
        <v>784</v>
      </c>
      <c r="H347" s="253" t="s">
        <v>784</v>
      </c>
      <c r="I347" s="253" t="s">
        <v>784</v>
      </c>
      <c r="J347" s="253" t="s">
        <v>784</v>
      </c>
      <c r="K347" s="253" t="s">
        <v>784</v>
      </c>
      <c r="L347" s="253" t="s">
        <v>784</v>
      </c>
      <c r="M347" s="253" t="s">
        <v>784</v>
      </c>
      <c r="N347" s="253" t="s">
        <v>784</v>
      </c>
      <c r="O347" s="253" t="s">
        <v>784</v>
      </c>
      <c r="P347" s="253" t="s">
        <v>784</v>
      </c>
      <c r="Q347" s="253" t="s">
        <v>784</v>
      </c>
      <c r="R347" s="253" t="s">
        <v>784</v>
      </c>
      <c r="S347" s="253" t="s">
        <v>784</v>
      </c>
      <c r="T347" s="253" t="s">
        <v>784</v>
      </c>
      <c r="U347" s="253" t="s">
        <v>784</v>
      </c>
      <c r="V347" s="253" t="s">
        <v>784</v>
      </c>
      <c r="W347" s="253" t="s">
        <v>784</v>
      </c>
      <c r="X347" s="253" t="s">
        <v>784</v>
      </c>
      <c r="Y347" s="253" t="s">
        <v>784</v>
      </c>
      <c r="Z347" s="253" t="s">
        <v>784</v>
      </c>
      <c r="AA347" s="253" t="s">
        <v>784</v>
      </c>
      <c r="AB347" s="253" t="s">
        <v>784</v>
      </c>
      <c r="AC347" s="253" t="s">
        <v>784</v>
      </c>
      <c r="AD347" s="253" t="s">
        <v>784</v>
      </c>
      <c r="AE347" s="253" t="s">
        <v>784</v>
      </c>
      <c r="AF347" s="253" t="s">
        <v>784</v>
      </c>
      <c r="AG347" s="253" t="s">
        <v>784</v>
      </c>
      <c r="AH347" s="253" t="s">
        <v>784</v>
      </c>
      <c r="AI347" s="253" t="s">
        <v>784</v>
      </c>
      <c r="AJ347" s="253" t="s">
        <v>784</v>
      </c>
      <c r="AK347" s="253" t="s">
        <v>784</v>
      </c>
      <c r="AL347" s="253" t="s">
        <v>784</v>
      </c>
      <c r="AM347" s="253" t="s">
        <v>784</v>
      </c>
      <c r="AN347" s="253" t="s">
        <v>784</v>
      </c>
      <c r="AO347" s="253" t="s">
        <v>784</v>
      </c>
      <c r="AP347" s="253" t="s">
        <v>784</v>
      </c>
      <c r="AQ347" s="253" t="s">
        <v>784</v>
      </c>
      <c r="AR347" s="253" t="s">
        <v>784</v>
      </c>
      <c r="AS347" s="253" t="s">
        <v>784</v>
      </c>
      <c r="AT347" s="253" t="s">
        <v>784</v>
      </c>
      <c r="AU347" s="253" t="s">
        <v>784</v>
      </c>
      <c r="AV347" s="253" t="s">
        <v>784</v>
      </c>
      <c r="AW347" s="253" t="s">
        <v>784</v>
      </c>
      <c r="AX347" s="253" t="s">
        <v>784</v>
      </c>
      <c r="AY347" s="253" t="s">
        <v>784</v>
      </c>
      <c r="AZ347" s="253" t="s">
        <v>784</v>
      </c>
      <c r="BA347" s="253" t="s">
        <v>784</v>
      </c>
      <c r="BB347" s="253" t="s">
        <v>784</v>
      </c>
      <c r="BC347" s="253" t="s">
        <v>784</v>
      </c>
      <c r="BD347" s="253" t="s">
        <v>784</v>
      </c>
      <c r="BE347" s="253" t="s">
        <v>784</v>
      </c>
      <c r="BF347" s="253" t="s">
        <v>784</v>
      </c>
    </row>
    <row r="348" spans="1:58" x14ac:dyDescent="0.3">
      <c r="A348" s="255" t="s">
        <v>1049</v>
      </c>
      <c r="B348" s="256">
        <v>0</v>
      </c>
      <c r="C348" s="256">
        <v>0</v>
      </c>
      <c r="D348" s="256">
        <v>0</v>
      </c>
      <c r="E348" s="256">
        <v>0</v>
      </c>
      <c r="F348" s="256">
        <v>0</v>
      </c>
      <c r="G348" s="256">
        <v>0</v>
      </c>
      <c r="H348" s="256">
        <v>0</v>
      </c>
      <c r="I348" s="256">
        <v>0</v>
      </c>
      <c r="J348" s="256">
        <v>0</v>
      </c>
      <c r="K348" s="256">
        <v>0</v>
      </c>
      <c r="L348" s="256">
        <v>0</v>
      </c>
      <c r="M348" s="256">
        <v>0</v>
      </c>
      <c r="N348" s="256">
        <v>0</v>
      </c>
      <c r="O348" s="256">
        <v>0</v>
      </c>
      <c r="P348" s="256">
        <v>0</v>
      </c>
      <c r="Q348" s="256">
        <v>0</v>
      </c>
      <c r="R348" s="256">
        <v>0</v>
      </c>
      <c r="S348" s="256">
        <v>0</v>
      </c>
      <c r="T348" s="256">
        <v>0</v>
      </c>
      <c r="U348" s="256">
        <v>0</v>
      </c>
      <c r="V348" s="256">
        <v>0</v>
      </c>
      <c r="W348" s="256">
        <v>0</v>
      </c>
      <c r="X348" s="256">
        <v>0</v>
      </c>
      <c r="Y348" s="256">
        <v>0</v>
      </c>
      <c r="Z348" s="256">
        <v>0</v>
      </c>
      <c r="AA348" s="256">
        <v>0</v>
      </c>
      <c r="AB348" s="256">
        <v>0</v>
      </c>
      <c r="AC348" s="256">
        <v>0</v>
      </c>
      <c r="AD348" s="256">
        <v>0</v>
      </c>
      <c r="AE348" s="256">
        <v>0</v>
      </c>
      <c r="AF348" s="256">
        <v>0</v>
      </c>
      <c r="AG348" s="256">
        <v>0</v>
      </c>
      <c r="AH348" s="256">
        <v>0</v>
      </c>
      <c r="AI348" s="256">
        <v>0</v>
      </c>
      <c r="AJ348" s="256">
        <v>0</v>
      </c>
      <c r="AK348" s="256">
        <v>0</v>
      </c>
      <c r="AL348" s="256">
        <v>0</v>
      </c>
      <c r="AM348" s="256">
        <v>0</v>
      </c>
      <c r="AN348" s="256">
        <v>0</v>
      </c>
      <c r="AO348" s="256">
        <v>0</v>
      </c>
      <c r="AP348" s="256">
        <v>0</v>
      </c>
      <c r="AQ348" s="256">
        <v>0</v>
      </c>
      <c r="AR348" s="256">
        <v>0</v>
      </c>
      <c r="AS348" s="256">
        <v>0</v>
      </c>
      <c r="AT348" s="256">
        <v>0</v>
      </c>
      <c r="AU348" s="256">
        <v>0</v>
      </c>
      <c r="AV348" s="256">
        <v>0</v>
      </c>
      <c r="AW348" s="256">
        <v>0</v>
      </c>
      <c r="AX348" s="256">
        <v>0</v>
      </c>
      <c r="AY348" s="256">
        <v>0</v>
      </c>
      <c r="AZ348" s="256">
        <v>0</v>
      </c>
      <c r="BA348" s="256">
        <v>0</v>
      </c>
      <c r="BB348" s="256">
        <v>0</v>
      </c>
      <c r="BC348" s="256">
        <v>96642</v>
      </c>
      <c r="BD348" s="256">
        <v>261808</v>
      </c>
      <c r="BE348" s="256">
        <v>0</v>
      </c>
      <c r="BF348" s="256">
        <v>0</v>
      </c>
    </row>
    <row r="349" spans="1:58" x14ac:dyDescent="0.3">
      <c r="A349" s="255" t="s">
        <v>1050</v>
      </c>
      <c r="B349" s="256">
        <v>30447</v>
      </c>
      <c r="C349" s="256">
        <v>23091</v>
      </c>
      <c r="D349" s="256">
        <v>44853</v>
      </c>
      <c r="E349" s="256">
        <v>80664</v>
      </c>
      <c r="F349" s="256">
        <v>189648</v>
      </c>
      <c r="G349" s="256">
        <v>64550</v>
      </c>
      <c r="H349" s="256">
        <v>167559</v>
      </c>
      <c r="I349" s="256">
        <v>331601</v>
      </c>
      <c r="J349" s="256">
        <v>507341</v>
      </c>
      <c r="K349" s="256">
        <v>137952</v>
      </c>
      <c r="L349" s="256">
        <v>258873</v>
      </c>
      <c r="M349" s="256">
        <v>428477</v>
      </c>
      <c r="N349" s="256">
        <v>554322</v>
      </c>
      <c r="O349" s="256">
        <v>108054</v>
      </c>
      <c r="P349" s="256">
        <v>220103</v>
      </c>
      <c r="Q349" s="256">
        <v>287359</v>
      </c>
      <c r="R349" s="256">
        <v>334351</v>
      </c>
      <c r="S349" s="256">
        <v>35597</v>
      </c>
      <c r="T349" s="256">
        <v>80178</v>
      </c>
      <c r="U349" s="256">
        <v>113609</v>
      </c>
      <c r="V349" s="256">
        <v>143634</v>
      </c>
      <c r="W349" s="256">
        <v>20446</v>
      </c>
      <c r="X349" s="256">
        <v>40303</v>
      </c>
      <c r="Y349" s="256">
        <v>56290</v>
      </c>
      <c r="Z349" s="256">
        <v>84354</v>
      </c>
      <c r="AA349" s="256">
        <v>15572</v>
      </c>
      <c r="AB349" s="256">
        <v>30623</v>
      </c>
      <c r="AC349" s="256">
        <v>45024</v>
      </c>
      <c r="AD349" s="256">
        <v>75029</v>
      </c>
      <c r="AE349" s="256">
        <v>18931</v>
      </c>
      <c r="AF349" s="256">
        <v>46271</v>
      </c>
      <c r="AG349" s="256">
        <v>61431</v>
      </c>
      <c r="AH349" s="256">
        <v>98116</v>
      </c>
      <c r="AI349" s="256">
        <v>29111</v>
      </c>
      <c r="AJ349" s="256">
        <v>55447</v>
      </c>
      <c r="AK349" s="256">
        <v>79113</v>
      </c>
      <c r="AL349" s="256">
        <v>117971</v>
      </c>
      <c r="AM349" s="256">
        <v>21992</v>
      </c>
      <c r="AN349" s="256">
        <v>55963</v>
      </c>
      <c r="AO349" s="256">
        <v>159398</v>
      </c>
      <c r="AP349" s="256">
        <v>245716</v>
      </c>
      <c r="AQ349" s="256">
        <v>80528</v>
      </c>
      <c r="AR349" s="256">
        <v>154798</v>
      </c>
      <c r="AS349" s="256">
        <v>244665</v>
      </c>
      <c r="AT349" s="256">
        <v>337947</v>
      </c>
      <c r="AU349" s="256">
        <v>81780</v>
      </c>
      <c r="AV349" s="256">
        <v>152447</v>
      </c>
      <c r="AW349" s="256">
        <v>222756</v>
      </c>
      <c r="AX349" s="256">
        <v>315640</v>
      </c>
      <c r="AY349" s="256">
        <v>90184</v>
      </c>
      <c r="AZ349" s="256">
        <v>174998</v>
      </c>
      <c r="BA349" s="256">
        <v>274119</v>
      </c>
      <c r="BB349" s="256">
        <v>367529</v>
      </c>
      <c r="BC349" s="256">
        <v>83634</v>
      </c>
      <c r="BD349" s="256">
        <v>188135</v>
      </c>
      <c r="BE349" s="256">
        <v>320554</v>
      </c>
      <c r="BF349" s="256">
        <v>567393</v>
      </c>
    </row>
    <row r="350" spans="1:58" x14ac:dyDescent="0.3">
      <c r="A350" s="252" t="s">
        <v>1051</v>
      </c>
      <c r="B350" s="254">
        <v>2</v>
      </c>
      <c r="C350" s="254">
        <v>600</v>
      </c>
      <c r="D350" s="254">
        <v>-4019</v>
      </c>
      <c r="E350" s="254">
        <v>-2572</v>
      </c>
      <c r="F350" s="253" t="s">
        <v>784</v>
      </c>
      <c r="G350" s="253" t="s">
        <v>784</v>
      </c>
      <c r="H350" s="253" t="s">
        <v>784</v>
      </c>
      <c r="I350" s="253" t="s">
        <v>784</v>
      </c>
      <c r="J350" s="253" t="s">
        <v>784</v>
      </c>
      <c r="K350" s="253" t="s">
        <v>784</v>
      </c>
      <c r="L350" s="253" t="s">
        <v>784</v>
      </c>
      <c r="M350" s="253" t="s">
        <v>784</v>
      </c>
      <c r="N350" s="253" t="s">
        <v>784</v>
      </c>
      <c r="O350" s="253" t="s">
        <v>784</v>
      </c>
      <c r="P350" s="253" t="s">
        <v>784</v>
      </c>
      <c r="Q350" s="253" t="s">
        <v>784</v>
      </c>
      <c r="R350" s="253" t="s">
        <v>784</v>
      </c>
      <c r="S350" s="253" t="s">
        <v>784</v>
      </c>
      <c r="T350" s="253" t="s">
        <v>784</v>
      </c>
      <c r="U350" s="253" t="s">
        <v>784</v>
      </c>
      <c r="V350" s="253" t="s">
        <v>784</v>
      </c>
      <c r="W350" s="253" t="s">
        <v>784</v>
      </c>
      <c r="X350" s="253" t="s">
        <v>784</v>
      </c>
      <c r="Y350" s="253" t="s">
        <v>784</v>
      </c>
      <c r="Z350" s="253" t="s">
        <v>784</v>
      </c>
      <c r="AA350" s="253" t="s">
        <v>784</v>
      </c>
      <c r="AB350" s="253" t="s">
        <v>784</v>
      </c>
      <c r="AC350" s="253" t="s">
        <v>784</v>
      </c>
      <c r="AD350" s="253" t="s">
        <v>784</v>
      </c>
      <c r="AE350" s="253" t="s">
        <v>784</v>
      </c>
      <c r="AF350" s="253" t="s">
        <v>784</v>
      </c>
      <c r="AG350" s="253" t="s">
        <v>784</v>
      </c>
      <c r="AH350" s="253" t="s">
        <v>784</v>
      </c>
      <c r="AI350" s="253" t="s">
        <v>784</v>
      </c>
      <c r="AJ350" s="253" t="s">
        <v>784</v>
      </c>
      <c r="AK350" s="253" t="s">
        <v>784</v>
      </c>
      <c r="AL350" s="253" t="s">
        <v>784</v>
      </c>
      <c r="AM350" s="253" t="s">
        <v>784</v>
      </c>
      <c r="AN350" s="253" t="s">
        <v>784</v>
      </c>
      <c r="AO350" s="253" t="s">
        <v>784</v>
      </c>
      <c r="AP350" s="253" t="s">
        <v>784</v>
      </c>
      <c r="AQ350" s="253" t="s">
        <v>784</v>
      </c>
      <c r="AR350" s="253" t="s">
        <v>784</v>
      </c>
      <c r="AS350" s="253" t="s">
        <v>784</v>
      </c>
      <c r="AT350" s="253" t="s">
        <v>784</v>
      </c>
      <c r="AU350" s="253" t="s">
        <v>784</v>
      </c>
      <c r="AV350" s="253" t="s">
        <v>784</v>
      </c>
      <c r="AW350" s="253" t="s">
        <v>784</v>
      </c>
      <c r="AX350" s="253" t="s">
        <v>784</v>
      </c>
      <c r="AY350" s="253" t="s">
        <v>784</v>
      </c>
      <c r="AZ350" s="253" t="s">
        <v>784</v>
      </c>
      <c r="BA350" s="253" t="s">
        <v>784</v>
      </c>
      <c r="BB350" s="253" t="s">
        <v>784</v>
      </c>
      <c r="BC350" s="253" t="s">
        <v>784</v>
      </c>
      <c r="BD350" s="253" t="s">
        <v>784</v>
      </c>
      <c r="BE350" s="253" t="s">
        <v>784</v>
      </c>
      <c r="BF350" s="253" t="s">
        <v>784</v>
      </c>
    </row>
    <row r="351" spans="1:58" x14ac:dyDescent="0.3">
      <c r="A351" s="255" t="s">
        <v>1052</v>
      </c>
      <c r="B351" s="256">
        <v>2</v>
      </c>
      <c r="C351" s="256">
        <v>600</v>
      </c>
      <c r="D351" s="256">
        <v>672</v>
      </c>
      <c r="E351" s="256">
        <v>0</v>
      </c>
      <c r="F351" s="261" t="s">
        <v>784</v>
      </c>
      <c r="G351" s="261" t="s">
        <v>784</v>
      </c>
      <c r="H351" s="261" t="s">
        <v>784</v>
      </c>
      <c r="I351" s="261" t="s">
        <v>784</v>
      </c>
      <c r="J351" s="261" t="s">
        <v>784</v>
      </c>
      <c r="K351" s="261" t="s">
        <v>784</v>
      </c>
      <c r="L351" s="261" t="s">
        <v>784</v>
      </c>
      <c r="M351" s="261" t="s">
        <v>784</v>
      </c>
      <c r="N351" s="261" t="s">
        <v>784</v>
      </c>
      <c r="O351" s="261" t="s">
        <v>784</v>
      </c>
      <c r="P351" s="261" t="s">
        <v>784</v>
      </c>
      <c r="Q351" s="261" t="s">
        <v>784</v>
      </c>
      <c r="R351" s="261" t="s">
        <v>784</v>
      </c>
      <c r="S351" s="261" t="s">
        <v>784</v>
      </c>
      <c r="T351" s="261" t="s">
        <v>784</v>
      </c>
      <c r="U351" s="261" t="s">
        <v>784</v>
      </c>
      <c r="V351" s="261" t="s">
        <v>784</v>
      </c>
      <c r="W351" s="261" t="s">
        <v>784</v>
      </c>
      <c r="X351" s="261" t="s">
        <v>784</v>
      </c>
      <c r="Y351" s="261" t="s">
        <v>784</v>
      </c>
      <c r="Z351" s="261" t="s">
        <v>784</v>
      </c>
      <c r="AA351" s="261" t="s">
        <v>784</v>
      </c>
      <c r="AB351" s="261" t="s">
        <v>784</v>
      </c>
      <c r="AC351" s="261" t="s">
        <v>784</v>
      </c>
      <c r="AD351" s="261" t="s">
        <v>784</v>
      </c>
      <c r="AE351" s="261" t="s">
        <v>784</v>
      </c>
      <c r="AF351" s="261" t="s">
        <v>784</v>
      </c>
      <c r="AG351" s="261" t="s">
        <v>784</v>
      </c>
      <c r="AH351" s="261" t="s">
        <v>784</v>
      </c>
      <c r="AI351" s="261" t="s">
        <v>784</v>
      </c>
      <c r="AJ351" s="261" t="s">
        <v>784</v>
      </c>
      <c r="AK351" s="261" t="s">
        <v>784</v>
      </c>
      <c r="AL351" s="261" t="s">
        <v>784</v>
      </c>
      <c r="AM351" s="261" t="s">
        <v>784</v>
      </c>
      <c r="AN351" s="261" t="s">
        <v>784</v>
      </c>
      <c r="AO351" s="261" t="s">
        <v>784</v>
      </c>
      <c r="AP351" s="261" t="s">
        <v>784</v>
      </c>
      <c r="AQ351" s="261" t="s">
        <v>784</v>
      </c>
      <c r="AR351" s="261" t="s">
        <v>784</v>
      </c>
      <c r="AS351" s="261" t="s">
        <v>784</v>
      </c>
      <c r="AT351" s="261" t="s">
        <v>784</v>
      </c>
      <c r="AU351" s="261" t="s">
        <v>784</v>
      </c>
      <c r="AV351" s="261" t="s">
        <v>784</v>
      </c>
      <c r="AW351" s="261" t="s">
        <v>784</v>
      </c>
      <c r="AX351" s="261" t="s">
        <v>784</v>
      </c>
      <c r="AY351" s="261" t="s">
        <v>784</v>
      </c>
      <c r="AZ351" s="261" t="s">
        <v>784</v>
      </c>
      <c r="BA351" s="261" t="s">
        <v>784</v>
      </c>
      <c r="BB351" s="261" t="s">
        <v>784</v>
      </c>
      <c r="BC351" s="261" t="s">
        <v>784</v>
      </c>
      <c r="BD351" s="261" t="s">
        <v>784</v>
      </c>
      <c r="BE351" s="261" t="s">
        <v>784</v>
      </c>
      <c r="BF351" s="261" t="s">
        <v>784</v>
      </c>
    </row>
    <row r="352" spans="1:58" x14ac:dyDescent="0.3">
      <c r="A352" s="255" t="s">
        <v>1053</v>
      </c>
      <c r="B352" s="256">
        <v>0</v>
      </c>
      <c r="C352" s="256">
        <v>0</v>
      </c>
      <c r="D352" s="256">
        <v>4691</v>
      </c>
      <c r="E352" s="256">
        <v>2572</v>
      </c>
      <c r="F352" s="261" t="s">
        <v>784</v>
      </c>
      <c r="G352" s="261" t="s">
        <v>784</v>
      </c>
      <c r="H352" s="261" t="s">
        <v>784</v>
      </c>
      <c r="I352" s="261" t="s">
        <v>784</v>
      </c>
      <c r="J352" s="261" t="s">
        <v>784</v>
      </c>
      <c r="K352" s="261" t="s">
        <v>784</v>
      </c>
      <c r="L352" s="261" t="s">
        <v>784</v>
      </c>
      <c r="M352" s="261" t="s">
        <v>784</v>
      </c>
      <c r="N352" s="261" t="s">
        <v>784</v>
      </c>
      <c r="O352" s="261" t="s">
        <v>784</v>
      </c>
      <c r="P352" s="261" t="s">
        <v>784</v>
      </c>
      <c r="Q352" s="261" t="s">
        <v>784</v>
      </c>
      <c r="R352" s="261" t="s">
        <v>784</v>
      </c>
      <c r="S352" s="261" t="s">
        <v>784</v>
      </c>
      <c r="T352" s="261" t="s">
        <v>784</v>
      </c>
      <c r="U352" s="261" t="s">
        <v>784</v>
      </c>
      <c r="V352" s="261" t="s">
        <v>784</v>
      </c>
      <c r="W352" s="261" t="s">
        <v>784</v>
      </c>
      <c r="X352" s="261" t="s">
        <v>784</v>
      </c>
      <c r="Y352" s="261" t="s">
        <v>784</v>
      </c>
      <c r="Z352" s="261" t="s">
        <v>784</v>
      </c>
      <c r="AA352" s="261" t="s">
        <v>784</v>
      </c>
      <c r="AB352" s="261" t="s">
        <v>784</v>
      </c>
      <c r="AC352" s="261" t="s">
        <v>784</v>
      </c>
      <c r="AD352" s="261" t="s">
        <v>784</v>
      </c>
      <c r="AE352" s="261" t="s">
        <v>784</v>
      </c>
      <c r="AF352" s="261" t="s">
        <v>784</v>
      </c>
      <c r="AG352" s="261" t="s">
        <v>784</v>
      </c>
      <c r="AH352" s="261" t="s">
        <v>784</v>
      </c>
      <c r="AI352" s="261" t="s">
        <v>784</v>
      </c>
      <c r="AJ352" s="261" t="s">
        <v>784</v>
      </c>
      <c r="AK352" s="261" t="s">
        <v>784</v>
      </c>
      <c r="AL352" s="261" t="s">
        <v>784</v>
      </c>
      <c r="AM352" s="261" t="s">
        <v>784</v>
      </c>
      <c r="AN352" s="261" t="s">
        <v>784</v>
      </c>
      <c r="AO352" s="261" t="s">
        <v>784</v>
      </c>
      <c r="AP352" s="261" t="s">
        <v>784</v>
      </c>
      <c r="AQ352" s="261" t="s">
        <v>784</v>
      </c>
      <c r="AR352" s="261" t="s">
        <v>784</v>
      </c>
      <c r="AS352" s="261" t="s">
        <v>784</v>
      </c>
      <c r="AT352" s="261" t="s">
        <v>784</v>
      </c>
      <c r="AU352" s="261" t="s">
        <v>784</v>
      </c>
      <c r="AV352" s="261" t="s">
        <v>784</v>
      </c>
      <c r="AW352" s="261" t="s">
        <v>784</v>
      </c>
      <c r="AX352" s="261" t="s">
        <v>784</v>
      </c>
      <c r="AY352" s="261" t="s">
        <v>784</v>
      </c>
      <c r="AZ352" s="261" t="s">
        <v>784</v>
      </c>
      <c r="BA352" s="261" t="s">
        <v>784</v>
      </c>
      <c r="BB352" s="261" t="s">
        <v>784</v>
      </c>
      <c r="BC352" s="261" t="s">
        <v>784</v>
      </c>
      <c r="BD352" s="261" t="s">
        <v>784</v>
      </c>
      <c r="BE352" s="261" t="s">
        <v>784</v>
      </c>
      <c r="BF352" s="261" t="s">
        <v>784</v>
      </c>
    </row>
    <row r="353" spans="1:58" x14ac:dyDescent="0.3">
      <c r="A353" s="252" t="s">
        <v>1054</v>
      </c>
      <c r="B353" s="254">
        <v>-17025</v>
      </c>
      <c r="C353" s="254">
        <v>-24976</v>
      </c>
      <c r="D353" s="254">
        <v>-49429</v>
      </c>
      <c r="E353" s="254">
        <v>-85616</v>
      </c>
      <c r="F353" s="253" t="s">
        <v>784</v>
      </c>
      <c r="G353" s="253" t="s">
        <v>784</v>
      </c>
      <c r="H353" s="253" t="s">
        <v>784</v>
      </c>
      <c r="I353" s="253" t="s">
        <v>784</v>
      </c>
      <c r="J353" s="253" t="s">
        <v>784</v>
      </c>
      <c r="K353" s="253" t="s">
        <v>784</v>
      </c>
      <c r="L353" s="253" t="s">
        <v>784</v>
      </c>
      <c r="M353" s="253" t="s">
        <v>784</v>
      </c>
      <c r="N353" s="253" t="s">
        <v>784</v>
      </c>
      <c r="O353" s="253" t="s">
        <v>784</v>
      </c>
      <c r="P353" s="253" t="s">
        <v>784</v>
      </c>
      <c r="Q353" s="253" t="s">
        <v>784</v>
      </c>
      <c r="R353" s="253" t="s">
        <v>784</v>
      </c>
      <c r="S353" s="253" t="s">
        <v>784</v>
      </c>
      <c r="T353" s="253" t="s">
        <v>784</v>
      </c>
      <c r="U353" s="253" t="s">
        <v>784</v>
      </c>
      <c r="V353" s="253" t="s">
        <v>784</v>
      </c>
      <c r="W353" s="253" t="s">
        <v>784</v>
      </c>
      <c r="X353" s="253" t="s">
        <v>784</v>
      </c>
      <c r="Y353" s="253" t="s">
        <v>784</v>
      </c>
      <c r="Z353" s="253" t="s">
        <v>784</v>
      </c>
      <c r="AA353" s="253" t="s">
        <v>784</v>
      </c>
      <c r="AB353" s="253" t="s">
        <v>784</v>
      </c>
      <c r="AC353" s="253" t="s">
        <v>784</v>
      </c>
      <c r="AD353" s="253" t="s">
        <v>784</v>
      </c>
      <c r="AE353" s="253" t="s">
        <v>784</v>
      </c>
      <c r="AF353" s="253" t="s">
        <v>784</v>
      </c>
      <c r="AG353" s="253" t="s">
        <v>784</v>
      </c>
      <c r="AH353" s="253" t="s">
        <v>784</v>
      </c>
      <c r="AI353" s="253" t="s">
        <v>784</v>
      </c>
      <c r="AJ353" s="253" t="s">
        <v>784</v>
      </c>
      <c r="AK353" s="253" t="s">
        <v>784</v>
      </c>
      <c r="AL353" s="253" t="s">
        <v>784</v>
      </c>
      <c r="AM353" s="253" t="s">
        <v>784</v>
      </c>
      <c r="AN353" s="253" t="s">
        <v>784</v>
      </c>
      <c r="AO353" s="253" t="s">
        <v>784</v>
      </c>
      <c r="AP353" s="253" t="s">
        <v>784</v>
      </c>
      <c r="AQ353" s="253" t="s">
        <v>784</v>
      </c>
      <c r="AR353" s="253" t="s">
        <v>784</v>
      </c>
      <c r="AS353" s="253" t="s">
        <v>784</v>
      </c>
      <c r="AT353" s="253" t="s">
        <v>784</v>
      </c>
      <c r="AU353" s="253" t="s">
        <v>784</v>
      </c>
      <c r="AV353" s="253" t="s">
        <v>784</v>
      </c>
      <c r="AW353" s="253" t="s">
        <v>784</v>
      </c>
      <c r="AX353" s="253" t="s">
        <v>784</v>
      </c>
      <c r="AY353" s="253" t="s">
        <v>784</v>
      </c>
      <c r="AZ353" s="253" t="s">
        <v>784</v>
      </c>
      <c r="BA353" s="253" t="s">
        <v>784</v>
      </c>
      <c r="BB353" s="253" t="s">
        <v>784</v>
      </c>
      <c r="BC353" s="253" t="s">
        <v>784</v>
      </c>
      <c r="BD353" s="253" t="s">
        <v>784</v>
      </c>
      <c r="BE353" s="253" t="s">
        <v>784</v>
      </c>
      <c r="BF353" s="253" t="s">
        <v>784</v>
      </c>
    </row>
    <row r="354" spans="1:58" x14ac:dyDescent="0.3">
      <c r="A354" s="252" t="s">
        <v>1055</v>
      </c>
      <c r="B354" s="254">
        <v>5715</v>
      </c>
      <c r="C354" s="254">
        <v>6167</v>
      </c>
      <c r="D354" s="254">
        <v>12444</v>
      </c>
      <c r="E354" s="254">
        <v>18648</v>
      </c>
      <c r="F354" s="253" t="s">
        <v>784</v>
      </c>
      <c r="G354" s="253" t="s">
        <v>784</v>
      </c>
      <c r="H354" s="253" t="s">
        <v>784</v>
      </c>
      <c r="I354" s="253" t="s">
        <v>784</v>
      </c>
      <c r="J354" s="253" t="s">
        <v>784</v>
      </c>
      <c r="K354" s="253" t="s">
        <v>784</v>
      </c>
      <c r="L354" s="253" t="s">
        <v>784</v>
      </c>
      <c r="M354" s="253" t="s">
        <v>784</v>
      </c>
      <c r="N354" s="253" t="s">
        <v>784</v>
      </c>
      <c r="O354" s="253" t="s">
        <v>784</v>
      </c>
      <c r="P354" s="253" t="s">
        <v>784</v>
      </c>
      <c r="Q354" s="253" t="s">
        <v>784</v>
      </c>
      <c r="R354" s="253" t="s">
        <v>784</v>
      </c>
      <c r="S354" s="253" t="s">
        <v>784</v>
      </c>
      <c r="T354" s="253" t="s">
        <v>784</v>
      </c>
      <c r="U354" s="253" t="s">
        <v>784</v>
      </c>
      <c r="V354" s="253" t="s">
        <v>784</v>
      </c>
      <c r="W354" s="253" t="s">
        <v>784</v>
      </c>
      <c r="X354" s="253" t="s">
        <v>784</v>
      </c>
      <c r="Y354" s="253" t="s">
        <v>784</v>
      </c>
      <c r="Z354" s="253" t="s">
        <v>784</v>
      </c>
      <c r="AA354" s="253" t="s">
        <v>784</v>
      </c>
      <c r="AB354" s="253" t="s">
        <v>784</v>
      </c>
      <c r="AC354" s="253" t="s">
        <v>784</v>
      </c>
      <c r="AD354" s="253" t="s">
        <v>784</v>
      </c>
      <c r="AE354" s="253" t="s">
        <v>784</v>
      </c>
      <c r="AF354" s="253" t="s">
        <v>784</v>
      </c>
      <c r="AG354" s="253" t="s">
        <v>784</v>
      </c>
      <c r="AH354" s="253" t="s">
        <v>784</v>
      </c>
      <c r="AI354" s="253" t="s">
        <v>784</v>
      </c>
      <c r="AJ354" s="253" t="s">
        <v>784</v>
      </c>
      <c r="AK354" s="253" t="s">
        <v>784</v>
      </c>
      <c r="AL354" s="253" t="s">
        <v>784</v>
      </c>
      <c r="AM354" s="253" t="s">
        <v>784</v>
      </c>
      <c r="AN354" s="253" t="s">
        <v>784</v>
      </c>
      <c r="AO354" s="253" t="s">
        <v>784</v>
      </c>
      <c r="AP354" s="253" t="s">
        <v>784</v>
      </c>
      <c r="AQ354" s="253" t="s">
        <v>784</v>
      </c>
      <c r="AR354" s="253" t="s">
        <v>784</v>
      </c>
      <c r="AS354" s="253" t="s">
        <v>784</v>
      </c>
      <c r="AT354" s="253" t="s">
        <v>784</v>
      </c>
      <c r="AU354" s="253" t="s">
        <v>784</v>
      </c>
      <c r="AV354" s="253" t="s">
        <v>784</v>
      </c>
      <c r="AW354" s="253" t="s">
        <v>784</v>
      </c>
      <c r="AX354" s="253" t="s">
        <v>784</v>
      </c>
      <c r="AY354" s="253" t="s">
        <v>784</v>
      </c>
      <c r="AZ354" s="253" t="s">
        <v>784</v>
      </c>
      <c r="BA354" s="253" t="s">
        <v>784</v>
      </c>
      <c r="BB354" s="253" t="s">
        <v>784</v>
      </c>
      <c r="BC354" s="253" t="s">
        <v>784</v>
      </c>
      <c r="BD354" s="253" t="s">
        <v>784</v>
      </c>
      <c r="BE354" s="253" t="s">
        <v>784</v>
      </c>
      <c r="BF354" s="253" t="s">
        <v>784</v>
      </c>
    </row>
    <row r="355" spans="1:58" x14ac:dyDescent="0.3">
      <c r="A355" s="255" t="s">
        <v>961</v>
      </c>
      <c r="B355" s="256">
        <v>5770</v>
      </c>
      <c r="C355" s="256">
        <v>6907</v>
      </c>
      <c r="D355" s="256">
        <v>13492</v>
      </c>
      <c r="E355" s="256">
        <v>20053</v>
      </c>
      <c r="F355" s="256">
        <v>67496</v>
      </c>
      <c r="G355" s="256">
        <v>66099</v>
      </c>
      <c r="H355" s="256">
        <v>128136</v>
      </c>
      <c r="I355" s="256">
        <v>199956</v>
      </c>
      <c r="J355" s="256">
        <v>246512</v>
      </c>
      <c r="K355" s="256">
        <v>41833</v>
      </c>
      <c r="L355" s="256">
        <v>99984</v>
      </c>
      <c r="M355" s="256">
        <v>129823</v>
      </c>
      <c r="N355" s="256">
        <v>148100</v>
      </c>
      <c r="O355" s="256">
        <v>17718</v>
      </c>
      <c r="P355" s="256">
        <v>71898</v>
      </c>
      <c r="Q355" s="256">
        <v>107020</v>
      </c>
      <c r="R355" s="256">
        <v>134233</v>
      </c>
      <c r="S355" s="256">
        <v>10710</v>
      </c>
      <c r="T355" s="256">
        <v>22828</v>
      </c>
      <c r="U355" s="256">
        <v>52063</v>
      </c>
      <c r="V355" s="256">
        <v>81445</v>
      </c>
      <c r="W355" s="256">
        <v>59949</v>
      </c>
      <c r="X355" s="256">
        <v>115076</v>
      </c>
      <c r="Y355" s="256">
        <v>277886</v>
      </c>
      <c r="Z355" s="256">
        <v>332553</v>
      </c>
      <c r="AA355" s="256">
        <v>89896</v>
      </c>
      <c r="AB355" s="256">
        <v>176318</v>
      </c>
      <c r="AC355" s="256">
        <v>296028</v>
      </c>
      <c r="AD355" s="256">
        <v>313817</v>
      </c>
      <c r="AE355" s="256">
        <v>68333</v>
      </c>
      <c r="AF355" s="256">
        <v>100258</v>
      </c>
      <c r="AG355" s="256">
        <v>165016</v>
      </c>
      <c r="AH355" s="256">
        <v>171756</v>
      </c>
      <c r="AI355" s="256">
        <v>49311</v>
      </c>
      <c r="AJ355" s="256">
        <v>134176</v>
      </c>
      <c r="AK355" s="256">
        <v>246039</v>
      </c>
      <c r="AL355" s="256">
        <v>313524</v>
      </c>
      <c r="AM355" s="256">
        <v>60886</v>
      </c>
      <c r="AN355" s="256">
        <v>129877</v>
      </c>
      <c r="AO355" s="256">
        <v>199651</v>
      </c>
      <c r="AP355" s="256">
        <v>377142</v>
      </c>
      <c r="AQ355" s="256">
        <v>654267</v>
      </c>
      <c r="AR355" s="256">
        <v>759345</v>
      </c>
      <c r="AS355" s="256">
        <v>1034843</v>
      </c>
      <c r="AT355" s="256">
        <v>1469151</v>
      </c>
      <c r="AU355" s="256">
        <v>54154</v>
      </c>
      <c r="AV355" s="256">
        <v>573458</v>
      </c>
      <c r="AW355" s="256">
        <v>790761</v>
      </c>
      <c r="AX355" s="256">
        <v>946536</v>
      </c>
      <c r="AY355" s="256">
        <v>312508</v>
      </c>
      <c r="AZ355" s="256">
        <v>68617</v>
      </c>
      <c r="BA355" s="256">
        <v>224880</v>
      </c>
      <c r="BB355" s="256">
        <v>278680</v>
      </c>
      <c r="BC355" s="256">
        <v>292006</v>
      </c>
      <c r="BD355" s="256">
        <v>1062704</v>
      </c>
      <c r="BE355" s="256">
        <v>775842</v>
      </c>
      <c r="BF355" s="256">
        <v>1525252</v>
      </c>
    </row>
    <row r="356" spans="1:58" x14ac:dyDescent="0.3">
      <c r="A356" s="255" t="s">
        <v>1056</v>
      </c>
      <c r="B356" s="256">
        <v>55</v>
      </c>
      <c r="C356" s="256">
        <v>740</v>
      </c>
      <c r="D356" s="256">
        <v>1048</v>
      </c>
      <c r="E356" s="256">
        <v>1405</v>
      </c>
      <c r="F356" s="261" t="s">
        <v>784</v>
      </c>
      <c r="G356" s="261" t="s">
        <v>784</v>
      </c>
      <c r="H356" s="261" t="s">
        <v>784</v>
      </c>
      <c r="I356" s="261" t="s">
        <v>784</v>
      </c>
      <c r="J356" s="261" t="s">
        <v>784</v>
      </c>
      <c r="K356" s="261" t="s">
        <v>784</v>
      </c>
      <c r="L356" s="261" t="s">
        <v>784</v>
      </c>
      <c r="M356" s="261" t="s">
        <v>784</v>
      </c>
      <c r="N356" s="261" t="s">
        <v>784</v>
      </c>
      <c r="O356" s="261" t="s">
        <v>784</v>
      </c>
      <c r="P356" s="261" t="s">
        <v>784</v>
      </c>
      <c r="Q356" s="261" t="s">
        <v>784</v>
      </c>
      <c r="R356" s="261" t="s">
        <v>784</v>
      </c>
      <c r="S356" s="261" t="s">
        <v>784</v>
      </c>
      <c r="T356" s="261" t="s">
        <v>784</v>
      </c>
      <c r="U356" s="261" t="s">
        <v>784</v>
      </c>
      <c r="V356" s="261" t="s">
        <v>784</v>
      </c>
      <c r="W356" s="261" t="s">
        <v>784</v>
      </c>
      <c r="X356" s="261" t="s">
        <v>784</v>
      </c>
      <c r="Y356" s="261" t="s">
        <v>784</v>
      </c>
      <c r="Z356" s="261" t="s">
        <v>784</v>
      </c>
      <c r="AA356" s="261" t="s">
        <v>784</v>
      </c>
      <c r="AB356" s="261" t="s">
        <v>784</v>
      </c>
      <c r="AC356" s="261" t="s">
        <v>784</v>
      </c>
      <c r="AD356" s="261" t="s">
        <v>784</v>
      </c>
      <c r="AE356" s="261" t="s">
        <v>784</v>
      </c>
      <c r="AF356" s="261" t="s">
        <v>784</v>
      </c>
      <c r="AG356" s="261" t="s">
        <v>784</v>
      </c>
      <c r="AH356" s="261" t="s">
        <v>784</v>
      </c>
      <c r="AI356" s="261" t="s">
        <v>784</v>
      </c>
      <c r="AJ356" s="261" t="s">
        <v>784</v>
      </c>
      <c r="AK356" s="261" t="s">
        <v>784</v>
      </c>
      <c r="AL356" s="261" t="s">
        <v>784</v>
      </c>
      <c r="AM356" s="261" t="s">
        <v>784</v>
      </c>
      <c r="AN356" s="261" t="s">
        <v>784</v>
      </c>
      <c r="AO356" s="261" t="s">
        <v>784</v>
      </c>
      <c r="AP356" s="261" t="s">
        <v>784</v>
      </c>
      <c r="AQ356" s="261" t="s">
        <v>784</v>
      </c>
      <c r="AR356" s="261" t="s">
        <v>784</v>
      </c>
      <c r="AS356" s="261" t="s">
        <v>784</v>
      </c>
      <c r="AT356" s="261" t="s">
        <v>784</v>
      </c>
      <c r="AU356" s="261" t="s">
        <v>784</v>
      </c>
      <c r="AV356" s="261" t="s">
        <v>784</v>
      </c>
      <c r="AW356" s="261" t="s">
        <v>784</v>
      </c>
      <c r="AX356" s="261" t="s">
        <v>784</v>
      </c>
      <c r="AY356" s="261" t="s">
        <v>784</v>
      </c>
      <c r="AZ356" s="261" t="s">
        <v>784</v>
      </c>
      <c r="BA356" s="261" t="s">
        <v>784</v>
      </c>
      <c r="BB356" s="261" t="s">
        <v>784</v>
      </c>
      <c r="BC356" s="261" t="s">
        <v>784</v>
      </c>
      <c r="BD356" s="261" t="s">
        <v>784</v>
      </c>
      <c r="BE356" s="261" t="s">
        <v>784</v>
      </c>
      <c r="BF356" s="261" t="s">
        <v>784</v>
      </c>
    </row>
    <row r="357" spans="1:58" x14ac:dyDescent="0.3">
      <c r="A357" s="257" t="s">
        <v>1057</v>
      </c>
      <c r="B357" s="259">
        <v>55</v>
      </c>
      <c r="C357" s="259">
        <v>740</v>
      </c>
      <c r="D357" s="259">
        <v>1048</v>
      </c>
      <c r="E357" s="259">
        <v>1405</v>
      </c>
      <c r="F357" s="259">
        <v>14999</v>
      </c>
      <c r="G357" s="259">
        <v>5609</v>
      </c>
      <c r="H357" s="259">
        <v>18102</v>
      </c>
      <c r="I357" s="259">
        <v>21620</v>
      </c>
      <c r="J357" s="259">
        <v>20434</v>
      </c>
      <c r="K357" s="259">
        <v>12057</v>
      </c>
      <c r="L357" s="259">
        <v>17087</v>
      </c>
      <c r="M357" s="259">
        <v>16011</v>
      </c>
      <c r="N357" s="259">
        <v>21482</v>
      </c>
      <c r="O357" s="259">
        <v>12891</v>
      </c>
      <c r="P357" s="259">
        <v>41075</v>
      </c>
      <c r="Q357" s="259">
        <v>73151</v>
      </c>
      <c r="R357" s="259">
        <v>90167</v>
      </c>
      <c r="S357" s="259">
        <v>17820</v>
      </c>
      <c r="T357" s="259">
        <v>31575</v>
      </c>
      <c r="U357" s="259">
        <v>39951</v>
      </c>
      <c r="V357" s="259">
        <v>65573</v>
      </c>
      <c r="W357" s="259">
        <v>75753</v>
      </c>
      <c r="X357" s="259">
        <v>143007</v>
      </c>
      <c r="Y357" s="259">
        <v>276706</v>
      </c>
      <c r="Z357" s="259">
        <v>311873</v>
      </c>
      <c r="AA357" s="259">
        <v>112115</v>
      </c>
      <c r="AB357" s="259">
        <v>234414</v>
      </c>
      <c r="AC357" s="259">
        <v>244130</v>
      </c>
      <c r="AD357" s="259">
        <v>319950</v>
      </c>
      <c r="AE357" s="259">
        <v>46731</v>
      </c>
      <c r="AF357" s="259">
        <v>67964</v>
      </c>
      <c r="AG357" s="259">
        <v>118498</v>
      </c>
      <c r="AH357" s="259">
        <v>185531</v>
      </c>
      <c r="AI357" s="259">
        <v>44818</v>
      </c>
      <c r="AJ357" s="259">
        <v>117506</v>
      </c>
      <c r="AK357" s="259">
        <v>200228</v>
      </c>
      <c r="AL357" s="259">
        <v>242447</v>
      </c>
      <c r="AM357" s="259">
        <v>131019</v>
      </c>
      <c r="AN357" s="259">
        <v>281670</v>
      </c>
      <c r="AO357" s="259">
        <v>520322</v>
      </c>
      <c r="AP357" s="259">
        <v>714396</v>
      </c>
      <c r="AQ357" s="259">
        <v>757750</v>
      </c>
      <c r="AR357" s="259">
        <v>1087472</v>
      </c>
      <c r="AS357" s="259">
        <v>1545151</v>
      </c>
      <c r="AT357" s="259">
        <v>1927820</v>
      </c>
      <c r="AU357" s="259">
        <v>416202</v>
      </c>
      <c r="AV357" s="259">
        <v>795085</v>
      </c>
      <c r="AW357" s="259">
        <v>1276695</v>
      </c>
      <c r="AX357" s="259">
        <v>1568858</v>
      </c>
      <c r="AY357" s="259">
        <v>357978</v>
      </c>
      <c r="AZ357" s="259">
        <v>305985</v>
      </c>
      <c r="BA357" s="259">
        <v>493446</v>
      </c>
      <c r="BB357" s="259">
        <v>558099</v>
      </c>
      <c r="BC357" s="259">
        <v>556296</v>
      </c>
      <c r="BD357" s="259">
        <v>1668048</v>
      </c>
      <c r="BE357" s="259">
        <v>1493283</v>
      </c>
      <c r="BF357" s="259">
        <v>2576442</v>
      </c>
    </row>
    <row r="358" spans="1:58" x14ac:dyDescent="0.3">
      <c r="A358" s="257" t="s">
        <v>1058</v>
      </c>
      <c r="B358" s="259">
        <v>0</v>
      </c>
      <c r="C358" s="259">
        <v>0</v>
      </c>
      <c r="D358" s="259">
        <v>0</v>
      </c>
      <c r="E358" s="259">
        <v>0</v>
      </c>
      <c r="F358" s="258" t="s">
        <v>784</v>
      </c>
      <c r="G358" s="258" t="s">
        <v>784</v>
      </c>
      <c r="H358" s="258" t="s">
        <v>784</v>
      </c>
      <c r="I358" s="258" t="s">
        <v>784</v>
      </c>
      <c r="J358" s="258" t="s">
        <v>784</v>
      </c>
      <c r="K358" s="258" t="s">
        <v>784</v>
      </c>
      <c r="L358" s="258" t="s">
        <v>784</v>
      </c>
      <c r="M358" s="258" t="s">
        <v>784</v>
      </c>
      <c r="N358" s="258" t="s">
        <v>784</v>
      </c>
      <c r="O358" s="258" t="s">
        <v>784</v>
      </c>
      <c r="P358" s="258" t="s">
        <v>784</v>
      </c>
      <c r="Q358" s="258" t="s">
        <v>784</v>
      </c>
      <c r="R358" s="258" t="s">
        <v>784</v>
      </c>
      <c r="S358" s="258" t="s">
        <v>784</v>
      </c>
      <c r="T358" s="258" t="s">
        <v>784</v>
      </c>
      <c r="U358" s="258" t="s">
        <v>784</v>
      </c>
      <c r="V358" s="258" t="s">
        <v>784</v>
      </c>
      <c r="W358" s="258" t="s">
        <v>784</v>
      </c>
      <c r="X358" s="258" t="s">
        <v>784</v>
      </c>
      <c r="Y358" s="258" t="s">
        <v>784</v>
      </c>
      <c r="Z358" s="258" t="s">
        <v>784</v>
      </c>
      <c r="AA358" s="258" t="s">
        <v>784</v>
      </c>
      <c r="AB358" s="258" t="s">
        <v>784</v>
      </c>
      <c r="AC358" s="258" t="s">
        <v>784</v>
      </c>
      <c r="AD358" s="258" t="s">
        <v>784</v>
      </c>
      <c r="AE358" s="258" t="s">
        <v>784</v>
      </c>
      <c r="AF358" s="258" t="s">
        <v>784</v>
      </c>
      <c r="AG358" s="258" t="s">
        <v>784</v>
      </c>
      <c r="AH358" s="258" t="s">
        <v>784</v>
      </c>
      <c r="AI358" s="258" t="s">
        <v>784</v>
      </c>
      <c r="AJ358" s="258" t="s">
        <v>784</v>
      </c>
      <c r="AK358" s="258" t="s">
        <v>784</v>
      </c>
      <c r="AL358" s="258" t="s">
        <v>784</v>
      </c>
      <c r="AM358" s="258" t="s">
        <v>784</v>
      </c>
      <c r="AN358" s="258" t="s">
        <v>784</v>
      </c>
      <c r="AO358" s="258" t="s">
        <v>784</v>
      </c>
      <c r="AP358" s="258" t="s">
        <v>784</v>
      </c>
      <c r="AQ358" s="258" t="s">
        <v>784</v>
      </c>
      <c r="AR358" s="258" t="s">
        <v>784</v>
      </c>
      <c r="AS358" s="258" t="s">
        <v>784</v>
      </c>
      <c r="AT358" s="258" t="s">
        <v>784</v>
      </c>
      <c r="AU358" s="258" t="s">
        <v>784</v>
      </c>
      <c r="AV358" s="258" t="s">
        <v>784</v>
      </c>
      <c r="AW358" s="258" t="s">
        <v>784</v>
      </c>
      <c r="AX358" s="258" t="s">
        <v>784</v>
      </c>
      <c r="AY358" s="258" t="s">
        <v>784</v>
      </c>
      <c r="AZ358" s="258" t="s">
        <v>784</v>
      </c>
      <c r="BA358" s="258" t="s">
        <v>784</v>
      </c>
      <c r="BB358" s="258" t="s">
        <v>784</v>
      </c>
      <c r="BC358" s="258" t="s">
        <v>784</v>
      </c>
      <c r="BD358" s="258" t="s">
        <v>784</v>
      </c>
      <c r="BE358" s="258" t="s">
        <v>784</v>
      </c>
      <c r="BF358" s="258" t="s">
        <v>784</v>
      </c>
    </row>
    <row r="359" spans="1:58" x14ac:dyDescent="0.3">
      <c r="A359" s="252" t="s">
        <v>1059</v>
      </c>
      <c r="B359" s="254">
        <v>0</v>
      </c>
      <c r="C359" s="254">
        <v>0</v>
      </c>
      <c r="D359" s="254">
        <v>0</v>
      </c>
      <c r="E359" s="254">
        <v>0</v>
      </c>
      <c r="F359" s="254">
        <v>0</v>
      </c>
      <c r="G359" s="254">
        <v>0</v>
      </c>
      <c r="H359" s="254">
        <v>0</v>
      </c>
      <c r="I359" s="254">
        <v>0</v>
      </c>
      <c r="J359" s="254">
        <v>0</v>
      </c>
      <c r="K359" s="254">
        <v>0</v>
      </c>
      <c r="L359" s="254">
        <v>0</v>
      </c>
      <c r="M359" s="254">
        <v>0</v>
      </c>
      <c r="N359" s="254">
        <v>0</v>
      </c>
      <c r="O359" s="254">
        <v>0</v>
      </c>
      <c r="P359" s="254">
        <v>0</v>
      </c>
      <c r="Q359" s="254">
        <v>0</v>
      </c>
      <c r="R359" s="254">
        <v>0</v>
      </c>
      <c r="S359" s="254">
        <v>0</v>
      </c>
      <c r="T359" s="254">
        <v>0</v>
      </c>
      <c r="U359" s="254">
        <v>0</v>
      </c>
      <c r="V359" s="254">
        <v>0</v>
      </c>
      <c r="W359" s="254">
        <v>0</v>
      </c>
      <c r="X359" s="254">
        <v>0</v>
      </c>
      <c r="Y359" s="254">
        <v>0</v>
      </c>
      <c r="Z359" s="254">
        <v>0</v>
      </c>
      <c r="AA359" s="254">
        <v>0</v>
      </c>
      <c r="AB359" s="254">
        <v>0</v>
      </c>
      <c r="AC359" s="254">
        <v>0</v>
      </c>
      <c r="AD359" s="254">
        <v>0</v>
      </c>
      <c r="AE359" s="254">
        <v>0</v>
      </c>
      <c r="AF359" s="254">
        <v>0</v>
      </c>
      <c r="AG359" s="254">
        <v>0</v>
      </c>
      <c r="AH359" s="254">
        <v>0</v>
      </c>
      <c r="AI359" s="254">
        <v>0</v>
      </c>
      <c r="AJ359" s="254">
        <v>0</v>
      </c>
      <c r="AK359" s="254">
        <v>0</v>
      </c>
      <c r="AL359" s="254">
        <v>0</v>
      </c>
      <c r="AM359" s="254">
        <v>0</v>
      </c>
      <c r="AN359" s="254">
        <v>0</v>
      </c>
      <c r="AO359" s="254">
        <v>0</v>
      </c>
      <c r="AP359" s="254">
        <v>0</v>
      </c>
      <c r="AQ359" s="254">
        <v>0</v>
      </c>
      <c r="AR359" s="254">
        <v>0</v>
      </c>
      <c r="AS359" s="254">
        <v>0</v>
      </c>
      <c r="AT359" s="254">
        <v>0</v>
      </c>
      <c r="AU359" s="254">
        <v>0</v>
      </c>
      <c r="AV359" s="254">
        <v>0</v>
      </c>
      <c r="AW359" s="254">
        <v>0</v>
      </c>
      <c r="AX359" s="254">
        <v>0</v>
      </c>
      <c r="AY359" s="254">
        <v>0</v>
      </c>
      <c r="AZ359" s="254">
        <v>0</v>
      </c>
      <c r="BA359" s="254">
        <v>0</v>
      </c>
      <c r="BB359" s="254">
        <v>0</v>
      </c>
      <c r="BC359" s="254">
        <v>0</v>
      </c>
      <c r="BD359" s="254">
        <v>0</v>
      </c>
      <c r="BE359" s="254">
        <v>0</v>
      </c>
      <c r="BF359" s="254">
        <v>0</v>
      </c>
    </row>
    <row r="360" spans="1:58" x14ac:dyDescent="0.3">
      <c r="A360" s="252" t="s">
        <v>1060</v>
      </c>
      <c r="B360" s="254">
        <v>-11310</v>
      </c>
      <c r="C360" s="254">
        <v>-18809</v>
      </c>
      <c r="D360" s="254">
        <v>-36985</v>
      </c>
      <c r="E360" s="254">
        <v>-66968</v>
      </c>
      <c r="F360" s="253" t="s">
        <v>784</v>
      </c>
      <c r="G360" s="253" t="s">
        <v>784</v>
      </c>
      <c r="H360" s="253" t="s">
        <v>784</v>
      </c>
      <c r="I360" s="253" t="s">
        <v>784</v>
      </c>
      <c r="J360" s="253" t="s">
        <v>784</v>
      </c>
      <c r="K360" s="253" t="s">
        <v>784</v>
      </c>
      <c r="L360" s="253" t="s">
        <v>784</v>
      </c>
      <c r="M360" s="253" t="s">
        <v>784</v>
      </c>
      <c r="N360" s="253" t="s">
        <v>784</v>
      </c>
      <c r="O360" s="253" t="s">
        <v>784</v>
      </c>
      <c r="P360" s="253" t="s">
        <v>784</v>
      </c>
      <c r="Q360" s="253" t="s">
        <v>784</v>
      </c>
      <c r="R360" s="253" t="s">
        <v>784</v>
      </c>
      <c r="S360" s="253" t="s">
        <v>784</v>
      </c>
      <c r="T360" s="253" t="s">
        <v>784</v>
      </c>
      <c r="U360" s="253" t="s">
        <v>784</v>
      </c>
      <c r="V360" s="253" t="s">
        <v>784</v>
      </c>
      <c r="W360" s="253" t="s">
        <v>784</v>
      </c>
      <c r="X360" s="253" t="s">
        <v>784</v>
      </c>
      <c r="Y360" s="253" t="s">
        <v>784</v>
      </c>
      <c r="Z360" s="253" t="s">
        <v>784</v>
      </c>
      <c r="AA360" s="253" t="s">
        <v>784</v>
      </c>
      <c r="AB360" s="253" t="s">
        <v>784</v>
      </c>
      <c r="AC360" s="253" t="s">
        <v>784</v>
      </c>
      <c r="AD360" s="253" t="s">
        <v>784</v>
      </c>
      <c r="AE360" s="253" t="s">
        <v>784</v>
      </c>
      <c r="AF360" s="253" t="s">
        <v>784</v>
      </c>
      <c r="AG360" s="253" t="s">
        <v>784</v>
      </c>
      <c r="AH360" s="253" t="s">
        <v>784</v>
      </c>
      <c r="AI360" s="253" t="s">
        <v>784</v>
      </c>
      <c r="AJ360" s="253" t="s">
        <v>784</v>
      </c>
      <c r="AK360" s="253" t="s">
        <v>784</v>
      </c>
      <c r="AL360" s="253" t="s">
        <v>784</v>
      </c>
      <c r="AM360" s="253" t="s">
        <v>784</v>
      </c>
      <c r="AN360" s="253" t="s">
        <v>784</v>
      </c>
      <c r="AO360" s="253" t="s">
        <v>784</v>
      </c>
      <c r="AP360" s="253" t="s">
        <v>784</v>
      </c>
      <c r="AQ360" s="253" t="s">
        <v>784</v>
      </c>
      <c r="AR360" s="253" t="s">
        <v>784</v>
      </c>
      <c r="AS360" s="253" t="s">
        <v>784</v>
      </c>
      <c r="AT360" s="253" t="s">
        <v>784</v>
      </c>
      <c r="AU360" s="253" t="s">
        <v>784</v>
      </c>
      <c r="AV360" s="253" t="s">
        <v>784</v>
      </c>
      <c r="AW360" s="253" t="s">
        <v>784</v>
      </c>
      <c r="AX360" s="253" t="s">
        <v>784</v>
      </c>
      <c r="AY360" s="253" t="s">
        <v>784</v>
      </c>
      <c r="AZ360" s="253" t="s">
        <v>784</v>
      </c>
      <c r="BA360" s="253" t="s">
        <v>784</v>
      </c>
      <c r="BB360" s="253" t="s">
        <v>784</v>
      </c>
      <c r="BC360" s="253" t="s">
        <v>784</v>
      </c>
      <c r="BD360" s="253" t="s">
        <v>784</v>
      </c>
      <c r="BE360" s="253" t="s">
        <v>784</v>
      </c>
      <c r="BF360" s="253" t="s">
        <v>784</v>
      </c>
    </row>
    <row r="361" spans="1:58" x14ac:dyDescent="0.3">
      <c r="A361" s="252" t="s">
        <v>1061</v>
      </c>
      <c r="B361" s="254">
        <v>0</v>
      </c>
      <c r="C361" s="254">
        <v>0</v>
      </c>
      <c r="D361" s="254">
        <v>0</v>
      </c>
      <c r="E361" s="254">
        <v>0</v>
      </c>
      <c r="F361" s="253" t="s">
        <v>784</v>
      </c>
      <c r="G361" s="253" t="s">
        <v>784</v>
      </c>
      <c r="H361" s="253" t="s">
        <v>784</v>
      </c>
      <c r="I361" s="253" t="s">
        <v>784</v>
      </c>
      <c r="J361" s="253" t="s">
        <v>784</v>
      </c>
      <c r="K361" s="253" t="s">
        <v>784</v>
      </c>
      <c r="L361" s="253" t="s">
        <v>784</v>
      </c>
      <c r="M361" s="253" t="s">
        <v>784</v>
      </c>
      <c r="N361" s="253" t="s">
        <v>784</v>
      </c>
      <c r="O361" s="253" t="s">
        <v>784</v>
      </c>
      <c r="P361" s="253" t="s">
        <v>784</v>
      </c>
      <c r="Q361" s="253" t="s">
        <v>784</v>
      </c>
      <c r="R361" s="253" t="s">
        <v>784</v>
      </c>
      <c r="S361" s="253" t="s">
        <v>784</v>
      </c>
      <c r="T361" s="253" t="s">
        <v>784</v>
      </c>
      <c r="U361" s="253" t="s">
        <v>784</v>
      </c>
      <c r="V361" s="253" t="s">
        <v>784</v>
      </c>
      <c r="W361" s="253" t="s">
        <v>784</v>
      </c>
      <c r="X361" s="253" t="s">
        <v>784</v>
      </c>
      <c r="Y361" s="253" t="s">
        <v>784</v>
      </c>
      <c r="Z361" s="253" t="s">
        <v>784</v>
      </c>
      <c r="AA361" s="253" t="s">
        <v>784</v>
      </c>
      <c r="AB361" s="253" t="s">
        <v>784</v>
      </c>
      <c r="AC361" s="253" t="s">
        <v>784</v>
      </c>
      <c r="AD361" s="253" t="s">
        <v>784</v>
      </c>
      <c r="AE361" s="253" t="s">
        <v>784</v>
      </c>
      <c r="AF361" s="253" t="s">
        <v>784</v>
      </c>
      <c r="AG361" s="253" t="s">
        <v>784</v>
      </c>
      <c r="AH361" s="253" t="s">
        <v>784</v>
      </c>
      <c r="AI361" s="253" t="s">
        <v>784</v>
      </c>
      <c r="AJ361" s="253" t="s">
        <v>784</v>
      </c>
      <c r="AK361" s="253" t="s">
        <v>784</v>
      </c>
      <c r="AL361" s="253" t="s">
        <v>784</v>
      </c>
      <c r="AM361" s="253" t="s">
        <v>784</v>
      </c>
      <c r="AN361" s="253" t="s">
        <v>784</v>
      </c>
      <c r="AO361" s="253" t="s">
        <v>784</v>
      </c>
      <c r="AP361" s="253" t="s">
        <v>784</v>
      </c>
      <c r="AQ361" s="253" t="s">
        <v>784</v>
      </c>
      <c r="AR361" s="253" t="s">
        <v>784</v>
      </c>
      <c r="AS361" s="253" t="s">
        <v>784</v>
      </c>
      <c r="AT361" s="253" t="s">
        <v>784</v>
      </c>
      <c r="AU361" s="253" t="s">
        <v>784</v>
      </c>
      <c r="AV361" s="253" t="s">
        <v>784</v>
      </c>
      <c r="AW361" s="253" t="s">
        <v>784</v>
      </c>
      <c r="AX361" s="253" t="s">
        <v>784</v>
      </c>
      <c r="AY361" s="253" t="s">
        <v>784</v>
      </c>
      <c r="AZ361" s="253" t="s">
        <v>784</v>
      </c>
      <c r="BA361" s="253" t="s">
        <v>784</v>
      </c>
      <c r="BB361" s="253" t="s">
        <v>784</v>
      </c>
      <c r="BC361" s="253" t="s">
        <v>784</v>
      </c>
      <c r="BD361" s="253" t="s">
        <v>784</v>
      </c>
      <c r="BE361" s="253" t="s">
        <v>784</v>
      </c>
      <c r="BF361" s="253" t="s">
        <v>784</v>
      </c>
    </row>
    <row r="362" spans="1:58" x14ac:dyDescent="0.3">
      <c r="A362" s="255" t="s">
        <v>1062</v>
      </c>
      <c r="B362" s="256">
        <v>0</v>
      </c>
      <c r="C362" s="256">
        <v>0</v>
      </c>
      <c r="D362" s="256">
        <v>0</v>
      </c>
      <c r="E362" s="256">
        <v>0</v>
      </c>
      <c r="F362" s="261" t="s">
        <v>784</v>
      </c>
      <c r="G362" s="261" t="s">
        <v>784</v>
      </c>
      <c r="H362" s="261" t="s">
        <v>784</v>
      </c>
      <c r="I362" s="261" t="s">
        <v>784</v>
      </c>
      <c r="J362" s="261" t="s">
        <v>784</v>
      </c>
      <c r="K362" s="261" t="s">
        <v>784</v>
      </c>
      <c r="L362" s="261" t="s">
        <v>784</v>
      </c>
      <c r="M362" s="261" t="s">
        <v>784</v>
      </c>
      <c r="N362" s="261" t="s">
        <v>784</v>
      </c>
      <c r="O362" s="261" t="s">
        <v>784</v>
      </c>
      <c r="P362" s="261" t="s">
        <v>784</v>
      </c>
      <c r="Q362" s="261" t="s">
        <v>784</v>
      </c>
      <c r="R362" s="261" t="s">
        <v>784</v>
      </c>
      <c r="S362" s="261" t="s">
        <v>784</v>
      </c>
      <c r="T362" s="261" t="s">
        <v>784</v>
      </c>
      <c r="U362" s="261" t="s">
        <v>784</v>
      </c>
      <c r="V362" s="261" t="s">
        <v>784</v>
      </c>
      <c r="W362" s="261" t="s">
        <v>784</v>
      </c>
      <c r="X362" s="261" t="s">
        <v>784</v>
      </c>
      <c r="Y362" s="261" t="s">
        <v>784</v>
      </c>
      <c r="Z362" s="261" t="s">
        <v>784</v>
      </c>
      <c r="AA362" s="261" t="s">
        <v>784</v>
      </c>
      <c r="AB362" s="261" t="s">
        <v>784</v>
      </c>
      <c r="AC362" s="261" t="s">
        <v>784</v>
      </c>
      <c r="AD362" s="261" t="s">
        <v>784</v>
      </c>
      <c r="AE362" s="261" t="s">
        <v>784</v>
      </c>
      <c r="AF362" s="261" t="s">
        <v>784</v>
      </c>
      <c r="AG362" s="261" t="s">
        <v>784</v>
      </c>
      <c r="AH362" s="261" t="s">
        <v>784</v>
      </c>
      <c r="AI362" s="261" t="s">
        <v>784</v>
      </c>
      <c r="AJ362" s="261" t="s">
        <v>784</v>
      </c>
      <c r="AK362" s="261" t="s">
        <v>784</v>
      </c>
      <c r="AL362" s="261" t="s">
        <v>784</v>
      </c>
      <c r="AM362" s="261" t="s">
        <v>784</v>
      </c>
      <c r="AN362" s="261" t="s">
        <v>784</v>
      </c>
      <c r="AO362" s="261" t="s">
        <v>784</v>
      </c>
      <c r="AP362" s="261" t="s">
        <v>784</v>
      </c>
      <c r="AQ362" s="261" t="s">
        <v>784</v>
      </c>
      <c r="AR362" s="261" t="s">
        <v>784</v>
      </c>
      <c r="AS362" s="261" t="s">
        <v>784</v>
      </c>
      <c r="AT362" s="261" t="s">
        <v>784</v>
      </c>
      <c r="AU362" s="261" t="s">
        <v>784</v>
      </c>
      <c r="AV362" s="261" t="s">
        <v>784</v>
      </c>
      <c r="AW362" s="261" t="s">
        <v>784</v>
      </c>
      <c r="AX362" s="261" t="s">
        <v>784</v>
      </c>
      <c r="AY362" s="261" t="s">
        <v>784</v>
      </c>
      <c r="AZ362" s="261" t="s">
        <v>784</v>
      </c>
      <c r="BA362" s="261" t="s">
        <v>784</v>
      </c>
      <c r="BB362" s="261" t="s">
        <v>784</v>
      </c>
      <c r="BC362" s="261" t="s">
        <v>784</v>
      </c>
      <c r="BD362" s="261" t="s">
        <v>784</v>
      </c>
      <c r="BE362" s="261" t="s">
        <v>784</v>
      </c>
      <c r="BF362" s="261" t="s">
        <v>784</v>
      </c>
    </row>
    <row r="363" spans="1:58" x14ac:dyDescent="0.3">
      <c r="A363" s="255" t="s">
        <v>1063</v>
      </c>
      <c r="B363" s="256">
        <v>0</v>
      </c>
      <c r="C363" s="256">
        <v>0</v>
      </c>
      <c r="D363" s="256">
        <v>0</v>
      </c>
      <c r="E363" s="256">
        <v>0</v>
      </c>
      <c r="F363" s="261" t="s">
        <v>784</v>
      </c>
      <c r="G363" s="261" t="s">
        <v>784</v>
      </c>
      <c r="H363" s="261" t="s">
        <v>784</v>
      </c>
      <c r="I363" s="261" t="s">
        <v>784</v>
      </c>
      <c r="J363" s="261" t="s">
        <v>784</v>
      </c>
      <c r="K363" s="261" t="s">
        <v>784</v>
      </c>
      <c r="L363" s="261" t="s">
        <v>784</v>
      </c>
      <c r="M363" s="261" t="s">
        <v>784</v>
      </c>
      <c r="N363" s="261" t="s">
        <v>784</v>
      </c>
      <c r="O363" s="261" t="s">
        <v>784</v>
      </c>
      <c r="P363" s="261" t="s">
        <v>784</v>
      </c>
      <c r="Q363" s="261" t="s">
        <v>784</v>
      </c>
      <c r="R363" s="261" t="s">
        <v>784</v>
      </c>
      <c r="S363" s="261" t="s">
        <v>784</v>
      </c>
      <c r="T363" s="261" t="s">
        <v>784</v>
      </c>
      <c r="U363" s="261" t="s">
        <v>784</v>
      </c>
      <c r="V363" s="261" t="s">
        <v>784</v>
      </c>
      <c r="W363" s="261" t="s">
        <v>784</v>
      </c>
      <c r="X363" s="261" t="s">
        <v>784</v>
      </c>
      <c r="Y363" s="261" t="s">
        <v>784</v>
      </c>
      <c r="Z363" s="261" t="s">
        <v>784</v>
      </c>
      <c r="AA363" s="261" t="s">
        <v>784</v>
      </c>
      <c r="AB363" s="261" t="s">
        <v>784</v>
      </c>
      <c r="AC363" s="261" t="s">
        <v>784</v>
      </c>
      <c r="AD363" s="261" t="s">
        <v>784</v>
      </c>
      <c r="AE363" s="261" t="s">
        <v>784</v>
      </c>
      <c r="AF363" s="261" t="s">
        <v>784</v>
      </c>
      <c r="AG363" s="261" t="s">
        <v>784</v>
      </c>
      <c r="AH363" s="261" t="s">
        <v>784</v>
      </c>
      <c r="AI363" s="261" t="s">
        <v>784</v>
      </c>
      <c r="AJ363" s="261" t="s">
        <v>784</v>
      </c>
      <c r="AK363" s="261" t="s">
        <v>784</v>
      </c>
      <c r="AL363" s="261" t="s">
        <v>784</v>
      </c>
      <c r="AM363" s="261" t="s">
        <v>784</v>
      </c>
      <c r="AN363" s="261" t="s">
        <v>784</v>
      </c>
      <c r="AO363" s="261" t="s">
        <v>784</v>
      </c>
      <c r="AP363" s="261" t="s">
        <v>784</v>
      </c>
      <c r="AQ363" s="261" t="s">
        <v>784</v>
      </c>
      <c r="AR363" s="261" t="s">
        <v>784</v>
      </c>
      <c r="AS363" s="261" t="s">
        <v>784</v>
      </c>
      <c r="AT363" s="261" t="s">
        <v>784</v>
      </c>
      <c r="AU363" s="261" t="s">
        <v>784</v>
      </c>
      <c r="AV363" s="261" t="s">
        <v>784</v>
      </c>
      <c r="AW363" s="261" t="s">
        <v>784</v>
      </c>
      <c r="AX363" s="261" t="s">
        <v>784</v>
      </c>
      <c r="AY363" s="261" t="s">
        <v>784</v>
      </c>
      <c r="AZ363" s="261" t="s">
        <v>784</v>
      </c>
      <c r="BA363" s="261" t="s">
        <v>784</v>
      </c>
      <c r="BB363" s="261" t="s">
        <v>784</v>
      </c>
      <c r="BC363" s="261" t="s">
        <v>784</v>
      </c>
      <c r="BD363" s="261" t="s">
        <v>784</v>
      </c>
      <c r="BE363" s="261" t="s">
        <v>784</v>
      </c>
      <c r="BF363" s="261" t="s">
        <v>784</v>
      </c>
    </row>
    <row r="364" spans="1:58" x14ac:dyDescent="0.3">
      <c r="A364" s="252" t="s">
        <v>963</v>
      </c>
      <c r="B364" s="254">
        <v>-11310</v>
      </c>
      <c r="C364" s="254">
        <v>-18809</v>
      </c>
      <c r="D364" s="254">
        <v>-36985</v>
      </c>
      <c r="E364" s="254">
        <v>-66968</v>
      </c>
      <c r="F364" s="254">
        <v>-138985</v>
      </c>
      <c r="G364" s="254">
        <v>-6608</v>
      </c>
      <c r="H364" s="254">
        <v>-54516</v>
      </c>
      <c r="I364" s="254">
        <v>-151923</v>
      </c>
      <c r="J364" s="254">
        <v>-280819</v>
      </c>
      <c r="K364" s="254">
        <v>-105715</v>
      </c>
      <c r="L364" s="254">
        <v>11716</v>
      </c>
      <c r="M364" s="254">
        <v>-127234</v>
      </c>
      <c r="N364" s="254">
        <v>-277566</v>
      </c>
      <c r="O364" s="254">
        <v>-99181</v>
      </c>
      <c r="P364" s="254">
        <v>-644183</v>
      </c>
      <c r="Q364" s="254">
        <v>-1459542</v>
      </c>
      <c r="R364" s="254">
        <v>-2561162</v>
      </c>
      <c r="S364" s="254">
        <v>3244</v>
      </c>
      <c r="T364" s="254">
        <v>12485</v>
      </c>
      <c r="U364" s="254">
        <v>30396</v>
      </c>
      <c r="V364" s="254">
        <v>-1052003</v>
      </c>
      <c r="W364" s="254">
        <v>-54002</v>
      </c>
      <c r="X364" s="254">
        <v>-72395</v>
      </c>
      <c r="Y364" s="254">
        <v>-75064</v>
      </c>
      <c r="Z364" s="254">
        <v>104894</v>
      </c>
      <c r="AA364" s="254">
        <v>-65027</v>
      </c>
      <c r="AB364" s="254">
        <v>-116385</v>
      </c>
      <c r="AC364" s="254">
        <v>-22497</v>
      </c>
      <c r="AD364" s="254">
        <v>252951</v>
      </c>
      <c r="AE364" s="254">
        <v>9323</v>
      </c>
      <c r="AF364" s="254">
        <v>58699</v>
      </c>
      <c r="AG364" s="254">
        <v>72417</v>
      </c>
      <c r="AH364" s="254">
        <v>28434</v>
      </c>
      <c r="AI364" s="254">
        <v>2378</v>
      </c>
      <c r="AJ364" s="254">
        <v>73264</v>
      </c>
      <c r="AK364" s="254">
        <v>170476</v>
      </c>
      <c r="AL364" s="254">
        <v>241377</v>
      </c>
      <c r="AM364" s="254">
        <v>-48917</v>
      </c>
      <c r="AN364" s="254">
        <v>82305</v>
      </c>
      <c r="AO364" s="254">
        <v>-88884</v>
      </c>
      <c r="AP364" s="254">
        <v>541002</v>
      </c>
      <c r="AQ364" s="254">
        <v>-52571</v>
      </c>
      <c r="AR364" s="254">
        <v>-175325</v>
      </c>
      <c r="AS364" s="254">
        <v>-249483</v>
      </c>
      <c r="AT364" s="254">
        <v>484080</v>
      </c>
      <c r="AU364" s="254">
        <v>-45275</v>
      </c>
      <c r="AV364" s="254">
        <v>516566</v>
      </c>
      <c r="AW364" s="254">
        <v>683987</v>
      </c>
      <c r="AX364" s="254">
        <v>1499121</v>
      </c>
      <c r="AY364" s="254">
        <v>905243</v>
      </c>
      <c r="AZ364" s="254">
        <v>1735988</v>
      </c>
      <c r="BA364" s="254">
        <v>2982382</v>
      </c>
      <c r="BB364" s="254">
        <v>3661820</v>
      </c>
      <c r="BC364" s="254">
        <v>1255553</v>
      </c>
      <c r="BD364" s="254">
        <v>2095688</v>
      </c>
      <c r="BE364" s="254">
        <v>4215915</v>
      </c>
      <c r="BF364" s="254">
        <v>6104672</v>
      </c>
    </row>
    <row r="365" spans="1:58" x14ac:dyDescent="0.3">
      <c r="A365" s="252" t="s">
        <v>1064</v>
      </c>
      <c r="B365" s="254">
        <v>0</v>
      </c>
      <c r="C365" s="254">
        <v>530</v>
      </c>
      <c r="D365" s="254">
        <v>1629</v>
      </c>
      <c r="E365" s="254">
        <v>2684</v>
      </c>
      <c r="F365" s="254">
        <v>3385</v>
      </c>
      <c r="G365" s="254">
        <v>10351</v>
      </c>
      <c r="H365" s="254">
        <v>17854</v>
      </c>
      <c r="I365" s="254">
        <v>23465</v>
      </c>
      <c r="J365" s="254">
        <v>31959</v>
      </c>
      <c r="K365" s="254">
        <v>39313</v>
      </c>
      <c r="L365" s="253" t="s">
        <v>784</v>
      </c>
      <c r="M365" s="254">
        <v>14694</v>
      </c>
      <c r="N365" s="254">
        <v>0</v>
      </c>
      <c r="O365" s="254">
        <v>0</v>
      </c>
      <c r="P365" s="254">
        <v>1514</v>
      </c>
      <c r="Q365" s="254">
        <v>0</v>
      </c>
      <c r="R365" s="254">
        <v>3972</v>
      </c>
      <c r="S365" s="254">
        <v>1545</v>
      </c>
      <c r="T365" s="254">
        <v>1503</v>
      </c>
      <c r="U365" s="254">
        <v>5107</v>
      </c>
      <c r="V365" s="254">
        <v>13287</v>
      </c>
      <c r="W365" s="254">
        <v>882</v>
      </c>
      <c r="X365" s="254">
        <v>16</v>
      </c>
      <c r="Y365" s="254">
        <v>22</v>
      </c>
      <c r="Z365" s="254">
        <v>-124</v>
      </c>
      <c r="AA365" s="254">
        <v>0</v>
      </c>
      <c r="AB365" s="254">
        <v>0</v>
      </c>
      <c r="AC365" s="254">
        <v>0</v>
      </c>
      <c r="AD365" s="254">
        <v>4639</v>
      </c>
      <c r="AE365" s="254">
        <v>650</v>
      </c>
      <c r="AF365" s="254">
        <v>4051</v>
      </c>
      <c r="AG365" s="254">
        <v>1982</v>
      </c>
      <c r="AH365" s="254">
        <v>2545</v>
      </c>
      <c r="AI365" s="254">
        <v>8975</v>
      </c>
      <c r="AJ365" s="254">
        <v>10849</v>
      </c>
      <c r="AK365" s="254">
        <v>36482</v>
      </c>
      <c r="AL365" s="254">
        <v>42969</v>
      </c>
      <c r="AM365" s="254">
        <v>5398</v>
      </c>
      <c r="AN365" s="254">
        <v>42105</v>
      </c>
      <c r="AO365" s="254">
        <v>42680</v>
      </c>
      <c r="AP365" s="254">
        <v>55658</v>
      </c>
      <c r="AQ365" s="254">
        <v>12142</v>
      </c>
      <c r="AR365" s="254">
        <v>14775</v>
      </c>
      <c r="AS365" s="254">
        <v>24534</v>
      </c>
      <c r="AT365" s="254">
        <v>77140</v>
      </c>
      <c r="AU365" s="254">
        <v>79573</v>
      </c>
      <c r="AV365" s="254">
        <v>139537</v>
      </c>
      <c r="AW365" s="254">
        <v>234090</v>
      </c>
      <c r="AX365" s="254">
        <v>344812</v>
      </c>
      <c r="AY365" s="254">
        <v>115251</v>
      </c>
      <c r="AZ365" s="254">
        <v>313233</v>
      </c>
      <c r="BA365" s="254">
        <v>568781</v>
      </c>
      <c r="BB365" s="254">
        <v>545460</v>
      </c>
      <c r="BC365" s="254">
        <v>124073</v>
      </c>
      <c r="BD365" s="254">
        <v>233000</v>
      </c>
      <c r="BE365" s="254">
        <v>420700</v>
      </c>
      <c r="BF365" s="254">
        <v>683641</v>
      </c>
    </row>
    <row r="366" spans="1:58" x14ac:dyDescent="0.3">
      <c r="A366" s="252" t="s">
        <v>1065</v>
      </c>
      <c r="B366" s="254">
        <v>1325</v>
      </c>
      <c r="C366" s="254">
        <v>0</v>
      </c>
      <c r="D366" s="254">
        <v>0</v>
      </c>
      <c r="E366" s="254">
        <v>0</v>
      </c>
      <c r="F366" s="254">
        <v>0</v>
      </c>
      <c r="G366" s="254">
        <v>-3107</v>
      </c>
      <c r="H366" s="254">
        <v>-5349</v>
      </c>
      <c r="I366" s="254">
        <v>-7041</v>
      </c>
      <c r="J366" s="254">
        <v>-8743</v>
      </c>
      <c r="K366" s="254">
        <v>-11798</v>
      </c>
      <c r="L366" s="253" t="s">
        <v>784</v>
      </c>
      <c r="M366" s="254">
        <v>-4409</v>
      </c>
      <c r="N366" s="254">
        <v>0</v>
      </c>
      <c r="O366" s="254">
        <v>0</v>
      </c>
      <c r="P366" s="254">
        <v>-458</v>
      </c>
      <c r="Q366" s="254">
        <v>-90059</v>
      </c>
      <c r="R366" s="254">
        <v>-327264</v>
      </c>
      <c r="S366" s="254">
        <v>0</v>
      </c>
      <c r="T366" s="254">
        <v>-460</v>
      </c>
      <c r="U366" s="254">
        <v>0</v>
      </c>
      <c r="V366" s="254">
        <v>-66528</v>
      </c>
      <c r="W366" s="254">
        <v>-1345</v>
      </c>
      <c r="X366" s="254">
        <v>-2637</v>
      </c>
      <c r="Y366" s="254">
        <v>-5333</v>
      </c>
      <c r="Z366" s="254">
        <v>-5403</v>
      </c>
      <c r="AA366" s="254">
        <v>360</v>
      </c>
      <c r="AB366" s="254">
        <v>24</v>
      </c>
      <c r="AC366" s="254">
        <v>22441</v>
      </c>
      <c r="AD366" s="254">
        <v>6690</v>
      </c>
      <c r="AE366" s="254">
        <v>4654</v>
      </c>
      <c r="AF366" s="254">
        <v>3523</v>
      </c>
      <c r="AG366" s="254">
        <v>2928</v>
      </c>
      <c r="AH366" s="254">
        <v>-4738</v>
      </c>
      <c r="AI366" s="254">
        <v>-9291</v>
      </c>
      <c r="AJ366" s="254">
        <v>-10839</v>
      </c>
      <c r="AK366" s="254">
        <v>-10718</v>
      </c>
      <c r="AL366" s="254">
        <v>-6467</v>
      </c>
      <c r="AM366" s="254">
        <v>-637</v>
      </c>
      <c r="AN366" s="254">
        <v>-1658</v>
      </c>
      <c r="AO366" s="254">
        <v>-179360</v>
      </c>
      <c r="AP366" s="254">
        <v>-357002</v>
      </c>
      <c r="AQ366" s="254">
        <v>-3252</v>
      </c>
      <c r="AR366" s="254">
        <v>-28837</v>
      </c>
      <c r="AS366" s="254">
        <v>-2156</v>
      </c>
      <c r="AT366" s="254">
        <v>-45973</v>
      </c>
      <c r="AU366" s="254">
        <v>-59056</v>
      </c>
      <c r="AV366" s="254">
        <v>21919</v>
      </c>
      <c r="AW366" s="254">
        <v>-2317</v>
      </c>
      <c r="AX366" s="254">
        <v>-178737</v>
      </c>
      <c r="AY366" s="254">
        <v>-278978</v>
      </c>
      <c r="AZ366" s="254">
        <v>-285295</v>
      </c>
      <c r="BA366" s="254">
        <v>-86763</v>
      </c>
      <c r="BB366" s="254">
        <v>-310712</v>
      </c>
      <c r="BC366" s="254">
        <v>-30585</v>
      </c>
      <c r="BD366" s="254">
        <v>-140346</v>
      </c>
      <c r="BE366" s="254">
        <v>163357</v>
      </c>
      <c r="BF366" s="254">
        <v>241126</v>
      </c>
    </row>
    <row r="367" spans="1:58" x14ac:dyDescent="0.3">
      <c r="A367" s="252" t="s">
        <v>1066</v>
      </c>
      <c r="B367" s="254">
        <v>0</v>
      </c>
      <c r="C367" s="254">
        <v>0</v>
      </c>
      <c r="D367" s="254">
        <v>0</v>
      </c>
      <c r="E367" s="254">
        <v>0</v>
      </c>
      <c r="F367" s="253" t="s">
        <v>784</v>
      </c>
      <c r="G367" s="253" t="s">
        <v>784</v>
      </c>
      <c r="H367" s="253" t="s">
        <v>784</v>
      </c>
      <c r="I367" s="253" t="s">
        <v>784</v>
      </c>
      <c r="J367" s="253" t="s">
        <v>784</v>
      </c>
      <c r="K367" s="253" t="s">
        <v>784</v>
      </c>
      <c r="L367" s="253" t="s">
        <v>784</v>
      </c>
      <c r="M367" s="253" t="s">
        <v>784</v>
      </c>
      <c r="N367" s="253" t="s">
        <v>784</v>
      </c>
      <c r="O367" s="253" t="s">
        <v>784</v>
      </c>
      <c r="P367" s="253" t="s">
        <v>784</v>
      </c>
      <c r="Q367" s="253" t="s">
        <v>784</v>
      </c>
      <c r="R367" s="253" t="s">
        <v>784</v>
      </c>
      <c r="S367" s="253" t="s">
        <v>784</v>
      </c>
      <c r="T367" s="253" t="s">
        <v>784</v>
      </c>
      <c r="U367" s="253" t="s">
        <v>784</v>
      </c>
      <c r="V367" s="253" t="s">
        <v>784</v>
      </c>
      <c r="W367" s="253" t="s">
        <v>784</v>
      </c>
      <c r="X367" s="253" t="s">
        <v>784</v>
      </c>
      <c r="Y367" s="253" t="s">
        <v>784</v>
      </c>
      <c r="Z367" s="253" t="s">
        <v>784</v>
      </c>
      <c r="AA367" s="253" t="s">
        <v>784</v>
      </c>
      <c r="AB367" s="253" t="s">
        <v>784</v>
      </c>
      <c r="AC367" s="253" t="s">
        <v>784</v>
      </c>
      <c r="AD367" s="253" t="s">
        <v>784</v>
      </c>
      <c r="AE367" s="253" t="s">
        <v>784</v>
      </c>
      <c r="AF367" s="253" t="s">
        <v>784</v>
      </c>
      <c r="AG367" s="253" t="s">
        <v>784</v>
      </c>
      <c r="AH367" s="253" t="s">
        <v>784</v>
      </c>
      <c r="AI367" s="253" t="s">
        <v>784</v>
      </c>
      <c r="AJ367" s="253" t="s">
        <v>784</v>
      </c>
      <c r="AK367" s="253" t="s">
        <v>784</v>
      </c>
      <c r="AL367" s="253" t="s">
        <v>784</v>
      </c>
      <c r="AM367" s="253" t="s">
        <v>784</v>
      </c>
      <c r="AN367" s="253" t="s">
        <v>784</v>
      </c>
      <c r="AO367" s="253" t="s">
        <v>784</v>
      </c>
      <c r="AP367" s="253" t="s">
        <v>784</v>
      </c>
      <c r="AQ367" s="253" t="s">
        <v>784</v>
      </c>
      <c r="AR367" s="253" t="s">
        <v>784</v>
      </c>
      <c r="AS367" s="253" t="s">
        <v>784</v>
      </c>
      <c r="AT367" s="253" t="s">
        <v>784</v>
      </c>
      <c r="AU367" s="253" t="s">
        <v>784</v>
      </c>
      <c r="AV367" s="253" t="s">
        <v>784</v>
      </c>
      <c r="AW367" s="253" t="s">
        <v>784</v>
      </c>
      <c r="AX367" s="253" t="s">
        <v>784</v>
      </c>
      <c r="AY367" s="253" t="s">
        <v>784</v>
      </c>
      <c r="AZ367" s="253" t="s">
        <v>784</v>
      </c>
      <c r="BA367" s="253" t="s">
        <v>784</v>
      </c>
      <c r="BB367" s="253" t="s">
        <v>784</v>
      </c>
      <c r="BC367" s="253" t="s">
        <v>784</v>
      </c>
      <c r="BD367" s="253" t="s">
        <v>784</v>
      </c>
      <c r="BE367" s="253" t="s">
        <v>784</v>
      </c>
      <c r="BF367" s="253" t="s">
        <v>784</v>
      </c>
    </row>
    <row r="368" spans="1:58" x14ac:dyDescent="0.3">
      <c r="A368" s="255" t="s">
        <v>1067</v>
      </c>
      <c r="B368" s="256">
        <v>0</v>
      </c>
      <c r="C368" s="256">
        <v>0</v>
      </c>
      <c r="D368" s="256">
        <v>0</v>
      </c>
      <c r="E368" s="256">
        <v>0</v>
      </c>
      <c r="F368" s="261" t="s">
        <v>784</v>
      </c>
      <c r="G368" s="261" t="s">
        <v>784</v>
      </c>
      <c r="H368" s="261" t="s">
        <v>784</v>
      </c>
      <c r="I368" s="261" t="s">
        <v>784</v>
      </c>
      <c r="J368" s="261" t="s">
        <v>784</v>
      </c>
      <c r="K368" s="261" t="s">
        <v>784</v>
      </c>
      <c r="L368" s="261" t="s">
        <v>784</v>
      </c>
      <c r="M368" s="261" t="s">
        <v>784</v>
      </c>
      <c r="N368" s="261" t="s">
        <v>784</v>
      </c>
      <c r="O368" s="261" t="s">
        <v>784</v>
      </c>
      <c r="P368" s="261" t="s">
        <v>784</v>
      </c>
      <c r="Q368" s="261" t="s">
        <v>784</v>
      </c>
      <c r="R368" s="261" t="s">
        <v>784</v>
      </c>
      <c r="S368" s="261" t="s">
        <v>784</v>
      </c>
      <c r="T368" s="261" t="s">
        <v>784</v>
      </c>
      <c r="U368" s="261" t="s">
        <v>784</v>
      </c>
      <c r="V368" s="261" t="s">
        <v>784</v>
      </c>
      <c r="W368" s="261" t="s">
        <v>784</v>
      </c>
      <c r="X368" s="261" t="s">
        <v>784</v>
      </c>
      <c r="Y368" s="261" t="s">
        <v>784</v>
      </c>
      <c r="Z368" s="261" t="s">
        <v>784</v>
      </c>
      <c r="AA368" s="261" t="s">
        <v>784</v>
      </c>
      <c r="AB368" s="261" t="s">
        <v>784</v>
      </c>
      <c r="AC368" s="261" t="s">
        <v>784</v>
      </c>
      <c r="AD368" s="261" t="s">
        <v>784</v>
      </c>
      <c r="AE368" s="261" t="s">
        <v>784</v>
      </c>
      <c r="AF368" s="261" t="s">
        <v>784</v>
      </c>
      <c r="AG368" s="261" t="s">
        <v>784</v>
      </c>
      <c r="AH368" s="261" t="s">
        <v>784</v>
      </c>
      <c r="AI368" s="261" t="s">
        <v>784</v>
      </c>
      <c r="AJ368" s="261" t="s">
        <v>784</v>
      </c>
      <c r="AK368" s="261" t="s">
        <v>784</v>
      </c>
      <c r="AL368" s="261" t="s">
        <v>784</v>
      </c>
      <c r="AM368" s="261" t="s">
        <v>784</v>
      </c>
      <c r="AN368" s="261" t="s">
        <v>784</v>
      </c>
      <c r="AO368" s="261" t="s">
        <v>784</v>
      </c>
      <c r="AP368" s="261" t="s">
        <v>784</v>
      </c>
      <c r="AQ368" s="261" t="s">
        <v>784</v>
      </c>
      <c r="AR368" s="261" t="s">
        <v>784</v>
      </c>
      <c r="AS368" s="261" t="s">
        <v>784</v>
      </c>
      <c r="AT368" s="261" t="s">
        <v>784</v>
      </c>
      <c r="AU368" s="261" t="s">
        <v>784</v>
      </c>
      <c r="AV368" s="261" t="s">
        <v>784</v>
      </c>
      <c r="AW368" s="261" t="s">
        <v>784</v>
      </c>
      <c r="AX368" s="261" t="s">
        <v>784</v>
      </c>
      <c r="AY368" s="261" t="s">
        <v>784</v>
      </c>
      <c r="AZ368" s="261" t="s">
        <v>784</v>
      </c>
      <c r="BA368" s="261" t="s">
        <v>784</v>
      </c>
      <c r="BB368" s="261" t="s">
        <v>784</v>
      </c>
      <c r="BC368" s="261" t="s">
        <v>784</v>
      </c>
      <c r="BD368" s="261" t="s">
        <v>784</v>
      </c>
      <c r="BE368" s="261" t="s">
        <v>784</v>
      </c>
      <c r="BF368" s="261" t="s">
        <v>784</v>
      </c>
    </row>
    <row r="369" spans="1:58" x14ac:dyDescent="0.3">
      <c r="A369" s="255" t="s">
        <v>1068</v>
      </c>
      <c r="B369" s="256">
        <v>0</v>
      </c>
      <c r="C369" s="256">
        <v>0</v>
      </c>
      <c r="D369" s="256">
        <v>0</v>
      </c>
      <c r="E369" s="256">
        <v>0</v>
      </c>
      <c r="F369" s="261" t="s">
        <v>784</v>
      </c>
      <c r="G369" s="261" t="s">
        <v>784</v>
      </c>
      <c r="H369" s="261" t="s">
        <v>784</v>
      </c>
      <c r="I369" s="261" t="s">
        <v>784</v>
      </c>
      <c r="J369" s="261" t="s">
        <v>784</v>
      </c>
      <c r="K369" s="261" t="s">
        <v>784</v>
      </c>
      <c r="L369" s="261" t="s">
        <v>784</v>
      </c>
      <c r="M369" s="261" t="s">
        <v>784</v>
      </c>
      <c r="N369" s="261" t="s">
        <v>784</v>
      </c>
      <c r="O369" s="261" t="s">
        <v>784</v>
      </c>
      <c r="P369" s="261" t="s">
        <v>784</v>
      </c>
      <c r="Q369" s="261" t="s">
        <v>784</v>
      </c>
      <c r="R369" s="261" t="s">
        <v>784</v>
      </c>
      <c r="S369" s="261" t="s">
        <v>784</v>
      </c>
      <c r="T369" s="261" t="s">
        <v>784</v>
      </c>
      <c r="U369" s="261" t="s">
        <v>784</v>
      </c>
      <c r="V369" s="261" t="s">
        <v>784</v>
      </c>
      <c r="W369" s="261" t="s">
        <v>784</v>
      </c>
      <c r="X369" s="261" t="s">
        <v>784</v>
      </c>
      <c r="Y369" s="261" t="s">
        <v>784</v>
      </c>
      <c r="Z369" s="261" t="s">
        <v>784</v>
      </c>
      <c r="AA369" s="261" t="s">
        <v>784</v>
      </c>
      <c r="AB369" s="261" t="s">
        <v>784</v>
      </c>
      <c r="AC369" s="261" t="s">
        <v>784</v>
      </c>
      <c r="AD369" s="261" t="s">
        <v>784</v>
      </c>
      <c r="AE369" s="261" t="s">
        <v>784</v>
      </c>
      <c r="AF369" s="261" t="s">
        <v>784</v>
      </c>
      <c r="AG369" s="261" t="s">
        <v>784</v>
      </c>
      <c r="AH369" s="261" t="s">
        <v>784</v>
      </c>
      <c r="AI369" s="261" t="s">
        <v>784</v>
      </c>
      <c r="AJ369" s="261" t="s">
        <v>784</v>
      </c>
      <c r="AK369" s="261" t="s">
        <v>784</v>
      </c>
      <c r="AL369" s="261" t="s">
        <v>784</v>
      </c>
      <c r="AM369" s="261" t="s">
        <v>784</v>
      </c>
      <c r="AN369" s="261" t="s">
        <v>784</v>
      </c>
      <c r="AO369" s="261" t="s">
        <v>784</v>
      </c>
      <c r="AP369" s="261" t="s">
        <v>784</v>
      </c>
      <c r="AQ369" s="261" t="s">
        <v>784</v>
      </c>
      <c r="AR369" s="261" t="s">
        <v>784</v>
      </c>
      <c r="AS369" s="261" t="s">
        <v>784</v>
      </c>
      <c r="AT369" s="261" t="s">
        <v>784</v>
      </c>
      <c r="AU369" s="261" t="s">
        <v>784</v>
      </c>
      <c r="AV369" s="261" t="s">
        <v>784</v>
      </c>
      <c r="AW369" s="261" t="s">
        <v>784</v>
      </c>
      <c r="AX369" s="261" t="s">
        <v>784</v>
      </c>
      <c r="AY369" s="261" t="s">
        <v>784</v>
      </c>
      <c r="AZ369" s="261" t="s">
        <v>784</v>
      </c>
      <c r="BA369" s="261" t="s">
        <v>784</v>
      </c>
      <c r="BB369" s="261" t="s">
        <v>784</v>
      </c>
      <c r="BC369" s="261" t="s">
        <v>784</v>
      </c>
      <c r="BD369" s="261" t="s">
        <v>784</v>
      </c>
      <c r="BE369" s="261" t="s">
        <v>784</v>
      </c>
      <c r="BF369" s="261" t="s">
        <v>784</v>
      </c>
    </row>
    <row r="370" spans="1:58" x14ac:dyDescent="0.3">
      <c r="A370" s="252" t="s">
        <v>1069</v>
      </c>
      <c r="B370" s="254">
        <v>0</v>
      </c>
      <c r="C370" s="254">
        <v>0</v>
      </c>
      <c r="D370" s="254">
        <v>0</v>
      </c>
      <c r="E370" s="254">
        <v>0</v>
      </c>
      <c r="F370" s="253" t="s">
        <v>784</v>
      </c>
      <c r="G370" s="253" t="s">
        <v>784</v>
      </c>
      <c r="H370" s="253" t="s">
        <v>784</v>
      </c>
      <c r="I370" s="253" t="s">
        <v>784</v>
      </c>
      <c r="J370" s="253" t="s">
        <v>784</v>
      </c>
      <c r="K370" s="253" t="s">
        <v>784</v>
      </c>
      <c r="L370" s="253" t="s">
        <v>784</v>
      </c>
      <c r="M370" s="253" t="s">
        <v>784</v>
      </c>
      <c r="N370" s="253" t="s">
        <v>784</v>
      </c>
      <c r="O370" s="253" t="s">
        <v>784</v>
      </c>
      <c r="P370" s="253" t="s">
        <v>784</v>
      </c>
      <c r="Q370" s="253" t="s">
        <v>784</v>
      </c>
      <c r="R370" s="253" t="s">
        <v>784</v>
      </c>
      <c r="S370" s="253" t="s">
        <v>784</v>
      </c>
      <c r="T370" s="253" t="s">
        <v>784</v>
      </c>
      <c r="U370" s="253" t="s">
        <v>784</v>
      </c>
      <c r="V370" s="253" t="s">
        <v>784</v>
      </c>
      <c r="W370" s="253" t="s">
        <v>784</v>
      </c>
      <c r="X370" s="253" t="s">
        <v>784</v>
      </c>
      <c r="Y370" s="253" t="s">
        <v>784</v>
      </c>
      <c r="Z370" s="253" t="s">
        <v>784</v>
      </c>
      <c r="AA370" s="253" t="s">
        <v>784</v>
      </c>
      <c r="AB370" s="253" t="s">
        <v>784</v>
      </c>
      <c r="AC370" s="253" t="s">
        <v>784</v>
      </c>
      <c r="AD370" s="253" t="s">
        <v>784</v>
      </c>
      <c r="AE370" s="253" t="s">
        <v>784</v>
      </c>
      <c r="AF370" s="253" t="s">
        <v>784</v>
      </c>
      <c r="AG370" s="253" t="s">
        <v>784</v>
      </c>
      <c r="AH370" s="253" t="s">
        <v>784</v>
      </c>
      <c r="AI370" s="253" t="s">
        <v>784</v>
      </c>
      <c r="AJ370" s="253" t="s">
        <v>784</v>
      </c>
      <c r="AK370" s="253" t="s">
        <v>784</v>
      </c>
      <c r="AL370" s="253" t="s">
        <v>784</v>
      </c>
      <c r="AM370" s="253" t="s">
        <v>784</v>
      </c>
      <c r="AN370" s="253" t="s">
        <v>784</v>
      </c>
      <c r="AO370" s="253" t="s">
        <v>784</v>
      </c>
      <c r="AP370" s="253" t="s">
        <v>784</v>
      </c>
      <c r="AQ370" s="253" t="s">
        <v>784</v>
      </c>
      <c r="AR370" s="253" t="s">
        <v>784</v>
      </c>
      <c r="AS370" s="253" t="s">
        <v>784</v>
      </c>
      <c r="AT370" s="253" t="s">
        <v>784</v>
      </c>
      <c r="AU370" s="253" t="s">
        <v>784</v>
      </c>
      <c r="AV370" s="253" t="s">
        <v>784</v>
      </c>
      <c r="AW370" s="253" t="s">
        <v>784</v>
      </c>
      <c r="AX370" s="253" t="s">
        <v>784</v>
      </c>
      <c r="AY370" s="253" t="s">
        <v>784</v>
      </c>
      <c r="AZ370" s="253" t="s">
        <v>784</v>
      </c>
      <c r="BA370" s="253" t="s">
        <v>784</v>
      </c>
      <c r="BB370" s="253" t="s">
        <v>784</v>
      </c>
      <c r="BC370" s="253" t="s">
        <v>784</v>
      </c>
      <c r="BD370" s="253" t="s">
        <v>784</v>
      </c>
      <c r="BE370" s="253" t="s">
        <v>784</v>
      </c>
      <c r="BF370" s="253" t="s">
        <v>784</v>
      </c>
    </row>
    <row r="371" spans="1:58" x14ac:dyDescent="0.3">
      <c r="A371" s="252" t="s">
        <v>972</v>
      </c>
      <c r="B371" s="254">
        <v>0</v>
      </c>
      <c r="C371" s="254">
        <v>0</v>
      </c>
      <c r="D371" s="254">
        <v>-54</v>
      </c>
      <c r="E371" s="254">
        <v>-56</v>
      </c>
      <c r="F371" s="254">
        <v>0</v>
      </c>
      <c r="G371" s="254">
        <v>0</v>
      </c>
      <c r="H371" s="254">
        <v>0</v>
      </c>
      <c r="I371" s="254">
        <v>0</v>
      </c>
      <c r="J371" s="254">
        <v>0</v>
      </c>
      <c r="K371" s="254">
        <v>0</v>
      </c>
      <c r="L371" s="254">
        <v>0</v>
      </c>
      <c r="M371" s="254">
        <v>0</v>
      </c>
      <c r="N371" s="254">
        <v>0</v>
      </c>
      <c r="O371" s="254">
        <v>0</v>
      </c>
      <c r="P371" s="254">
        <v>0</v>
      </c>
      <c r="Q371" s="254">
        <v>0</v>
      </c>
      <c r="R371" s="254">
        <v>0</v>
      </c>
      <c r="S371" s="254">
        <v>0</v>
      </c>
      <c r="T371" s="254">
        <v>0</v>
      </c>
      <c r="U371" s="254">
        <v>0</v>
      </c>
      <c r="V371" s="254">
        <v>0</v>
      </c>
      <c r="W371" s="254">
        <v>0</v>
      </c>
      <c r="X371" s="254">
        <v>0</v>
      </c>
      <c r="Y371" s="254">
        <v>-14</v>
      </c>
      <c r="Z371" s="254">
        <v>0</v>
      </c>
      <c r="AA371" s="254">
        <v>0</v>
      </c>
      <c r="AB371" s="254">
        <v>0</v>
      </c>
      <c r="AC371" s="254">
        <v>0</v>
      </c>
      <c r="AD371" s="254">
        <v>0</v>
      </c>
      <c r="AE371" s="254">
        <v>0</v>
      </c>
      <c r="AF371" s="254">
        <v>0</v>
      </c>
      <c r="AG371" s="254">
        <v>0</v>
      </c>
      <c r="AH371" s="254">
        <v>0</v>
      </c>
      <c r="AI371" s="254">
        <v>0</v>
      </c>
      <c r="AJ371" s="254">
        <v>0</v>
      </c>
      <c r="AK371" s="254">
        <v>0</v>
      </c>
      <c r="AL371" s="254">
        <v>0</v>
      </c>
      <c r="AM371" s="254">
        <v>0</v>
      </c>
      <c r="AN371" s="254">
        <v>0</v>
      </c>
      <c r="AO371" s="254">
        <v>0</v>
      </c>
      <c r="AP371" s="254">
        <v>0</v>
      </c>
      <c r="AQ371" s="254">
        <v>0</v>
      </c>
      <c r="AR371" s="254">
        <v>0</v>
      </c>
      <c r="AS371" s="254">
        <v>0</v>
      </c>
      <c r="AT371" s="254">
        <v>147</v>
      </c>
      <c r="AU371" s="254">
        <v>0</v>
      </c>
      <c r="AV371" s="254">
        <v>0</v>
      </c>
      <c r="AW371" s="254">
        <v>0</v>
      </c>
      <c r="AX371" s="254">
        <v>0</v>
      </c>
      <c r="AY371" s="254">
        <v>0</v>
      </c>
      <c r="AZ371" s="254">
        <v>0</v>
      </c>
      <c r="BA371" s="254">
        <v>0</v>
      </c>
      <c r="BB371" s="254">
        <v>0</v>
      </c>
      <c r="BC371" s="254">
        <v>0</v>
      </c>
      <c r="BD371" s="254">
        <v>0</v>
      </c>
      <c r="BE371" s="254">
        <v>0</v>
      </c>
      <c r="BF371" s="254">
        <v>0</v>
      </c>
    </row>
    <row r="372" spans="1:58" x14ac:dyDescent="0.3">
      <c r="A372" s="252" t="s">
        <v>973</v>
      </c>
      <c r="B372" s="254">
        <v>-12635</v>
      </c>
      <c r="C372" s="254">
        <v>-19339</v>
      </c>
      <c r="D372" s="254">
        <v>-38560</v>
      </c>
      <c r="E372" s="254">
        <v>-69596</v>
      </c>
      <c r="F372" s="254">
        <v>-142370</v>
      </c>
      <c r="G372" s="254">
        <v>-13852</v>
      </c>
      <c r="H372" s="254">
        <v>-67021</v>
      </c>
      <c r="I372" s="254">
        <v>-168347</v>
      </c>
      <c r="J372" s="254">
        <v>-304035</v>
      </c>
      <c r="K372" s="254">
        <v>53285</v>
      </c>
      <c r="L372" s="254">
        <v>2682</v>
      </c>
      <c r="M372" s="254">
        <v>-137519</v>
      </c>
      <c r="N372" s="254">
        <v>-277566</v>
      </c>
      <c r="O372" s="254">
        <v>-99181</v>
      </c>
      <c r="P372" s="254">
        <v>-645239</v>
      </c>
      <c r="Q372" s="254">
        <v>-1369483</v>
      </c>
      <c r="R372" s="254">
        <v>-2237870</v>
      </c>
      <c r="S372" s="254">
        <v>1699</v>
      </c>
      <c r="T372" s="254">
        <v>11442</v>
      </c>
      <c r="U372" s="254">
        <v>20978</v>
      </c>
      <c r="V372" s="254">
        <v>-1003073</v>
      </c>
      <c r="W372" s="254">
        <v>-53539</v>
      </c>
      <c r="X372" s="254">
        <v>-69774</v>
      </c>
      <c r="Y372" s="254">
        <v>-69739</v>
      </c>
      <c r="Z372" s="254">
        <v>110421</v>
      </c>
      <c r="AA372" s="254">
        <v>-65387</v>
      </c>
      <c r="AB372" s="254">
        <v>-116409</v>
      </c>
      <c r="AC372" s="254">
        <v>-44938</v>
      </c>
      <c r="AD372" s="254">
        <v>241622</v>
      </c>
      <c r="AE372" s="254">
        <v>4019</v>
      </c>
      <c r="AF372" s="254">
        <v>51125</v>
      </c>
      <c r="AG372" s="254">
        <v>67507</v>
      </c>
      <c r="AH372" s="254">
        <v>30627</v>
      </c>
      <c r="AI372" s="254">
        <v>2694</v>
      </c>
      <c r="AJ372" s="254">
        <v>73254</v>
      </c>
      <c r="AK372" s="254">
        <v>144712</v>
      </c>
      <c r="AL372" s="254">
        <v>204875</v>
      </c>
      <c r="AM372" s="254">
        <v>-53678</v>
      </c>
      <c r="AN372" s="254">
        <v>41858</v>
      </c>
      <c r="AO372" s="254">
        <v>47796</v>
      </c>
      <c r="AP372" s="254">
        <v>842346</v>
      </c>
      <c r="AQ372" s="254">
        <v>-61461</v>
      </c>
      <c r="AR372" s="254">
        <v>-161263</v>
      </c>
      <c r="AS372" s="254">
        <v>-271861</v>
      </c>
      <c r="AT372" s="254">
        <v>452766</v>
      </c>
      <c r="AU372" s="254">
        <v>-65792</v>
      </c>
      <c r="AV372" s="254">
        <v>355110</v>
      </c>
      <c r="AW372" s="254">
        <v>452214</v>
      </c>
      <c r="AX372" s="254">
        <v>1333046</v>
      </c>
      <c r="AY372" s="254">
        <v>1068970</v>
      </c>
      <c r="AZ372" s="254">
        <v>1708050</v>
      </c>
      <c r="BA372" s="254">
        <v>2500364</v>
      </c>
      <c r="BB372" s="254">
        <v>3427072</v>
      </c>
      <c r="BC372" s="254">
        <v>1162065</v>
      </c>
      <c r="BD372" s="254">
        <v>2003034</v>
      </c>
      <c r="BE372" s="254">
        <v>3631858</v>
      </c>
      <c r="BF372" s="254">
        <v>5179905</v>
      </c>
    </row>
    <row r="373" spans="1:58" x14ac:dyDescent="0.3">
      <c r="A373" s="252"/>
      <c r="B373" s="253"/>
      <c r="C373" s="253"/>
      <c r="D373" s="253"/>
      <c r="E373" s="253"/>
      <c r="F373" s="253"/>
      <c r="G373" s="253"/>
      <c r="H373" s="253"/>
      <c r="I373" s="253"/>
      <c r="J373" s="253"/>
      <c r="K373" s="253"/>
      <c r="L373" s="253"/>
      <c r="M373" s="253"/>
      <c r="N373" s="253"/>
      <c r="O373" s="253"/>
      <c r="P373" s="253"/>
      <c r="Q373" s="253"/>
      <c r="R373" s="253"/>
      <c r="S373" s="253"/>
      <c r="T373" s="253"/>
      <c r="U373" s="253"/>
      <c r="V373" s="253"/>
      <c r="W373" s="253"/>
      <c r="X373" s="253"/>
      <c r="Y373" s="253"/>
      <c r="Z373" s="253"/>
      <c r="AA373" s="253"/>
      <c r="AB373" s="253"/>
      <c r="AC373" s="253"/>
      <c r="AD373" s="253"/>
      <c r="AE373" s="253"/>
      <c r="AF373" s="253"/>
      <c r="AG373" s="253"/>
      <c r="AH373" s="253"/>
      <c r="AI373" s="253"/>
      <c r="AJ373" s="253"/>
      <c r="AK373" s="253"/>
      <c r="AL373" s="253"/>
      <c r="AM373" s="253"/>
      <c r="AN373" s="253"/>
      <c r="AO373" s="253"/>
      <c r="AP373" s="253"/>
      <c r="AQ373" s="253"/>
      <c r="AR373" s="253"/>
      <c r="AS373" s="253"/>
      <c r="AT373" s="253"/>
      <c r="AU373" s="253"/>
      <c r="AV373" s="253"/>
      <c r="AW373" s="253"/>
      <c r="AX373" s="253"/>
      <c r="AY373" s="253"/>
      <c r="AZ373" s="253"/>
      <c r="BA373" s="253"/>
      <c r="BB373" s="253"/>
      <c r="BC373" s="253"/>
      <c r="BD373" s="253"/>
      <c r="BE373" s="253"/>
      <c r="BF373" s="253"/>
    </row>
    <row r="374" spans="1:58" x14ac:dyDescent="0.3">
      <c r="A374" s="252" t="s">
        <v>1070</v>
      </c>
      <c r="B374" s="253" t="s">
        <v>5</v>
      </c>
      <c r="C374" s="253" t="s">
        <v>5</v>
      </c>
      <c r="D374" s="253" t="s">
        <v>5</v>
      </c>
      <c r="E374" s="253" t="s">
        <v>5</v>
      </c>
      <c r="F374" s="253" t="s">
        <v>5</v>
      </c>
      <c r="G374" s="253" t="s">
        <v>5</v>
      </c>
      <c r="H374" s="253" t="s">
        <v>5</v>
      </c>
      <c r="I374" s="253" t="s">
        <v>5</v>
      </c>
      <c r="J374" s="253" t="s">
        <v>5</v>
      </c>
      <c r="K374" s="253" t="s">
        <v>5</v>
      </c>
      <c r="L374" s="253" t="s">
        <v>5</v>
      </c>
      <c r="M374" s="253" t="s">
        <v>5</v>
      </c>
      <c r="N374" s="253" t="s">
        <v>5</v>
      </c>
      <c r="O374" s="253" t="s">
        <v>5</v>
      </c>
      <c r="P374" s="253" t="s">
        <v>5</v>
      </c>
      <c r="Q374" s="253" t="s">
        <v>5</v>
      </c>
      <c r="R374" s="253" t="s">
        <v>5</v>
      </c>
      <c r="S374" s="253" t="s">
        <v>5</v>
      </c>
      <c r="T374" s="253" t="s">
        <v>5</v>
      </c>
      <c r="U374" s="253" t="s">
        <v>5</v>
      </c>
      <c r="V374" s="253" t="s">
        <v>5</v>
      </c>
      <c r="W374" s="253" t="s">
        <v>5</v>
      </c>
      <c r="X374" s="253" t="s">
        <v>5</v>
      </c>
      <c r="Y374" s="253" t="s">
        <v>5</v>
      </c>
      <c r="Z374" s="253" t="s">
        <v>5</v>
      </c>
      <c r="AA374" s="253" t="s">
        <v>5</v>
      </c>
      <c r="AB374" s="253" t="s">
        <v>5</v>
      </c>
      <c r="AC374" s="253" t="s">
        <v>5</v>
      </c>
      <c r="AD374" s="253" t="s">
        <v>5</v>
      </c>
      <c r="AE374" s="253" t="s">
        <v>5</v>
      </c>
      <c r="AF374" s="253" t="s">
        <v>5</v>
      </c>
      <c r="AG374" s="253" t="s">
        <v>5</v>
      </c>
      <c r="AH374" s="253" t="s">
        <v>5</v>
      </c>
      <c r="AI374" s="253" t="s">
        <v>5</v>
      </c>
      <c r="AJ374" s="253" t="s">
        <v>5</v>
      </c>
      <c r="AK374" s="253" t="s">
        <v>5</v>
      </c>
      <c r="AL374" s="253" t="s">
        <v>5</v>
      </c>
      <c r="AM374" s="253" t="s">
        <v>5</v>
      </c>
      <c r="AN374" s="253" t="s">
        <v>5</v>
      </c>
      <c r="AO374" s="253" t="s">
        <v>5</v>
      </c>
      <c r="AP374" s="253" t="s">
        <v>5</v>
      </c>
      <c r="AQ374" s="253" t="s">
        <v>5</v>
      </c>
      <c r="AR374" s="253" t="s">
        <v>5</v>
      </c>
      <c r="AS374" s="253" t="s">
        <v>5</v>
      </c>
      <c r="AT374" s="253" t="s">
        <v>5</v>
      </c>
      <c r="AU374" s="253" t="s">
        <v>5</v>
      </c>
      <c r="AV374" s="253" t="s">
        <v>5</v>
      </c>
      <c r="AW374" s="253" t="s">
        <v>5</v>
      </c>
      <c r="AX374" s="253" t="s">
        <v>5</v>
      </c>
      <c r="AY374" s="253" t="s">
        <v>5</v>
      </c>
      <c r="AZ374" s="253" t="s">
        <v>5</v>
      </c>
      <c r="BA374" s="253" t="s">
        <v>5</v>
      </c>
      <c r="BB374" s="253" t="s">
        <v>5</v>
      </c>
      <c r="BC374" s="253" t="s">
        <v>5</v>
      </c>
      <c r="BD374" s="253" t="s">
        <v>5</v>
      </c>
      <c r="BE374" s="253" t="s">
        <v>5</v>
      </c>
      <c r="BF374" s="253" t="s">
        <v>5</v>
      </c>
    </row>
    <row r="375" spans="1:58" x14ac:dyDescent="0.3">
      <c r="A375" s="252" t="s">
        <v>948</v>
      </c>
      <c r="B375" s="253">
        <v>12</v>
      </c>
      <c r="C375" s="253">
        <v>3</v>
      </c>
      <c r="D375" s="253">
        <v>6</v>
      </c>
      <c r="E375" s="253">
        <v>9</v>
      </c>
      <c r="F375" s="253">
        <v>12</v>
      </c>
      <c r="G375" s="253">
        <v>3</v>
      </c>
      <c r="H375" s="253">
        <v>6</v>
      </c>
      <c r="I375" s="253">
        <v>9</v>
      </c>
      <c r="J375" s="253">
        <v>12</v>
      </c>
      <c r="K375" s="253">
        <v>3</v>
      </c>
      <c r="L375" s="253">
        <v>6</v>
      </c>
      <c r="M375" s="253">
        <v>9</v>
      </c>
      <c r="N375" s="253">
        <v>12</v>
      </c>
      <c r="O375" s="253">
        <v>3</v>
      </c>
      <c r="P375" s="253">
        <v>6</v>
      </c>
      <c r="Q375" s="253">
        <v>9</v>
      </c>
      <c r="R375" s="253">
        <v>12</v>
      </c>
      <c r="S375" s="253">
        <v>3</v>
      </c>
      <c r="T375" s="253">
        <v>6</v>
      </c>
      <c r="U375" s="253">
        <v>9</v>
      </c>
      <c r="V375" s="253">
        <v>12</v>
      </c>
      <c r="W375" s="253">
        <v>3</v>
      </c>
      <c r="X375" s="253">
        <v>6</v>
      </c>
      <c r="Y375" s="253">
        <v>9</v>
      </c>
      <c r="Z375" s="253">
        <v>12</v>
      </c>
      <c r="AA375" s="253">
        <v>3</v>
      </c>
      <c r="AB375" s="253">
        <v>6</v>
      </c>
      <c r="AC375" s="253">
        <v>9</v>
      </c>
      <c r="AD375" s="253">
        <v>12</v>
      </c>
      <c r="AE375" s="253">
        <v>3</v>
      </c>
      <c r="AF375" s="253">
        <v>6</v>
      </c>
      <c r="AG375" s="253">
        <v>9</v>
      </c>
      <c r="AH375" s="253">
        <v>12</v>
      </c>
      <c r="AI375" s="253">
        <v>3</v>
      </c>
      <c r="AJ375" s="253">
        <v>6</v>
      </c>
      <c r="AK375" s="253">
        <v>9</v>
      </c>
      <c r="AL375" s="253">
        <v>12</v>
      </c>
      <c r="AM375" s="253">
        <v>3</v>
      </c>
      <c r="AN375" s="253">
        <v>6</v>
      </c>
      <c r="AO375" s="253">
        <v>9</v>
      </c>
      <c r="AP375" s="253">
        <v>12</v>
      </c>
      <c r="AQ375" s="253">
        <v>3</v>
      </c>
      <c r="AR375" s="253">
        <v>6</v>
      </c>
      <c r="AS375" s="253">
        <v>9</v>
      </c>
      <c r="AT375" s="253">
        <v>12</v>
      </c>
      <c r="AU375" s="253">
        <v>3</v>
      </c>
      <c r="AV375" s="253">
        <v>6</v>
      </c>
      <c r="AW375" s="253">
        <v>9</v>
      </c>
      <c r="AX375" s="253">
        <v>12</v>
      </c>
      <c r="AY375" s="253">
        <v>3</v>
      </c>
      <c r="AZ375" s="253">
        <v>6</v>
      </c>
      <c r="BA375" s="253">
        <v>9</v>
      </c>
      <c r="BB375" s="253">
        <v>12</v>
      </c>
      <c r="BC375" s="253">
        <v>3</v>
      </c>
      <c r="BD375" s="253">
        <v>6</v>
      </c>
      <c r="BE375" s="253">
        <v>9</v>
      </c>
      <c r="BF375" s="253">
        <v>12</v>
      </c>
    </row>
    <row r="376" spans="1:58" x14ac:dyDescent="0.3">
      <c r="A376" s="252"/>
      <c r="B376" s="253"/>
      <c r="C376" s="253"/>
      <c r="D376" s="253"/>
      <c r="E376" s="253"/>
      <c r="F376" s="253"/>
      <c r="G376" s="253"/>
      <c r="H376" s="253"/>
      <c r="I376" s="253"/>
      <c r="J376" s="253"/>
      <c r="K376" s="253"/>
      <c r="L376" s="253"/>
      <c r="M376" s="253"/>
      <c r="N376" s="253"/>
      <c r="O376" s="253"/>
      <c r="P376" s="253"/>
      <c r="Q376" s="253"/>
      <c r="R376" s="253"/>
      <c r="S376" s="253"/>
      <c r="T376" s="253"/>
      <c r="U376" s="253"/>
      <c r="V376" s="253"/>
      <c r="W376" s="253"/>
      <c r="X376" s="253"/>
      <c r="Y376" s="253"/>
      <c r="Z376" s="253"/>
      <c r="AA376" s="253"/>
      <c r="AB376" s="253"/>
      <c r="AC376" s="253"/>
      <c r="AD376" s="253"/>
      <c r="AE376" s="253"/>
      <c r="AF376" s="253"/>
      <c r="AG376" s="253"/>
      <c r="AH376" s="253"/>
      <c r="AI376" s="253"/>
      <c r="AJ376" s="253"/>
      <c r="AK376" s="253"/>
      <c r="AL376" s="253"/>
      <c r="AM376" s="253"/>
      <c r="AN376" s="253"/>
      <c r="AO376" s="253"/>
      <c r="AP376" s="253"/>
      <c r="AQ376" s="253"/>
      <c r="AR376" s="253"/>
      <c r="AS376" s="253"/>
      <c r="AT376" s="253"/>
      <c r="AU376" s="253"/>
      <c r="AV376" s="253"/>
      <c r="AW376" s="253"/>
      <c r="AX376" s="253"/>
      <c r="AY376" s="253"/>
      <c r="AZ376" s="253"/>
      <c r="BA376" s="253"/>
      <c r="BB376" s="253"/>
      <c r="BC376" s="253"/>
      <c r="BD376" s="253"/>
      <c r="BE376" s="253"/>
      <c r="BF376" s="253"/>
    </row>
    <row r="377" spans="1:58" x14ac:dyDescent="0.3">
      <c r="A377" s="252" t="s">
        <v>1071</v>
      </c>
      <c r="B377" s="253" t="s">
        <v>784</v>
      </c>
      <c r="C377" s="253" t="s">
        <v>784</v>
      </c>
      <c r="D377" s="253" t="s">
        <v>784</v>
      </c>
      <c r="E377" s="253" t="s">
        <v>784</v>
      </c>
      <c r="F377" s="253" t="s">
        <v>784</v>
      </c>
      <c r="G377" s="253" t="s">
        <v>784</v>
      </c>
      <c r="H377" s="253" t="s">
        <v>784</v>
      </c>
      <c r="I377" s="253" t="s">
        <v>784</v>
      </c>
      <c r="J377" s="253" t="s">
        <v>784</v>
      </c>
      <c r="K377" s="253" t="s">
        <v>784</v>
      </c>
      <c r="L377" s="253" t="s">
        <v>784</v>
      </c>
      <c r="M377" s="253" t="s">
        <v>784</v>
      </c>
      <c r="N377" s="253" t="s">
        <v>784</v>
      </c>
      <c r="O377" s="253" t="s">
        <v>784</v>
      </c>
      <c r="P377" s="253" t="s">
        <v>784</v>
      </c>
      <c r="Q377" s="253" t="s">
        <v>784</v>
      </c>
      <c r="R377" s="253" t="s">
        <v>784</v>
      </c>
      <c r="S377" s="253" t="s">
        <v>784</v>
      </c>
      <c r="T377" s="253" t="s">
        <v>784</v>
      </c>
      <c r="U377" s="253" t="s">
        <v>784</v>
      </c>
      <c r="V377" s="253" t="s">
        <v>784</v>
      </c>
      <c r="W377" s="253" t="s">
        <v>784</v>
      </c>
      <c r="X377" s="253" t="s">
        <v>784</v>
      </c>
      <c r="Y377" s="253" t="s">
        <v>784</v>
      </c>
      <c r="Z377" s="253" t="s">
        <v>784</v>
      </c>
      <c r="AA377" s="253" t="s">
        <v>784</v>
      </c>
      <c r="AB377" s="253" t="s">
        <v>784</v>
      </c>
      <c r="AC377" s="253" t="s">
        <v>784</v>
      </c>
      <c r="AD377" s="253" t="s">
        <v>784</v>
      </c>
      <c r="AE377" s="253" t="s">
        <v>784</v>
      </c>
      <c r="AF377" s="253" t="s">
        <v>784</v>
      </c>
      <c r="AG377" s="253" t="s">
        <v>784</v>
      </c>
      <c r="AH377" s="253" t="s">
        <v>784</v>
      </c>
      <c r="AI377" s="253" t="s">
        <v>784</v>
      </c>
      <c r="AJ377" s="253" t="s">
        <v>784</v>
      </c>
      <c r="AK377" s="253" t="s">
        <v>784</v>
      </c>
      <c r="AL377" s="253" t="s">
        <v>784</v>
      </c>
      <c r="AM377" s="253" t="s">
        <v>784</v>
      </c>
      <c r="AN377" s="253" t="s">
        <v>784</v>
      </c>
      <c r="AO377" s="253" t="s">
        <v>784</v>
      </c>
      <c r="AP377" s="253" t="s">
        <v>784</v>
      </c>
      <c r="AQ377" s="253" t="s">
        <v>784</v>
      </c>
      <c r="AR377" s="253" t="s">
        <v>784</v>
      </c>
      <c r="AS377" s="253" t="s">
        <v>784</v>
      </c>
      <c r="AT377" s="253" t="s">
        <v>784</v>
      </c>
      <c r="AU377" s="253" t="s">
        <v>784</v>
      </c>
      <c r="AV377" s="253" t="s">
        <v>784</v>
      </c>
      <c r="AW377" s="253" t="s">
        <v>784</v>
      </c>
      <c r="AX377" s="253" t="s">
        <v>784</v>
      </c>
      <c r="AY377" s="253" t="s">
        <v>784</v>
      </c>
      <c r="AZ377" s="253" t="s">
        <v>784</v>
      </c>
      <c r="BA377" s="253" t="s">
        <v>784</v>
      </c>
      <c r="BB377" s="253" t="s">
        <v>784</v>
      </c>
      <c r="BC377" s="253" t="s">
        <v>784</v>
      </c>
      <c r="BD377" s="253" t="s">
        <v>784</v>
      </c>
      <c r="BE377" s="253" t="s">
        <v>784</v>
      </c>
      <c r="BF377" s="253" t="s">
        <v>784</v>
      </c>
    </row>
    <row r="378" spans="1:58" x14ac:dyDescent="0.3">
      <c r="A378" s="255" t="s">
        <v>1072</v>
      </c>
      <c r="B378" s="261" t="s">
        <v>784</v>
      </c>
      <c r="C378" s="261" t="s">
        <v>784</v>
      </c>
      <c r="D378" s="261" t="s">
        <v>784</v>
      </c>
      <c r="E378" s="261" t="s">
        <v>784</v>
      </c>
      <c r="F378" s="261" t="s">
        <v>784</v>
      </c>
      <c r="G378" s="261" t="s">
        <v>784</v>
      </c>
      <c r="H378" s="261" t="s">
        <v>784</v>
      </c>
      <c r="I378" s="261" t="s">
        <v>784</v>
      </c>
      <c r="J378" s="261" t="s">
        <v>784</v>
      </c>
      <c r="K378" s="261" t="s">
        <v>784</v>
      </c>
      <c r="L378" s="261" t="s">
        <v>784</v>
      </c>
      <c r="M378" s="261" t="s">
        <v>784</v>
      </c>
      <c r="N378" s="261" t="s">
        <v>784</v>
      </c>
      <c r="O378" s="261" t="s">
        <v>784</v>
      </c>
      <c r="P378" s="261" t="s">
        <v>784</v>
      </c>
      <c r="Q378" s="261" t="s">
        <v>784</v>
      </c>
      <c r="R378" s="261" t="s">
        <v>784</v>
      </c>
      <c r="S378" s="261" t="s">
        <v>784</v>
      </c>
      <c r="T378" s="261" t="s">
        <v>784</v>
      </c>
      <c r="U378" s="261" t="s">
        <v>784</v>
      </c>
      <c r="V378" s="261" t="s">
        <v>784</v>
      </c>
      <c r="W378" s="261" t="s">
        <v>784</v>
      </c>
      <c r="X378" s="261" t="s">
        <v>784</v>
      </c>
      <c r="Y378" s="261" t="s">
        <v>784</v>
      </c>
      <c r="Z378" s="261" t="s">
        <v>784</v>
      </c>
      <c r="AA378" s="261" t="s">
        <v>784</v>
      </c>
      <c r="AB378" s="261" t="s">
        <v>784</v>
      </c>
      <c r="AC378" s="261" t="s">
        <v>784</v>
      </c>
      <c r="AD378" s="261" t="s">
        <v>784</v>
      </c>
      <c r="AE378" s="261" t="s">
        <v>784</v>
      </c>
      <c r="AF378" s="261" t="s">
        <v>784</v>
      </c>
      <c r="AG378" s="261" t="s">
        <v>784</v>
      </c>
      <c r="AH378" s="261" t="s">
        <v>784</v>
      </c>
      <c r="AI378" s="261" t="s">
        <v>784</v>
      </c>
      <c r="AJ378" s="261" t="s">
        <v>784</v>
      </c>
      <c r="AK378" s="261" t="s">
        <v>784</v>
      </c>
      <c r="AL378" s="261" t="s">
        <v>784</v>
      </c>
      <c r="AM378" s="261" t="s">
        <v>784</v>
      </c>
      <c r="AN378" s="261" t="s">
        <v>784</v>
      </c>
      <c r="AO378" s="261" t="s">
        <v>784</v>
      </c>
      <c r="AP378" s="261" t="s">
        <v>784</v>
      </c>
      <c r="AQ378" s="261" t="s">
        <v>784</v>
      </c>
      <c r="AR378" s="261" t="s">
        <v>784</v>
      </c>
      <c r="AS378" s="261" t="s">
        <v>784</v>
      </c>
      <c r="AT378" s="261" t="s">
        <v>784</v>
      </c>
      <c r="AU378" s="261" t="s">
        <v>784</v>
      </c>
      <c r="AV378" s="261" t="s">
        <v>784</v>
      </c>
      <c r="AW378" s="261" t="s">
        <v>784</v>
      </c>
      <c r="AX378" s="261" t="s">
        <v>784</v>
      </c>
      <c r="AY378" s="261" t="s">
        <v>784</v>
      </c>
      <c r="AZ378" s="261" t="s">
        <v>784</v>
      </c>
      <c r="BA378" s="261" t="s">
        <v>784</v>
      </c>
      <c r="BB378" s="261" t="s">
        <v>784</v>
      </c>
      <c r="BC378" s="261" t="s">
        <v>784</v>
      </c>
      <c r="BD378" s="261" t="s">
        <v>784</v>
      </c>
      <c r="BE378" s="261" t="s">
        <v>784</v>
      </c>
      <c r="BF378" s="261" t="s">
        <v>784</v>
      </c>
    </row>
    <row r="379" spans="1:58" x14ac:dyDescent="0.3">
      <c r="A379" s="257" t="s">
        <v>1073</v>
      </c>
      <c r="B379" s="258" t="s">
        <v>784</v>
      </c>
      <c r="C379" s="258" t="s">
        <v>784</v>
      </c>
      <c r="D379" s="258" t="s">
        <v>784</v>
      </c>
      <c r="E379" s="258" t="s">
        <v>784</v>
      </c>
      <c r="F379" s="258" t="s">
        <v>784</v>
      </c>
      <c r="G379" s="258" t="s">
        <v>784</v>
      </c>
      <c r="H379" s="258" t="s">
        <v>784</v>
      </c>
      <c r="I379" s="258" t="s">
        <v>784</v>
      </c>
      <c r="J379" s="258" t="s">
        <v>784</v>
      </c>
      <c r="K379" s="258" t="s">
        <v>784</v>
      </c>
      <c r="L379" s="258" t="s">
        <v>784</v>
      </c>
      <c r="M379" s="258" t="s">
        <v>784</v>
      </c>
      <c r="N379" s="258" t="s">
        <v>784</v>
      </c>
      <c r="O379" s="258" t="s">
        <v>784</v>
      </c>
      <c r="P379" s="258" t="s">
        <v>784</v>
      </c>
      <c r="Q379" s="258" t="s">
        <v>784</v>
      </c>
      <c r="R379" s="258" t="s">
        <v>784</v>
      </c>
      <c r="S379" s="258" t="s">
        <v>784</v>
      </c>
      <c r="T379" s="258" t="s">
        <v>784</v>
      </c>
      <c r="U379" s="258" t="s">
        <v>784</v>
      </c>
      <c r="V379" s="258" t="s">
        <v>784</v>
      </c>
      <c r="W379" s="258" t="s">
        <v>784</v>
      </c>
      <c r="X379" s="258" t="s">
        <v>784</v>
      </c>
      <c r="Y379" s="258" t="s">
        <v>784</v>
      </c>
      <c r="Z379" s="258" t="s">
        <v>784</v>
      </c>
      <c r="AA379" s="258" t="s">
        <v>784</v>
      </c>
      <c r="AB379" s="258" t="s">
        <v>784</v>
      </c>
      <c r="AC379" s="258" t="s">
        <v>784</v>
      </c>
      <c r="AD379" s="258" t="s">
        <v>784</v>
      </c>
      <c r="AE379" s="258" t="s">
        <v>784</v>
      </c>
      <c r="AF379" s="258" t="s">
        <v>784</v>
      </c>
      <c r="AG379" s="258" t="s">
        <v>784</v>
      </c>
      <c r="AH379" s="258" t="s">
        <v>784</v>
      </c>
      <c r="AI379" s="258" t="s">
        <v>784</v>
      </c>
      <c r="AJ379" s="258" t="s">
        <v>784</v>
      </c>
      <c r="AK379" s="258" t="s">
        <v>784</v>
      </c>
      <c r="AL379" s="258" t="s">
        <v>784</v>
      </c>
      <c r="AM379" s="258" t="s">
        <v>784</v>
      </c>
      <c r="AN379" s="258" t="s">
        <v>784</v>
      </c>
      <c r="AO379" s="258" t="s">
        <v>784</v>
      </c>
      <c r="AP379" s="258" t="s">
        <v>784</v>
      </c>
      <c r="AQ379" s="258" t="s">
        <v>784</v>
      </c>
      <c r="AR379" s="258" t="s">
        <v>784</v>
      </c>
      <c r="AS379" s="258" t="s">
        <v>784</v>
      </c>
      <c r="AT379" s="258" t="s">
        <v>784</v>
      </c>
      <c r="AU379" s="258" t="s">
        <v>784</v>
      </c>
      <c r="AV379" s="258" t="s">
        <v>784</v>
      </c>
      <c r="AW379" s="258" t="s">
        <v>784</v>
      </c>
      <c r="AX379" s="258" t="s">
        <v>784</v>
      </c>
      <c r="AY379" s="258" t="s">
        <v>784</v>
      </c>
      <c r="AZ379" s="258" t="s">
        <v>784</v>
      </c>
      <c r="BA379" s="258" t="s">
        <v>784</v>
      </c>
      <c r="BB379" s="258" t="s">
        <v>784</v>
      </c>
      <c r="BC379" s="258" t="s">
        <v>784</v>
      </c>
      <c r="BD379" s="258" t="s">
        <v>784</v>
      </c>
      <c r="BE379" s="258" t="s">
        <v>784</v>
      </c>
      <c r="BF379" s="258" t="s">
        <v>784</v>
      </c>
    </row>
    <row r="380" spans="1:58" x14ac:dyDescent="0.3">
      <c r="A380" s="257" t="s">
        <v>1074</v>
      </c>
      <c r="B380" s="258" t="s">
        <v>784</v>
      </c>
      <c r="C380" s="258" t="s">
        <v>784</v>
      </c>
      <c r="D380" s="258" t="s">
        <v>784</v>
      </c>
      <c r="E380" s="258" t="s">
        <v>784</v>
      </c>
      <c r="F380" s="258" t="s">
        <v>784</v>
      </c>
      <c r="G380" s="258" t="s">
        <v>784</v>
      </c>
      <c r="H380" s="258" t="s">
        <v>784</v>
      </c>
      <c r="I380" s="258" t="s">
        <v>784</v>
      </c>
      <c r="J380" s="258" t="s">
        <v>784</v>
      </c>
      <c r="K380" s="258" t="s">
        <v>784</v>
      </c>
      <c r="L380" s="258" t="s">
        <v>784</v>
      </c>
      <c r="M380" s="258" t="s">
        <v>784</v>
      </c>
      <c r="N380" s="258" t="s">
        <v>784</v>
      </c>
      <c r="O380" s="258" t="s">
        <v>784</v>
      </c>
      <c r="P380" s="258" t="s">
        <v>784</v>
      </c>
      <c r="Q380" s="258" t="s">
        <v>784</v>
      </c>
      <c r="R380" s="258" t="s">
        <v>784</v>
      </c>
      <c r="S380" s="258" t="s">
        <v>784</v>
      </c>
      <c r="T380" s="258" t="s">
        <v>784</v>
      </c>
      <c r="U380" s="258" t="s">
        <v>784</v>
      </c>
      <c r="V380" s="258" t="s">
        <v>784</v>
      </c>
      <c r="W380" s="258" t="s">
        <v>784</v>
      </c>
      <c r="X380" s="258" t="s">
        <v>784</v>
      </c>
      <c r="Y380" s="258" t="s">
        <v>784</v>
      </c>
      <c r="Z380" s="258" t="s">
        <v>784</v>
      </c>
      <c r="AA380" s="258" t="s">
        <v>784</v>
      </c>
      <c r="AB380" s="258" t="s">
        <v>784</v>
      </c>
      <c r="AC380" s="258" t="s">
        <v>784</v>
      </c>
      <c r="AD380" s="258" t="s">
        <v>784</v>
      </c>
      <c r="AE380" s="258" t="s">
        <v>784</v>
      </c>
      <c r="AF380" s="258" t="s">
        <v>784</v>
      </c>
      <c r="AG380" s="258" t="s">
        <v>784</v>
      </c>
      <c r="AH380" s="258" t="s">
        <v>784</v>
      </c>
      <c r="AI380" s="258" t="s">
        <v>784</v>
      </c>
      <c r="AJ380" s="258" t="s">
        <v>784</v>
      </c>
      <c r="AK380" s="258" t="s">
        <v>784</v>
      </c>
      <c r="AL380" s="258" t="s">
        <v>784</v>
      </c>
      <c r="AM380" s="258" t="s">
        <v>784</v>
      </c>
      <c r="AN380" s="258" t="s">
        <v>784</v>
      </c>
      <c r="AO380" s="258" t="s">
        <v>784</v>
      </c>
      <c r="AP380" s="258" t="s">
        <v>784</v>
      </c>
      <c r="AQ380" s="258" t="s">
        <v>784</v>
      </c>
      <c r="AR380" s="258" t="s">
        <v>784</v>
      </c>
      <c r="AS380" s="258" t="s">
        <v>784</v>
      </c>
      <c r="AT380" s="258" t="s">
        <v>784</v>
      </c>
      <c r="AU380" s="258" t="s">
        <v>784</v>
      </c>
      <c r="AV380" s="258" t="s">
        <v>784</v>
      </c>
      <c r="AW380" s="258" t="s">
        <v>784</v>
      </c>
      <c r="AX380" s="258" t="s">
        <v>784</v>
      </c>
      <c r="AY380" s="258" t="s">
        <v>784</v>
      </c>
      <c r="AZ380" s="258" t="s">
        <v>784</v>
      </c>
      <c r="BA380" s="258" t="s">
        <v>784</v>
      </c>
      <c r="BB380" s="258" t="s">
        <v>784</v>
      </c>
      <c r="BC380" s="258" t="s">
        <v>784</v>
      </c>
      <c r="BD380" s="258" t="s">
        <v>784</v>
      </c>
      <c r="BE380" s="258" t="s">
        <v>784</v>
      </c>
      <c r="BF380" s="258" t="s">
        <v>784</v>
      </c>
    </row>
    <row r="381" spans="1:58" x14ac:dyDescent="0.3">
      <c r="A381" s="260" t="s">
        <v>1075</v>
      </c>
      <c r="B381" s="261" t="s">
        <v>784</v>
      </c>
      <c r="C381" s="261" t="s">
        <v>784</v>
      </c>
      <c r="D381" s="261" t="s">
        <v>784</v>
      </c>
      <c r="E381" s="261" t="s">
        <v>784</v>
      </c>
      <c r="F381" s="261" t="s">
        <v>784</v>
      </c>
      <c r="G381" s="261" t="s">
        <v>784</v>
      </c>
      <c r="H381" s="261" t="s">
        <v>784</v>
      </c>
      <c r="I381" s="261" t="s">
        <v>784</v>
      </c>
      <c r="J381" s="261" t="s">
        <v>784</v>
      </c>
      <c r="K381" s="261" t="s">
        <v>784</v>
      </c>
      <c r="L381" s="261" t="s">
        <v>784</v>
      </c>
      <c r="M381" s="261" t="s">
        <v>784</v>
      </c>
      <c r="N381" s="261" t="s">
        <v>784</v>
      </c>
      <c r="O381" s="261" t="s">
        <v>784</v>
      </c>
      <c r="P381" s="261" t="s">
        <v>784</v>
      </c>
      <c r="Q381" s="261" t="s">
        <v>784</v>
      </c>
      <c r="R381" s="261" t="s">
        <v>784</v>
      </c>
      <c r="S381" s="261" t="s">
        <v>784</v>
      </c>
      <c r="T381" s="261" t="s">
        <v>784</v>
      </c>
      <c r="U381" s="261" t="s">
        <v>784</v>
      </c>
      <c r="V381" s="261" t="s">
        <v>784</v>
      </c>
      <c r="W381" s="261" t="s">
        <v>784</v>
      </c>
      <c r="X381" s="261" t="s">
        <v>784</v>
      </c>
      <c r="Y381" s="261" t="s">
        <v>784</v>
      </c>
      <c r="Z381" s="261" t="s">
        <v>784</v>
      </c>
      <c r="AA381" s="261" t="s">
        <v>784</v>
      </c>
      <c r="AB381" s="261" t="s">
        <v>784</v>
      </c>
      <c r="AC381" s="261" t="s">
        <v>784</v>
      </c>
      <c r="AD381" s="261" t="s">
        <v>784</v>
      </c>
      <c r="AE381" s="261" t="s">
        <v>784</v>
      </c>
      <c r="AF381" s="261" t="s">
        <v>784</v>
      </c>
      <c r="AG381" s="261" t="s">
        <v>784</v>
      </c>
      <c r="AH381" s="261" t="s">
        <v>784</v>
      </c>
      <c r="AI381" s="261" t="s">
        <v>784</v>
      </c>
      <c r="AJ381" s="261" t="s">
        <v>784</v>
      </c>
      <c r="AK381" s="261" t="s">
        <v>784</v>
      </c>
      <c r="AL381" s="261" t="s">
        <v>784</v>
      </c>
      <c r="AM381" s="261" t="s">
        <v>784</v>
      </c>
      <c r="AN381" s="261" t="s">
        <v>784</v>
      </c>
      <c r="AO381" s="261" t="s">
        <v>784</v>
      </c>
      <c r="AP381" s="261" t="s">
        <v>784</v>
      </c>
      <c r="AQ381" s="261" t="s">
        <v>784</v>
      </c>
      <c r="AR381" s="261" t="s">
        <v>784</v>
      </c>
      <c r="AS381" s="261" t="s">
        <v>784</v>
      </c>
      <c r="AT381" s="261" t="s">
        <v>784</v>
      </c>
      <c r="AU381" s="261" t="s">
        <v>784</v>
      </c>
      <c r="AV381" s="261" t="s">
        <v>784</v>
      </c>
      <c r="AW381" s="261" t="s">
        <v>784</v>
      </c>
      <c r="AX381" s="261" t="s">
        <v>784</v>
      </c>
      <c r="AY381" s="261" t="s">
        <v>784</v>
      </c>
      <c r="AZ381" s="261" t="s">
        <v>784</v>
      </c>
      <c r="BA381" s="261" t="s">
        <v>784</v>
      </c>
      <c r="BB381" s="261" t="s">
        <v>784</v>
      </c>
      <c r="BC381" s="261" t="s">
        <v>784</v>
      </c>
      <c r="BD381" s="261" t="s">
        <v>784</v>
      </c>
      <c r="BE381" s="261" t="s">
        <v>784</v>
      </c>
      <c r="BF381" s="261" t="s">
        <v>784</v>
      </c>
    </row>
    <row r="382" spans="1:58" x14ac:dyDescent="0.3">
      <c r="A382" s="260" t="s">
        <v>1076</v>
      </c>
      <c r="B382" s="261" t="s">
        <v>784</v>
      </c>
      <c r="C382" s="261" t="s">
        <v>784</v>
      </c>
      <c r="D382" s="261" t="s">
        <v>784</v>
      </c>
      <c r="E382" s="261" t="s">
        <v>784</v>
      </c>
      <c r="F382" s="261" t="s">
        <v>784</v>
      </c>
      <c r="G382" s="261" t="s">
        <v>784</v>
      </c>
      <c r="H382" s="261" t="s">
        <v>784</v>
      </c>
      <c r="I382" s="261" t="s">
        <v>784</v>
      </c>
      <c r="J382" s="261" t="s">
        <v>784</v>
      </c>
      <c r="K382" s="261" t="s">
        <v>784</v>
      </c>
      <c r="L382" s="261" t="s">
        <v>784</v>
      </c>
      <c r="M382" s="261" t="s">
        <v>784</v>
      </c>
      <c r="N382" s="261" t="s">
        <v>784</v>
      </c>
      <c r="O382" s="261" t="s">
        <v>784</v>
      </c>
      <c r="P382" s="261" t="s">
        <v>784</v>
      </c>
      <c r="Q382" s="261" t="s">
        <v>784</v>
      </c>
      <c r="R382" s="261" t="s">
        <v>784</v>
      </c>
      <c r="S382" s="261" t="s">
        <v>784</v>
      </c>
      <c r="T382" s="261" t="s">
        <v>784</v>
      </c>
      <c r="U382" s="261" t="s">
        <v>784</v>
      </c>
      <c r="V382" s="261" t="s">
        <v>784</v>
      </c>
      <c r="W382" s="261" t="s">
        <v>784</v>
      </c>
      <c r="X382" s="261" t="s">
        <v>784</v>
      </c>
      <c r="Y382" s="261" t="s">
        <v>784</v>
      </c>
      <c r="Z382" s="261" t="s">
        <v>784</v>
      </c>
      <c r="AA382" s="261" t="s">
        <v>784</v>
      </c>
      <c r="AB382" s="261" t="s">
        <v>784</v>
      </c>
      <c r="AC382" s="261" t="s">
        <v>784</v>
      </c>
      <c r="AD382" s="261" t="s">
        <v>784</v>
      </c>
      <c r="AE382" s="261" t="s">
        <v>784</v>
      </c>
      <c r="AF382" s="261" t="s">
        <v>784</v>
      </c>
      <c r="AG382" s="261" t="s">
        <v>784</v>
      </c>
      <c r="AH382" s="261" t="s">
        <v>784</v>
      </c>
      <c r="AI382" s="261" t="s">
        <v>784</v>
      </c>
      <c r="AJ382" s="261" t="s">
        <v>784</v>
      </c>
      <c r="AK382" s="261" t="s">
        <v>784</v>
      </c>
      <c r="AL382" s="261" t="s">
        <v>784</v>
      </c>
      <c r="AM382" s="261" t="s">
        <v>784</v>
      </c>
      <c r="AN382" s="261" t="s">
        <v>784</v>
      </c>
      <c r="AO382" s="261" t="s">
        <v>784</v>
      </c>
      <c r="AP382" s="261" t="s">
        <v>784</v>
      </c>
      <c r="AQ382" s="261" t="s">
        <v>784</v>
      </c>
      <c r="AR382" s="261" t="s">
        <v>784</v>
      </c>
      <c r="AS382" s="261" t="s">
        <v>784</v>
      </c>
      <c r="AT382" s="261" t="s">
        <v>784</v>
      </c>
      <c r="AU382" s="261" t="s">
        <v>784</v>
      </c>
      <c r="AV382" s="261" t="s">
        <v>784</v>
      </c>
      <c r="AW382" s="261" t="s">
        <v>784</v>
      </c>
      <c r="AX382" s="261" t="s">
        <v>784</v>
      </c>
      <c r="AY382" s="261" t="s">
        <v>784</v>
      </c>
      <c r="AZ382" s="261" t="s">
        <v>784</v>
      </c>
      <c r="BA382" s="261" t="s">
        <v>784</v>
      </c>
      <c r="BB382" s="261" t="s">
        <v>784</v>
      </c>
      <c r="BC382" s="261" t="s">
        <v>784</v>
      </c>
      <c r="BD382" s="261" t="s">
        <v>784</v>
      </c>
      <c r="BE382" s="261" t="s">
        <v>784</v>
      </c>
      <c r="BF382" s="261" t="s">
        <v>784</v>
      </c>
    </row>
    <row r="383" spans="1:58" x14ac:dyDescent="0.3">
      <c r="A383" s="260" t="s">
        <v>1077</v>
      </c>
      <c r="B383" s="261" t="s">
        <v>784</v>
      </c>
      <c r="C383" s="261" t="s">
        <v>784</v>
      </c>
      <c r="D383" s="261" t="s">
        <v>784</v>
      </c>
      <c r="E383" s="261" t="s">
        <v>784</v>
      </c>
      <c r="F383" s="261" t="s">
        <v>784</v>
      </c>
      <c r="G383" s="261" t="s">
        <v>784</v>
      </c>
      <c r="H383" s="261" t="s">
        <v>784</v>
      </c>
      <c r="I383" s="261" t="s">
        <v>784</v>
      </c>
      <c r="J383" s="261" t="s">
        <v>784</v>
      </c>
      <c r="K383" s="261" t="s">
        <v>784</v>
      </c>
      <c r="L383" s="261" t="s">
        <v>784</v>
      </c>
      <c r="M383" s="261" t="s">
        <v>784</v>
      </c>
      <c r="N383" s="261" t="s">
        <v>784</v>
      </c>
      <c r="O383" s="261" t="s">
        <v>784</v>
      </c>
      <c r="P383" s="261" t="s">
        <v>784</v>
      </c>
      <c r="Q383" s="261" t="s">
        <v>784</v>
      </c>
      <c r="R383" s="261" t="s">
        <v>784</v>
      </c>
      <c r="S383" s="261" t="s">
        <v>784</v>
      </c>
      <c r="T383" s="261" t="s">
        <v>784</v>
      </c>
      <c r="U383" s="261" t="s">
        <v>784</v>
      </c>
      <c r="V383" s="261" t="s">
        <v>784</v>
      </c>
      <c r="W383" s="261" t="s">
        <v>784</v>
      </c>
      <c r="X383" s="261" t="s">
        <v>784</v>
      </c>
      <c r="Y383" s="261" t="s">
        <v>784</v>
      </c>
      <c r="Z383" s="261" t="s">
        <v>784</v>
      </c>
      <c r="AA383" s="261" t="s">
        <v>784</v>
      </c>
      <c r="AB383" s="261" t="s">
        <v>784</v>
      </c>
      <c r="AC383" s="261" t="s">
        <v>784</v>
      </c>
      <c r="AD383" s="261" t="s">
        <v>784</v>
      </c>
      <c r="AE383" s="261" t="s">
        <v>784</v>
      </c>
      <c r="AF383" s="261" t="s">
        <v>784</v>
      </c>
      <c r="AG383" s="261" t="s">
        <v>784</v>
      </c>
      <c r="AH383" s="261" t="s">
        <v>784</v>
      </c>
      <c r="AI383" s="261" t="s">
        <v>784</v>
      </c>
      <c r="AJ383" s="261" t="s">
        <v>784</v>
      </c>
      <c r="AK383" s="261" t="s">
        <v>784</v>
      </c>
      <c r="AL383" s="261" t="s">
        <v>784</v>
      </c>
      <c r="AM383" s="261" t="s">
        <v>784</v>
      </c>
      <c r="AN383" s="261" t="s">
        <v>784</v>
      </c>
      <c r="AO383" s="261" t="s">
        <v>784</v>
      </c>
      <c r="AP383" s="261" t="s">
        <v>784</v>
      </c>
      <c r="AQ383" s="261" t="s">
        <v>784</v>
      </c>
      <c r="AR383" s="261" t="s">
        <v>784</v>
      </c>
      <c r="AS383" s="261" t="s">
        <v>784</v>
      </c>
      <c r="AT383" s="261" t="s">
        <v>784</v>
      </c>
      <c r="AU383" s="261" t="s">
        <v>784</v>
      </c>
      <c r="AV383" s="261" t="s">
        <v>784</v>
      </c>
      <c r="AW383" s="261" t="s">
        <v>784</v>
      </c>
      <c r="AX383" s="261" t="s">
        <v>784</v>
      </c>
      <c r="AY383" s="261" t="s">
        <v>784</v>
      </c>
      <c r="AZ383" s="261" t="s">
        <v>784</v>
      </c>
      <c r="BA383" s="261" t="s">
        <v>784</v>
      </c>
      <c r="BB383" s="261" t="s">
        <v>784</v>
      </c>
      <c r="BC383" s="261" t="s">
        <v>784</v>
      </c>
      <c r="BD383" s="261" t="s">
        <v>784</v>
      </c>
      <c r="BE383" s="261" t="s">
        <v>784</v>
      </c>
      <c r="BF383" s="261" t="s">
        <v>784</v>
      </c>
    </row>
    <row r="384" spans="1:58" x14ac:dyDescent="0.3">
      <c r="A384" s="260" t="s">
        <v>1078</v>
      </c>
      <c r="B384" s="261" t="s">
        <v>784</v>
      </c>
      <c r="C384" s="261" t="s">
        <v>784</v>
      </c>
      <c r="D384" s="261" t="s">
        <v>784</v>
      </c>
      <c r="E384" s="261" t="s">
        <v>784</v>
      </c>
      <c r="F384" s="261" t="s">
        <v>784</v>
      </c>
      <c r="G384" s="261" t="s">
        <v>784</v>
      </c>
      <c r="H384" s="261" t="s">
        <v>784</v>
      </c>
      <c r="I384" s="261" t="s">
        <v>784</v>
      </c>
      <c r="J384" s="261" t="s">
        <v>784</v>
      </c>
      <c r="K384" s="261" t="s">
        <v>784</v>
      </c>
      <c r="L384" s="261" t="s">
        <v>784</v>
      </c>
      <c r="M384" s="261" t="s">
        <v>784</v>
      </c>
      <c r="N384" s="261" t="s">
        <v>784</v>
      </c>
      <c r="O384" s="261" t="s">
        <v>784</v>
      </c>
      <c r="P384" s="261" t="s">
        <v>784</v>
      </c>
      <c r="Q384" s="261" t="s">
        <v>784</v>
      </c>
      <c r="R384" s="261" t="s">
        <v>784</v>
      </c>
      <c r="S384" s="261" t="s">
        <v>784</v>
      </c>
      <c r="T384" s="261" t="s">
        <v>784</v>
      </c>
      <c r="U384" s="261" t="s">
        <v>784</v>
      </c>
      <c r="V384" s="261" t="s">
        <v>784</v>
      </c>
      <c r="W384" s="261" t="s">
        <v>784</v>
      </c>
      <c r="X384" s="261" t="s">
        <v>784</v>
      </c>
      <c r="Y384" s="261" t="s">
        <v>784</v>
      </c>
      <c r="Z384" s="261" t="s">
        <v>784</v>
      </c>
      <c r="AA384" s="261" t="s">
        <v>784</v>
      </c>
      <c r="AB384" s="261" t="s">
        <v>784</v>
      </c>
      <c r="AC384" s="261" t="s">
        <v>784</v>
      </c>
      <c r="AD384" s="261" t="s">
        <v>784</v>
      </c>
      <c r="AE384" s="261" t="s">
        <v>784</v>
      </c>
      <c r="AF384" s="261" t="s">
        <v>784</v>
      </c>
      <c r="AG384" s="261" t="s">
        <v>784</v>
      </c>
      <c r="AH384" s="261" t="s">
        <v>784</v>
      </c>
      <c r="AI384" s="261" t="s">
        <v>784</v>
      </c>
      <c r="AJ384" s="261" t="s">
        <v>784</v>
      </c>
      <c r="AK384" s="261" t="s">
        <v>784</v>
      </c>
      <c r="AL384" s="261" t="s">
        <v>784</v>
      </c>
      <c r="AM384" s="261" t="s">
        <v>784</v>
      </c>
      <c r="AN384" s="261" t="s">
        <v>784</v>
      </c>
      <c r="AO384" s="261" t="s">
        <v>784</v>
      </c>
      <c r="AP384" s="261" t="s">
        <v>784</v>
      </c>
      <c r="AQ384" s="261" t="s">
        <v>784</v>
      </c>
      <c r="AR384" s="261" t="s">
        <v>784</v>
      </c>
      <c r="AS384" s="261" t="s">
        <v>784</v>
      </c>
      <c r="AT384" s="261" t="s">
        <v>784</v>
      </c>
      <c r="AU384" s="261" t="s">
        <v>784</v>
      </c>
      <c r="AV384" s="261" t="s">
        <v>784</v>
      </c>
      <c r="AW384" s="261" t="s">
        <v>784</v>
      </c>
      <c r="AX384" s="261" t="s">
        <v>784</v>
      </c>
      <c r="AY384" s="261" t="s">
        <v>784</v>
      </c>
      <c r="AZ384" s="261" t="s">
        <v>784</v>
      </c>
      <c r="BA384" s="261" t="s">
        <v>784</v>
      </c>
      <c r="BB384" s="261" t="s">
        <v>784</v>
      </c>
      <c r="BC384" s="261" t="s">
        <v>784</v>
      </c>
      <c r="BD384" s="261" t="s">
        <v>784</v>
      </c>
      <c r="BE384" s="261" t="s">
        <v>784</v>
      </c>
      <c r="BF384" s="261" t="s">
        <v>784</v>
      </c>
    </row>
    <row r="385" spans="1:58" x14ac:dyDescent="0.3">
      <c r="A385" s="260" t="s">
        <v>1079</v>
      </c>
      <c r="B385" s="261" t="s">
        <v>784</v>
      </c>
      <c r="C385" s="261" t="s">
        <v>784</v>
      </c>
      <c r="D385" s="261" t="s">
        <v>784</v>
      </c>
      <c r="E385" s="261" t="s">
        <v>784</v>
      </c>
      <c r="F385" s="261" t="s">
        <v>784</v>
      </c>
      <c r="G385" s="261" t="s">
        <v>784</v>
      </c>
      <c r="H385" s="261" t="s">
        <v>784</v>
      </c>
      <c r="I385" s="261" t="s">
        <v>784</v>
      </c>
      <c r="J385" s="261" t="s">
        <v>784</v>
      </c>
      <c r="K385" s="261" t="s">
        <v>784</v>
      </c>
      <c r="L385" s="261" t="s">
        <v>784</v>
      </c>
      <c r="M385" s="261" t="s">
        <v>784</v>
      </c>
      <c r="N385" s="261" t="s">
        <v>784</v>
      </c>
      <c r="O385" s="261" t="s">
        <v>784</v>
      </c>
      <c r="P385" s="261" t="s">
        <v>784</v>
      </c>
      <c r="Q385" s="261" t="s">
        <v>784</v>
      </c>
      <c r="R385" s="261" t="s">
        <v>784</v>
      </c>
      <c r="S385" s="261" t="s">
        <v>784</v>
      </c>
      <c r="T385" s="261" t="s">
        <v>784</v>
      </c>
      <c r="U385" s="261" t="s">
        <v>784</v>
      </c>
      <c r="V385" s="261" t="s">
        <v>784</v>
      </c>
      <c r="W385" s="261" t="s">
        <v>784</v>
      </c>
      <c r="X385" s="261" t="s">
        <v>784</v>
      </c>
      <c r="Y385" s="261" t="s">
        <v>784</v>
      </c>
      <c r="Z385" s="261" t="s">
        <v>784</v>
      </c>
      <c r="AA385" s="261" t="s">
        <v>784</v>
      </c>
      <c r="AB385" s="261" t="s">
        <v>784</v>
      </c>
      <c r="AC385" s="261" t="s">
        <v>784</v>
      </c>
      <c r="AD385" s="261" t="s">
        <v>784</v>
      </c>
      <c r="AE385" s="261" t="s">
        <v>784</v>
      </c>
      <c r="AF385" s="261" t="s">
        <v>784</v>
      </c>
      <c r="AG385" s="261" t="s">
        <v>784</v>
      </c>
      <c r="AH385" s="261" t="s">
        <v>784</v>
      </c>
      <c r="AI385" s="261" t="s">
        <v>784</v>
      </c>
      <c r="AJ385" s="261" t="s">
        <v>784</v>
      </c>
      <c r="AK385" s="261" t="s">
        <v>784</v>
      </c>
      <c r="AL385" s="261" t="s">
        <v>784</v>
      </c>
      <c r="AM385" s="261" t="s">
        <v>784</v>
      </c>
      <c r="AN385" s="261" t="s">
        <v>784</v>
      </c>
      <c r="AO385" s="261" t="s">
        <v>784</v>
      </c>
      <c r="AP385" s="261" t="s">
        <v>784</v>
      </c>
      <c r="AQ385" s="261" t="s">
        <v>784</v>
      </c>
      <c r="AR385" s="261" t="s">
        <v>784</v>
      </c>
      <c r="AS385" s="261" t="s">
        <v>784</v>
      </c>
      <c r="AT385" s="261" t="s">
        <v>784</v>
      </c>
      <c r="AU385" s="261" t="s">
        <v>784</v>
      </c>
      <c r="AV385" s="261" t="s">
        <v>784</v>
      </c>
      <c r="AW385" s="261" t="s">
        <v>784</v>
      </c>
      <c r="AX385" s="261" t="s">
        <v>784</v>
      </c>
      <c r="AY385" s="261" t="s">
        <v>784</v>
      </c>
      <c r="AZ385" s="261" t="s">
        <v>784</v>
      </c>
      <c r="BA385" s="261" t="s">
        <v>784</v>
      </c>
      <c r="BB385" s="261" t="s">
        <v>784</v>
      </c>
      <c r="BC385" s="261" t="s">
        <v>784</v>
      </c>
      <c r="BD385" s="261" t="s">
        <v>784</v>
      </c>
      <c r="BE385" s="261" t="s">
        <v>784</v>
      </c>
      <c r="BF385" s="261" t="s">
        <v>784</v>
      </c>
    </row>
    <row r="386" spans="1:58" x14ac:dyDescent="0.3">
      <c r="A386" s="260" t="s">
        <v>1080</v>
      </c>
      <c r="B386" s="261" t="s">
        <v>784</v>
      </c>
      <c r="C386" s="261" t="s">
        <v>784</v>
      </c>
      <c r="D386" s="261" t="s">
        <v>784</v>
      </c>
      <c r="E386" s="261" t="s">
        <v>784</v>
      </c>
      <c r="F386" s="261" t="s">
        <v>784</v>
      </c>
      <c r="G386" s="261" t="s">
        <v>784</v>
      </c>
      <c r="H386" s="261" t="s">
        <v>784</v>
      </c>
      <c r="I386" s="261" t="s">
        <v>784</v>
      </c>
      <c r="J386" s="261" t="s">
        <v>784</v>
      </c>
      <c r="K386" s="261" t="s">
        <v>784</v>
      </c>
      <c r="L386" s="261" t="s">
        <v>784</v>
      </c>
      <c r="M386" s="261" t="s">
        <v>784</v>
      </c>
      <c r="N386" s="261" t="s">
        <v>784</v>
      </c>
      <c r="O386" s="261" t="s">
        <v>784</v>
      </c>
      <c r="P386" s="261" t="s">
        <v>784</v>
      </c>
      <c r="Q386" s="261" t="s">
        <v>784</v>
      </c>
      <c r="R386" s="261" t="s">
        <v>784</v>
      </c>
      <c r="S386" s="261" t="s">
        <v>784</v>
      </c>
      <c r="T386" s="261" t="s">
        <v>784</v>
      </c>
      <c r="U386" s="261" t="s">
        <v>784</v>
      </c>
      <c r="V386" s="261" t="s">
        <v>784</v>
      </c>
      <c r="W386" s="261" t="s">
        <v>784</v>
      </c>
      <c r="X386" s="261" t="s">
        <v>784</v>
      </c>
      <c r="Y386" s="261" t="s">
        <v>784</v>
      </c>
      <c r="Z386" s="261" t="s">
        <v>784</v>
      </c>
      <c r="AA386" s="261" t="s">
        <v>784</v>
      </c>
      <c r="AB386" s="261" t="s">
        <v>784</v>
      </c>
      <c r="AC386" s="261" t="s">
        <v>784</v>
      </c>
      <c r="AD386" s="261" t="s">
        <v>784</v>
      </c>
      <c r="AE386" s="261" t="s">
        <v>784</v>
      </c>
      <c r="AF386" s="261" t="s">
        <v>784</v>
      </c>
      <c r="AG386" s="261" t="s">
        <v>784</v>
      </c>
      <c r="AH386" s="261" t="s">
        <v>784</v>
      </c>
      <c r="AI386" s="261" t="s">
        <v>784</v>
      </c>
      <c r="AJ386" s="261" t="s">
        <v>784</v>
      </c>
      <c r="AK386" s="261" t="s">
        <v>784</v>
      </c>
      <c r="AL386" s="261" t="s">
        <v>784</v>
      </c>
      <c r="AM386" s="261" t="s">
        <v>784</v>
      </c>
      <c r="AN386" s="261" t="s">
        <v>784</v>
      </c>
      <c r="AO386" s="261" t="s">
        <v>784</v>
      </c>
      <c r="AP386" s="261" t="s">
        <v>784</v>
      </c>
      <c r="AQ386" s="261" t="s">
        <v>784</v>
      </c>
      <c r="AR386" s="261" t="s">
        <v>784</v>
      </c>
      <c r="AS386" s="261" t="s">
        <v>784</v>
      </c>
      <c r="AT386" s="261" t="s">
        <v>784</v>
      </c>
      <c r="AU386" s="261" t="s">
        <v>784</v>
      </c>
      <c r="AV386" s="261" t="s">
        <v>784</v>
      </c>
      <c r="AW386" s="261" t="s">
        <v>784</v>
      </c>
      <c r="AX386" s="261" t="s">
        <v>784</v>
      </c>
      <c r="AY386" s="261" t="s">
        <v>784</v>
      </c>
      <c r="AZ386" s="261" t="s">
        <v>784</v>
      </c>
      <c r="BA386" s="261" t="s">
        <v>784</v>
      </c>
      <c r="BB386" s="261" t="s">
        <v>784</v>
      </c>
      <c r="BC386" s="261" t="s">
        <v>784</v>
      </c>
      <c r="BD386" s="261" t="s">
        <v>784</v>
      </c>
      <c r="BE386" s="261" t="s">
        <v>784</v>
      </c>
      <c r="BF386" s="261" t="s">
        <v>784</v>
      </c>
    </row>
    <row r="387" spans="1:58" x14ac:dyDescent="0.3">
      <c r="A387" s="260" t="s">
        <v>1081</v>
      </c>
      <c r="B387" s="261" t="s">
        <v>784</v>
      </c>
      <c r="C387" s="261" t="s">
        <v>784</v>
      </c>
      <c r="D387" s="261" t="s">
        <v>784</v>
      </c>
      <c r="E387" s="261" t="s">
        <v>784</v>
      </c>
      <c r="F387" s="261" t="s">
        <v>784</v>
      </c>
      <c r="G387" s="261" t="s">
        <v>784</v>
      </c>
      <c r="H387" s="261" t="s">
        <v>784</v>
      </c>
      <c r="I387" s="261" t="s">
        <v>784</v>
      </c>
      <c r="J387" s="261" t="s">
        <v>784</v>
      </c>
      <c r="K387" s="261" t="s">
        <v>784</v>
      </c>
      <c r="L387" s="261" t="s">
        <v>784</v>
      </c>
      <c r="M387" s="261" t="s">
        <v>784</v>
      </c>
      <c r="N387" s="261" t="s">
        <v>784</v>
      </c>
      <c r="O387" s="261" t="s">
        <v>784</v>
      </c>
      <c r="P387" s="261" t="s">
        <v>784</v>
      </c>
      <c r="Q387" s="261" t="s">
        <v>784</v>
      </c>
      <c r="R387" s="261" t="s">
        <v>784</v>
      </c>
      <c r="S387" s="261" t="s">
        <v>784</v>
      </c>
      <c r="T387" s="261" t="s">
        <v>784</v>
      </c>
      <c r="U387" s="261" t="s">
        <v>784</v>
      </c>
      <c r="V387" s="261" t="s">
        <v>784</v>
      </c>
      <c r="W387" s="261" t="s">
        <v>784</v>
      </c>
      <c r="X387" s="261" t="s">
        <v>784</v>
      </c>
      <c r="Y387" s="261" t="s">
        <v>784</v>
      </c>
      <c r="Z387" s="261" t="s">
        <v>784</v>
      </c>
      <c r="AA387" s="261" t="s">
        <v>784</v>
      </c>
      <c r="AB387" s="261" t="s">
        <v>784</v>
      </c>
      <c r="AC387" s="261" t="s">
        <v>784</v>
      </c>
      <c r="AD387" s="261" t="s">
        <v>784</v>
      </c>
      <c r="AE387" s="261" t="s">
        <v>784</v>
      </c>
      <c r="AF387" s="261" t="s">
        <v>784</v>
      </c>
      <c r="AG387" s="261" t="s">
        <v>784</v>
      </c>
      <c r="AH387" s="261" t="s">
        <v>784</v>
      </c>
      <c r="AI387" s="261" t="s">
        <v>784</v>
      </c>
      <c r="AJ387" s="261" t="s">
        <v>784</v>
      </c>
      <c r="AK387" s="261" t="s">
        <v>784</v>
      </c>
      <c r="AL387" s="261" t="s">
        <v>784</v>
      </c>
      <c r="AM387" s="261" t="s">
        <v>784</v>
      </c>
      <c r="AN387" s="261" t="s">
        <v>784</v>
      </c>
      <c r="AO387" s="261" t="s">
        <v>784</v>
      </c>
      <c r="AP387" s="261" t="s">
        <v>784</v>
      </c>
      <c r="AQ387" s="261" t="s">
        <v>784</v>
      </c>
      <c r="AR387" s="261" t="s">
        <v>784</v>
      </c>
      <c r="AS387" s="261" t="s">
        <v>784</v>
      </c>
      <c r="AT387" s="261" t="s">
        <v>784</v>
      </c>
      <c r="AU387" s="261" t="s">
        <v>784</v>
      </c>
      <c r="AV387" s="261" t="s">
        <v>784</v>
      </c>
      <c r="AW387" s="261" t="s">
        <v>784</v>
      </c>
      <c r="AX387" s="261" t="s">
        <v>784</v>
      </c>
      <c r="AY387" s="261" t="s">
        <v>784</v>
      </c>
      <c r="AZ387" s="261" t="s">
        <v>784</v>
      </c>
      <c r="BA387" s="261" t="s">
        <v>784</v>
      </c>
      <c r="BB387" s="261" t="s">
        <v>784</v>
      </c>
      <c r="BC387" s="261" t="s">
        <v>784</v>
      </c>
      <c r="BD387" s="261" t="s">
        <v>784</v>
      </c>
      <c r="BE387" s="261" t="s">
        <v>784</v>
      </c>
      <c r="BF387" s="261" t="s">
        <v>784</v>
      </c>
    </row>
    <row r="388" spans="1:58" x14ac:dyDescent="0.3">
      <c r="A388" s="260" t="s">
        <v>1082</v>
      </c>
      <c r="B388" s="261" t="s">
        <v>784</v>
      </c>
      <c r="C388" s="261" t="s">
        <v>784</v>
      </c>
      <c r="D388" s="261" t="s">
        <v>784</v>
      </c>
      <c r="E388" s="261" t="s">
        <v>784</v>
      </c>
      <c r="F388" s="261" t="s">
        <v>784</v>
      </c>
      <c r="G388" s="261" t="s">
        <v>784</v>
      </c>
      <c r="H388" s="261" t="s">
        <v>784</v>
      </c>
      <c r="I388" s="261" t="s">
        <v>784</v>
      </c>
      <c r="J388" s="261" t="s">
        <v>784</v>
      </c>
      <c r="K388" s="261" t="s">
        <v>784</v>
      </c>
      <c r="L388" s="261" t="s">
        <v>784</v>
      </c>
      <c r="M388" s="261" t="s">
        <v>784</v>
      </c>
      <c r="N388" s="261" t="s">
        <v>784</v>
      </c>
      <c r="O388" s="261" t="s">
        <v>784</v>
      </c>
      <c r="P388" s="261" t="s">
        <v>784</v>
      </c>
      <c r="Q388" s="261" t="s">
        <v>784</v>
      </c>
      <c r="R388" s="261" t="s">
        <v>784</v>
      </c>
      <c r="S388" s="261" t="s">
        <v>784</v>
      </c>
      <c r="T388" s="261" t="s">
        <v>784</v>
      </c>
      <c r="U388" s="261" t="s">
        <v>784</v>
      </c>
      <c r="V388" s="261" t="s">
        <v>784</v>
      </c>
      <c r="W388" s="261" t="s">
        <v>784</v>
      </c>
      <c r="X388" s="261" t="s">
        <v>784</v>
      </c>
      <c r="Y388" s="261" t="s">
        <v>784</v>
      </c>
      <c r="Z388" s="261" t="s">
        <v>784</v>
      </c>
      <c r="AA388" s="261" t="s">
        <v>784</v>
      </c>
      <c r="AB388" s="261" t="s">
        <v>784</v>
      </c>
      <c r="AC388" s="261" t="s">
        <v>784</v>
      </c>
      <c r="AD388" s="261" t="s">
        <v>784</v>
      </c>
      <c r="AE388" s="261" t="s">
        <v>784</v>
      </c>
      <c r="AF388" s="261" t="s">
        <v>784</v>
      </c>
      <c r="AG388" s="261" t="s">
        <v>784</v>
      </c>
      <c r="AH388" s="261" t="s">
        <v>784</v>
      </c>
      <c r="AI388" s="261" t="s">
        <v>784</v>
      </c>
      <c r="AJ388" s="261" t="s">
        <v>784</v>
      </c>
      <c r="AK388" s="261" t="s">
        <v>784</v>
      </c>
      <c r="AL388" s="261" t="s">
        <v>784</v>
      </c>
      <c r="AM388" s="261" t="s">
        <v>784</v>
      </c>
      <c r="AN388" s="261" t="s">
        <v>784</v>
      </c>
      <c r="AO388" s="261" t="s">
        <v>784</v>
      </c>
      <c r="AP388" s="261" t="s">
        <v>784</v>
      </c>
      <c r="AQ388" s="261" t="s">
        <v>784</v>
      </c>
      <c r="AR388" s="261" t="s">
        <v>784</v>
      </c>
      <c r="AS388" s="261" t="s">
        <v>784</v>
      </c>
      <c r="AT388" s="261" t="s">
        <v>784</v>
      </c>
      <c r="AU388" s="261" t="s">
        <v>784</v>
      </c>
      <c r="AV388" s="261" t="s">
        <v>784</v>
      </c>
      <c r="AW388" s="261" t="s">
        <v>784</v>
      </c>
      <c r="AX388" s="261" t="s">
        <v>784</v>
      </c>
      <c r="AY388" s="261" t="s">
        <v>784</v>
      </c>
      <c r="AZ388" s="261" t="s">
        <v>784</v>
      </c>
      <c r="BA388" s="261" t="s">
        <v>784</v>
      </c>
      <c r="BB388" s="261" t="s">
        <v>784</v>
      </c>
      <c r="BC388" s="261" t="s">
        <v>784</v>
      </c>
      <c r="BD388" s="261" t="s">
        <v>784</v>
      </c>
      <c r="BE388" s="261" t="s">
        <v>784</v>
      </c>
      <c r="BF388" s="261" t="s">
        <v>784</v>
      </c>
    </row>
    <row r="389" spans="1:58" x14ac:dyDescent="0.3">
      <c r="A389" s="260" t="s">
        <v>1083</v>
      </c>
      <c r="B389" s="261" t="s">
        <v>784</v>
      </c>
      <c r="C389" s="261" t="s">
        <v>784</v>
      </c>
      <c r="D389" s="261" t="s">
        <v>784</v>
      </c>
      <c r="E389" s="261" t="s">
        <v>784</v>
      </c>
      <c r="F389" s="261" t="s">
        <v>784</v>
      </c>
      <c r="G389" s="261" t="s">
        <v>784</v>
      </c>
      <c r="H389" s="261" t="s">
        <v>784</v>
      </c>
      <c r="I389" s="261" t="s">
        <v>784</v>
      </c>
      <c r="J389" s="261" t="s">
        <v>784</v>
      </c>
      <c r="K389" s="261" t="s">
        <v>784</v>
      </c>
      <c r="L389" s="261" t="s">
        <v>784</v>
      </c>
      <c r="M389" s="261" t="s">
        <v>784</v>
      </c>
      <c r="N389" s="261" t="s">
        <v>784</v>
      </c>
      <c r="O389" s="261" t="s">
        <v>784</v>
      </c>
      <c r="P389" s="261" t="s">
        <v>784</v>
      </c>
      <c r="Q389" s="261" t="s">
        <v>784</v>
      </c>
      <c r="R389" s="261" t="s">
        <v>784</v>
      </c>
      <c r="S389" s="261" t="s">
        <v>784</v>
      </c>
      <c r="T389" s="261" t="s">
        <v>784</v>
      </c>
      <c r="U389" s="261" t="s">
        <v>784</v>
      </c>
      <c r="V389" s="261" t="s">
        <v>784</v>
      </c>
      <c r="W389" s="261" t="s">
        <v>784</v>
      </c>
      <c r="X389" s="261" t="s">
        <v>784</v>
      </c>
      <c r="Y389" s="261" t="s">
        <v>784</v>
      </c>
      <c r="Z389" s="261" t="s">
        <v>784</v>
      </c>
      <c r="AA389" s="261" t="s">
        <v>784</v>
      </c>
      <c r="AB389" s="261" t="s">
        <v>784</v>
      </c>
      <c r="AC389" s="261" t="s">
        <v>784</v>
      </c>
      <c r="AD389" s="261" t="s">
        <v>784</v>
      </c>
      <c r="AE389" s="261" t="s">
        <v>784</v>
      </c>
      <c r="AF389" s="261" t="s">
        <v>784</v>
      </c>
      <c r="AG389" s="261" t="s">
        <v>784</v>
      </c>
      <c r="AH389" s="261" t="s">
        <v>784</v>
      </c>
      <c r="AI389" s="261" t="s">
        <v>784</v>
      </c>
      <c r="AJ389" s="261" t="s">
        <v>784</v>
      </c>
      <c r="AK389" s="261" t="s">
        <v>784</v>
      </c>
      <c r="AL389" s="261" t="s">
        <v>784</v>
      </c>
      <c r="AM389" s="261" t="s">
        <v>784</v>
      </c>
      <c r="AN389" s="261" t="s">
        <v>784</v>
      </c>
      <c r="AO389" s="261" t="s">
        <v>784</v>
      </c>
      <c r="AP389" s="261" t="s">
        <v>784</v>
      </c>
      <c r="AQ389" s="261" t="s">
        <v>784</v>
      </c>
      <c r="AR389" s="261" t="s">
        <v>784</v>
      </c>
      <c r="AS389" s="261" t="s">
        <v>784</v>
      </c>
      <c r="AT389" s="261" t="s">
        <v>784</v>
      </c>
      <c r="AU389" s="261" t="s">
        <v>784</v>
      </c>
      <c r="AV389" s="261" t="s">
        <v>784</v>
      </c>
      <c r="AW389" s="261" t="s">
        <v>784</v>
      </c>
      <c r="AX389" s="261" t="s">
        <v>784</v>
      </c>
      <c r="AY389" s="261" t="s">
        <v>784</v>
      </c>
      <c r="AZ389" s="261" t="s">
        <v>784</v>
      </c>
      <c r="BA389" s="261" t="s">
        <v>784</v>
      </c>
      <c r="BB389" s="261" t="s">
        <v>784</v>
      </c>
      <c r="BC389" s="261" t="s">
        <v>784</v>
      </c>
      <c r="BD389" s="261" t="s">
        <v>784</v>
      </c>
      <c r="BE389" s="261" t="s">
        <v>784</v>
      </c>
      <c r="BF389" s="261" t="s">
        <v>784</v>
      </c>
    </row>
    <row r="390" spans="1:58" x14ac:dyDescent="0.3">
      <c r="A390" s="260" t="s">
        <v>1084</v>
      </c>
      <c r="B390" s="261" t="s">
        <v>784</v>
      </c>
      <c r="C390" s="261" t="s">
        <v>784</v>
      </c>
      <c r="D390" s="261" t="s">
        <v>784</v>
      </c>
      <c r="E390" s="261" t="s">
        <v>784</v>
      </c>
      <c r="F390" s="261" t="s">
        <v>784</v>
      </c>
      <c r="G390" s="261" t="s">
        <v>784</v>
      </c>
      <c r="H390" s="261" t="s">
        <v>784</v>
      </c>
      <c r="I390" s="261" t="s">
        <v>784</v>
      </c>
      <c r="J390" s="261" t="s">
        <v>784</v>
      </c>
      <c r="K390" s="261" t="s">
        <v>784</v>
      </c>
      <c r="L390" s="261" t="s">
        <v>784</v>
      </c>
      <c r="M390" s="261" t="s">
        <v>784</v>
      </c>
      <c r="N390" s="261" t="s">
        <v>784</v>
      </c>
      <c r="O390" s="261" t="s">
        <v>784</v>
      </c>
      <c r="P390" s="261" t="s">
        <v>784</v>
      </c>
      <c r="Q390" s="261" t="s">
        <v>784</v>
      </c>
      <c r="R390" s="261" t="s">
        <v>784</v>
      </c>
      <c r="S390" s="261" t="s">
        <v>784</v>
      </c>
      <c r="T390" s="261" t="s">
        <v>784</v>
      </c>
      <c r="U390" s="261" t="s">
        <v>784</v>
      </c>
      <c r="V390" s="261" t="s">
        <v>784</v>
      </c>
      <c r="W390" s="261" t="s">
        <v>784</v>
      </c>
      <c r="X390" s="261" t="s">
        <v>784</v>
      </c>
      <c r="Y390" s="261" t="s">
        <v>784</v>
      </c>
      <c r="Z390" s="261" t="s">
        <v>784</v>
      </c>
      <c r="AA390" s="261" t="s">
        <v>784</v>
      </c>
      <c r="AB390" s="261" t="s">
        <v>784</v>
      </c>
      <c r="AC390" s="261" t="s">
        <v>784</v>
      </c>
      <c r="AD390" s="261" t="s">
        <v>784</v>
      </c>
      <c r="AE390" s="261" t="s">
        <v>784</v>
      </c>
      <c r="AF390" s="261" t="s">
        <v>784</v>
      </c>
      <c r="AG390" s="261" t="s">
        <v>784</v>
      </c>
      <c r="AH390" s="261" t="s">
        <v>784</v>
      </c>
      <c r="AI390" s="261" t="s">
        <v>784</v>
      </c>
      <c r="AJ390" s="261" t="s">
        <v>784</v>
      </c>
      <c r="AK390" s="261" t="s">
        <v>784</v>
      </c>
      <c r="AL390" s="261" t="s">
        <v>784</v>
      </c>
      <c r="AM390" s="261" t="s">
        <v>784</v>
      </c>
      <c r="AN390" s="261" t="s">
        <v>784</v>
      </c>
      <c r="AO390" s="261" t="s">
        <v>784</v>
      </c>
      <c r="AP390" s="261" t="s">
        <v>784</v>
      </c>
      <c r="AQ390" s="261" t="s">
        <v>784</v>
      </c>
      <c r="AR390" s="261" t="s">
        <v>784</v>
      </c>
      <c r="AS390" s="261" t="s">
        <v>784</v>
      </c>
      <c r="AT390" s="261" t="s">
        <v>784</v>
      </c>
      <c r="AU390" s="261" t="s">
        <v>784</v>
      </c>
      <c r="AV390" s="261" t="s">
        <v>784</v>
      </c>
      <c r="AW390" s="261" t="s">
        <v>784</v>
      </c>
      <c r="AX390" s="261" t="s">
        <v>784</v>
      </c>
      <c r="AY390" s="261" t="s">
        <v>784</v>
      </c>
      <c r="AZ390" s="261" t="s">
        <v>784</v>
      </c>
      <c r="BA390" s="261" t="s">
        <v>784</v>
      </c>
      <c r="BB390" s="261" t="s">
        <v>784</v>
      </c>
      <c r="BC390" s="261" t="s">
        <v>784</v>
      </c>
      <c r="BD390" s="261" t="s">
        <v>784</v>
      </c>
      <c r="BE390" s="261" t="s">
        <v>784</v>
      </c>
      <c r="BF390" s="261" t="s">
        <v>784</v>
      </c>
    </row>
    <row r="391" spans="1:58" x14ac:dyDescent="0.3">
      <c r="A391" s="260" t="s">
        <v>1085</v>
      </c>
      <c r="B391" s="261" t="s">
        <v>784</v>
      </c>
      <c r="C391" s="261" t="s">
        <v>784</v>
      </c>
      <c r="D391" s="261" t="s">
        <v>784</v>
      </c>
      <c r="E391" s="261" t="s">
        <v>784</v>
      </c>
      <c r="F391" s="261" t="s">
        <v>784</v>
      </c>
      <c r="G391" s="261" t="s">
        <v>784</v>
      </c>
      <c r="H391" s="261" t="s">
        <v>784</v>
      </c>
      <c r="I391" s="261" t="s">
        <v>784</v>
      </c>
      <c r="J391" s="261" t="s">
        <v>784</v>
      </c>
      <c r="K391" s="261" t="s">
        <v>784</v>
      </c>
      <c r="L391" s="261" t="s">
        <v>784</v>
      </c>
      <c r="M391" s="261" t="s">
        <v>784</v>
      </c>
      <c r="N391" s="261" t="s">
        <v>784</v>
      </c>
      <c r="O391" s="261" t="s">
        <v>784</v>
      </c>
      <c r="P391" s="261" t="s">
        <v>784</v>
      </c>
      <c r="Q391" s="261" t="s">
        <v>784</v>
      </c>
      <c r="R391" s="261" t="s">
        <v>784</v>
      </c>
      <c r="S391" s="261" t="s">
        <v>784</v>
      </c>
      <c r="T391" s="261" t="s">
        <v>784</v>
      </c>
      <c r="U391" s="261" t="s">
        <v>784</v>
      </c>
      <c r="V391" s="261" t="s">
        <v>784</v>
      </c>
      <c r="W391" s="261" t="s">
        <v>784</v>
      </c>
      <c r="X391" s="261" t="s">
        <v>784</v>
      </c>
      <c r="Y391" s="261" t="s">
        <v>784</v>
      </c>
      <c r="Z391" s="261" t="s">
        <v>784</v>
      </c>
      <c r="AA391" s="261" t="s">
        <v>784</v>
      </c>
      <c r="AB391" s="261" t="s">
        <v>784</v>
      </c>
      <c r="AC391" s="261" t="s">
        <v>784</v>
      </c>
      <c r="AD391" s="261" t="s">
        <v>784</v>
      </c>
      <c r="AE391" s="261" t="s">
        <v>784</v>
      </c>
      <c r="AF391" s="261" t="s">
        <v>784</v>
      </c>
      <c r="AG391" s="261" t="s">
        <v>784</v>
      </c>
      <c r="AH391" s="261" t="s">
        <v>784</v>
      </c>
      <c r="AI391" s="261" t="s">
        <v>784</v>
      </c>
      <c r="AJ391" s="261" t="s">
        <v>784</v>
      </c>
      <c r="AK391" s="261" t="s">
        <v>784</v>
      </c>
      <c r="AL391" s="261" t="s">
        <v>784</v>
      </c>
      <c r="AM391" s="261" t="s">
        <v>784</v>
      </c>
      <c r="AN391" s="261" t="s">
        <v>784</v>
      </c>
      <c r="AO391" s="261" t="s">
        <v>784</v>
      </c>
      <c r="AP391" s="261" t="s">
        <v>784</v>
      </c>
      <c r="AQ391" s="261" t="s">
        <v>784</v>
      </c>
      <c r="AR391" s="261" t="s">
        <v>784</v>
      </c>
      <c r="AS391" s="261" t="s">
        <v>784</v>
      </c>
      <c r="AT391" s="261" t="s">
        <v>784</v>
      </c>
      <c r="AU391" s="261" t="s">
        <v>784</v>
      </c>
      <c r="AV391" s="261" t="s">
        <v>784</v>
      </c>
      <c r="AW391" s="261" t="s">
        <v>784</v>
      </c>
      <c r="AX391" s="261" t="s">
        <v>784</v>
      </c>
      <c r="AY391" s="261" t="s">
        <v>784</v>
      </c>
      <c r="AZ391" s="261" t="s">
        <v>784</v>
      </c>
      <c r="BA391" s="261" t="s">
        <v>784</v>
      </c>
      <c r="BB391" s="261" t="s">
        <v>784</v>
      </c>
      <c r="BC391" s="261" t="s">
        <v>784</v>
      </c>
      <c r="BD391" s="261" t="s">
        <v>784</v>
      </c>
      <c r="BE391" s="261" t="s">
        <v>784</v>
      </c>
      <c r="BF391" s="261" t="s">
        <v>784</v>
      </c>
    </row>
    <row r="392" spans="1:58" x14ac:dyDescent="0.3">
      <c r="A392" s="260" t="s">
        <v>1086</v>
      </c>
      <c r="B392" s="261" t="s">
        <v>784</v>
      </c>
      <c r="C392" s="261" t="s">
        <v>784</v>
      </c>
      <c r="D392" s="261" t="s">
        <v>784</v>
      </c>
      <c r="E392" s="261" t="s">
        <v>784</v>
      </c>
      <c r="F392" s="261" t="s">
        <v>784</v>
      </c>
      <c r="G392" s="261" t="s">
        <v>784</v>
      </c>
      <c r="H392" s="261" t="s">
        <v>784</v>
      </c>
      <c r="I392" s="261" t="s">
        <v>784</v>
      </c>
      <c r="J392" s="261" t="s">
        <v>784</v>
      </c>
      <c r="K392" s="261" t="s">
        <v>784</v>
      </c>
      <c r="L392" s="261" t="s">
        <v>784</v>
      </c>
      <c r="M392" s="261" t="s">
        <v>784</v>
      </c>
      <c r="N392" s="261" t="s">
        <v>784</v>
      </c>
      <c r="O392" s="261" t="s">
        <v>784</v>
      </c>
      <c r="P392" s="261" t="s">
        <v>784</v>
      </c>
      <c r="Q392" s="261" t="s">
        <v>784</v>
      </c>
      <c r="R392" s="261" t="s">
        <v>784</v>
      </c>
      <c r="S392" s="261" t="s">
        <v>784</v>
      </c>
      <c r="T392" s="261" t="s">
        <v>784</v>
      </c>
      <c r="U392" s="261" t="s">
        <v>784</v>
      </c>
      <c r="V392" s="261" t="s">
        <v>784</v>
      </c>
      <c r="W392" s="261" t="s">
        <v>784</v>
      </c>
      <c r="X392" s="261" t="s">
        <v>784</v>
      </c>
      <c r="Y392" s="261" t="s">
        <v>784</v>
      </c>
      <c r="Z392" s="261" t="s">
        <v>784</v>
      </c>
      <c r="AA392" s="261" t="s">
        <v>784</v>
      </c>
      <c r="AB392" s="261" t="s">
        <v>784</v>
      </c>
      <c r="AC392" s="261" t="s">
        <v>784</v>
      </c>
      <c r="AD392" s="261" t="s">
        <v>784</v>
      </c>
      <c r="AE392" s="261" t="s">
        <v>784</v>
      </c>
      <c r="AF392" s="261" t="s">
        <v>784</v>
      </c>
      <c r="AG392" s="261" t="s">
        <v>784</v>
      </c>
      <c r="AH392" s="261" t="s">
        <v>784</v>
      </c>
      <c r="AI392" s="261" t="s">
        <v>784</v>
      </c>
      <c r="AJ392" s="261" t="s">
        <v>784</v>
      </c>
      <c r="AK392" s="261" t="s">
        <v>784</v>
      </c>
      <c r="AL392" s="261" t="s">
        <v>784</v>
      </c>
      <c r="AM392" s="261" t="s">
        <v>784</v>
      </c>
      <c r="AN392" s="261" t="s">
        <v>784</v>
      </c>
      <c r="AO392" s="261" t="s">
        <v>784</v>
      </c>
      <c r="AP392" s="261" t="s">
        <v>784</v>
      </c>
      <c r="AQ392" s="261" t="s">
        <v>784</v>
      </c>
      <c r="AR392" s="261" t="s">
        <v>784</v>
      </c>
      <c r="AS392" s="261" t="s">
        <v>784</v>
      </c>
      <c r="AT392" s="261" t="s">
        <v>784</v>
      </c>
      <c r="AU392" s="261" t="s">
        <v>784</v>
      </c>
      <c r="AV392" s="261" t="s">
        <v>784</v>
      </c>
      <c r="AW392" s="261" t="s">
        <v>784</v>
      </c>
      <c r="AX392" s="261" t="s">
        <v>784</v>
      </c>
      <c r="AY392" s="261" t="s">
        <v>784</v>
      </c>
      <c r="AZ392" s="261" t="s">
        <v>784</v>
      </c>
      <c r="BA392" s="261" t="s">
        <v>784</v>
      </c>
      <c r="BB392" s="261" t="s">
        <v>784</v>
      </c>
      <c r="BC392" s="261" t="s">
        <v>784</v>
      </c>
      <c r="BD392" s="261" t="s">
        <v>784</v>
      </c>
      <c r="BE392" s="261" t="s">
        <v>784</v>
      </c>
      <c r="BF392" s="261" t="s">
        <v>784</v>
      </c>
    </row>
    <row r="393" spans="1:58" x14ac:dyDescent="0.3">
      <c r="A393" s="260" t="s">
        <v>1087</v>
      </c>
      <c r="B393" s="261" t="s">
        <v>784</v>
      </c>
      <c r="C393" s="261" t="s">
        <v>784</v>
      </c>
      <c r="D393" s="261" t="s">
        <v>784</v>
      </c>
      <c r="E393" s="261" t="s">
        <v>784</v>
      </c>
      <c r="F393" s="261" t="s">
        <v>784</v>
      </c>
      <c r="G393" s="261" t="s">
        <v>784</v>
      </c>
      <c r="H393" s="261" t="s">
        <v>784</v>
      </c>
      <c r="I393" s="261" t="s">
        <v>784</v>
      </c>
      <c r="J393" s="261" t="s">
        <v>784</v>
      </c>
      <c r="K393" s="261" t="s">
        <v>784</v>
      </c>
      <c r="L393" s="261" t="s">
        <v>784</v>
      </c>
      <c r="M393" s="261" t="s">
        <v>784</v>
      </c>
      <c r="N393" s="261" t="s">
        <v>784</v>
      </c>
      <c r="O393" s="261" t="s">
        <v>784</v>
      </c>
      <c r="P393" s="261" t="s">
        <v>784</v>
      </c>
      <c r="Q393" s="261" t="s">
        <v>784</v>
      </c>
      <c r="R393" s="261" t="s">
        <v>784</v>
      </c>
      <c r="S393" s="261" t="s">
        <v>784</v>
      </c>
      <c r="T393" s="261" t="s">
        <v>784</v>
      </c>
      <c r="U393" s="261" t="s">
        <v>784</v>
      </c>
      <c r="V393" s="261" t="s">
        <v>784</v>
      </c>
      <c r="W393" s="261" t="s">
        <v>784</v>
      </c>
      <c r="X393" s="261" t="s">
        <v>784</v>
      </c>
      <c r="Y393" s="261" t="s">
        <v>784</v>
      </c>
      <c r="Z393" s="261" t="s">
        <v>784</v>
      </c>
      <c r="AA393" s="261" t="s">
        <v>784</v>
      </c>
      <c r="AB393" s="261" t="s">
        <v>784</v>
      </c>
      <c r="AC393" s="261" t="s">
        <v>784</v>
      </c>
      <c r="AD393" s="261" t="s">
        <v>784</v>
      </c>
      <c r="AE393" s="261" t="s">
        <v>784</v>
      </c>
      <c r="AF393" s="261" t="s">
        <v>784</v>
      </c>
      <c r="AG393" s="261" t="s">
        <v>784</v>
      </c>
      <c r="AH393" s="261" t="s">
        <v>784</v>
      </c>
      <c r="AI393" s="261" t="s">
        <v>784</v>
      </c>
      <c r="AJ393" s="261" t="s">
        <v>784</v>
      </c>
      <c r="AK393" s="261" t="s">
        <v>784</v>
      </c>
      <c r="AL393" s="261" t="s">
        <v>784</v>
      </c>
      <c r="AM393" s="261" t="s">
        <v>784</v>
      </c>
      <c r="AN393" s="261" t="s">
        <v>784</v>
      </c>
      <c r="AO393" s="261" t="s">
        <v>784</v>
      </c>
      <c r="AP393" s="261" t="s">
        <v>784</v>
      </c>
      <c r="AQ393" s="261" t="s">
        <v>784</v>
      </c>
      <c r="AR393" s="261" t="s">
        <v>784</v>
      </c>
      <c r="AS393" s="261" t="s">
        <v>784</v>
      </c>
      <c r="AT393" s="261" t="s">
        <v>784</v>
      </c>
      <c r="AU393" s="261" t="s">
        <v>784</v>
      </c>
      <c r="AV393" s="261" t="s">
        <v>784</v>
      </c>
      <c r="AW393" s="261" t="s">
        <v>784</v>
      </c>
      <c r="AX393" s="261" t="s">
        <v>784</v>
      </c>
      <c r="AY393" s="261" t="s">
        <v>784</v>
      </c>
      <c r="AZ393" s="261" t="s">
        <v>784</v>
      </c>
      <c r="BA393" s="261" t="s">
        <v>784</v>
      </c>
      <c r="BB393" s="261" t="s">
        <v>784</v>
      </c>
      <c r="BC393" s="261" t="s">
        <v>784</v>
      </c>
      <c r="BD393" s="261" t="s">
        <v>784</v>
      </c>
      <c r="BE393" s="261" t="s">
        <v>784</v>
      </c>
      <c r="BF393" s="261" t="s">
        <v>784</v>
      </c>
    </row>
    <row r="394" spans="1:58" x14ac:dyDescent="0.3">
      <c r="A394" s="260" t="s">
        <v>1088</v>
      </c>
      <c r="B394" s="261" t="s">
        <v>784</v>
      </c>
      <c r="C394" s="261" t="s">
        <v>784</v>
      </c>
      <c r="D394" s="261" t="s">
        <v>784</v>
      </c>
      <c r="E394" s="261" t="s">
        <v>784</v>
      </c>
      <c r="F394" s="261" t="s">
        <v>784</v>
      </c>
      <c r="G394" s="261" t="s">
        <v>784</v>
      </c>
      <c r="H394" s="261" t="s">
        <v>784</v>
      </c>
      <c r="I394" s="261" t="s">
        <v>784</v>
      </c>
      <c r="J394" s="261" t="s">
        <v>784</v>
      </c>
      <c r="K394" s="261" t="s">
        <v>784</v>
      </c>
      <c r="L394" s="261" t="s">
        <v>784</v>
      </c>
      <c r="M394" s="261" t="s">
        <v>784</v>
      </c>
      <c r="N394" s="261" t="s">
        <v>784</v>
      </c>
      <c r="O394" s="261" t="s">
        <v>784</v>
      </c>
      <c r="P394" s="261" t="s">
        <v>784</v>
      </c>
      <c r="Q394" s="261" t="s">
        <v>784</v>
      </c>
      <c r="R394" s="261" t="s">
        <v>784</v>
      </c>
      <c r="S394" s="261" t="s">
        <v>784</v>
      </c>
      <c r="T394" s="261" t="s">
        <v>784</v>
      </c>
      <c r="U394" s="261" t="s">
        <v>784</v>
      </c>
      <c r="V394" s="261" t="s">
        <v>784</v>
      </c>
      <c r="W394" s="261" t="s">
        <v>784</v>
      </c>
      <c r="X394" s="261" t="s">
        <v>784</v>
      </c>
      <c r="Y394" s="261" t="s">
        <v>784</v>
      </c>
      <c r="Z394" s="261" t="s">
        <v>784</v>
      </c>
      <c r="AA394" s="261" t="s">
        <v>784</v>
      </c>
      <c r="AB394" s="261" t="s">
        <v>784</v>
      </c>
      <c r="AC394" s="261" t="s">
        <v>784</v>
      </c>
      <c r="AD394" s="261" t="s">
        <v>784</v>
      </c>
      <c r="AE394" s="261" t="s">
        <v>784</v>
      </c>
      <c r="AF394" s="261" t="s">
        <v>784</v>
      </c>
      <c r="AG394" s="261" t="s">
        <v>784</v>
      </c>
      <c r="AH394" s="261" t="s">
        <v>784</v>
      </c>
      <c r="AI394" s="261" t="s">
        <v>784</v>
      </c>
      <c r="AJ394" s="261" t="s">
        <v>784</v>
      </c>
      <c r="AK394" s="261" t="s">
        <v>784</v>
      </c>
      <c r="AL394" s="261" t="s">
        <v>784</v>
      </c>
      <c r="AM394" s="261" t="s">
        <v>784</v>
      </c>
      <c r="AN394" s="261" t="s">
        <v>784</v>
      </c>
      <c r="AO394" s="261" t="s">
        <v>784</v>
      </c>
      <c r="AP394" s="261" t="s">
        <v>784</v>
      </c>
      <c r="AQ394" s="261" t="s">
        <v>784</v>
      </c>
      <c r="AR394" s="261" t="s">
        <v>784</v>
      </c>
      <c r="AS394" s="261" t="s">
        <v>784</v>
      </c>
      <c r="AT394" s="261" t="s">
        <v>784</v>
      </c>
      <c r="AU394" s="261" t="s">
        <v>784</v>
      </c>
      <c r="AV394" s="261" t="s">
        <v>784</v>
      </c>
      <c r="AW394" s="261" t="s">
        <v>784</v>
      </c>
      <c r="AX394" s="261" t="s">
        <v>784</v>
      </c>
      <c r="AY394" s="261" t="s">
        <v>784</v>
      </c>
      <c r="AZ394" s="261" t="s">
        <v>784</v>
      </c>
      <c r="BA394" s="261" t="s">
        <v>784</v>
      </c>
      <c r="BB394" s="261" t="s">
        <v>784</v>
      </c>
      <c r="BC394" s="261" t="s">
        <v>784</v>
      </c>
      <c r="BD394" s="261" t="s">
        <v>784</v>
      </c>
      <c r="BE394" s="261" t="s">
        <v>784</v>
      </c>
      <c r="BF394" s="261" t="s">
        <v>784</v>
      </c>
    </row>
    <row r="395" spans="1:58" x14ac:dyDescent="0.3">
      <c r="A395" s="255" t="s">
        <v>1089</v>
      </c>
      <c r="B395" s="261" t="s">
        <v>784</v>
      </c>
      <c r="C395" s="261" t="s">
        <v>784</v>
      </c>
      <c r="D395" s="261" t="s">
        <v>784</v>
      </c>
      <c r="E395" s="261" t="s">
        <v>784</v>
      </c>
      <c r="F395" s="261" t="s">
        <v>784</v>
      </c>
      <c r="G395" s="261" t="s">
        <v>784</v>
      </c>
      <c r="H395" s="261" t="s">
        <v>784</v>
      </c>
      <c r="I395" s="261" t="s">
        <v>784</v>
      </c>
      <c r="J395" s="261" t="s">
        <v>784</v>
      </c>
      <c r="K395" s="261" t="s">
        <v>784</v>
      </c>
      <c r="L395" s="261" t="s">
        <v>784</v>
      </c>
      <c r="M395" s="261" t="s">
        <v>784</v>
      </c>
      <c r="N395" s="261" t="s">
        <v>784</v>
      </c>
      <c r="O395" s="261" t="s">
        <v>784</v>
      </c>
      <c r="P395" s="261" t="s">
        <v>784</v>
      </c>
      <c r="Q395" s="261" t="s">
        <v>784</v>
      </c>
      <c r="R395" s="261" t="s">
        <v>784</v>
      </c>
      <c r="S395" s="261" t="s">
        <v>784</v>
      </c>
      <c r="T395" s="261" t="s">
        <v>784</v>
      </c>
      <c r="U395" s="261" t="s">
        <v>784</v>
      </c>
      <c r="V395" s="261" t="s">
        <v>784</v>
      </c>
      <c r="W395" s="261" t="s">
        <v>784</v>
      </c>
      <c r="X395" s="261" t="s">
        <v>784</v>
      </c>
      <c r="Y395" s="261" t="s">
        <v>784</v>
      </c>
      <c r="Z395" s="261" t="s">
        <v>784</v>
      </c>
      <c r="AA395" s="261" t="s">
        <v>784</v>
      </c>
      <c r="AB395" s="261" t="s">
        <v>784</v>
      </c>
      <c r="AC395" s="261" t="s">
        <v>784</v>
      </c>
      <c r="AD395" s="261" t="s">
        <v>784</v>
      </c>
      <c r="AE395" s="261" t="s">
        <v>784</v>
      </c>
      <c r="AF395" s="261" t="s">
        <v>784</v>
      </c>
      <c r="AG395" s="261" t="s">
        <v>784</v>
      </c>
      <c r="AH395" s="261" t="s">
        <v>784</v>
      </c>
      <c r="AI395" s="261" t="s">
        <v>784</v>
      </c>
      <c r="AJ395" s="261" t="s">
        <v>784</v>
      </c>
      <c r="AK395" s="261" t="s">
        <v>784</v>
      </c>
      <c r="AL395" s="261" t="s">
        <v>784</v>
      </c>
      <c r="AM395" s="261" t="s">
        <v>784</v>
      </c>
      <c r="AN395" s="261" t="s">
        <v>784</v>
      </c>
      <c r="AO395" s="261" t="s">
        <v>784</v>
      </c>
      <c r="AP395" s="261" t="s">
        <v>784</v>
      </c>
      <c r="AQ395" s="261" t="s">
        <v>784</v>
      </c>
      <c r="AR395" s="261" t="s">
        <v>784</v>
      </c>
      <c r="AS395" s="261" t="s">
        <v>784</v>
      </c>
      <c r="AT395" s="261" t="s">
        <v>784</v>
      </c>
      <c r="AU395" s="261" t="s">
        <v>784</v>
      </c>
      <c r="AV395" s="261" t="s">
        <v>784</v>
      </c>
      <c r="AW395" s="261" t="s">
        <v>784</v>
      </c>
      <c r="AX395" s="261" t="s">
        <v>784</v>
      </c>
      <c r="AY395" s="261" t="s">
        <v>784</v>
      </c>
      <c r="AZ395" s="261" t="s">
        <v>784</v>
      </c>
      <c r="BA395" s="261" t="s">
        <v>784</v>
      </c>
      <c r="BB395" s="261" t="s">
        <v>784</v>
      </c>
      <c r="BC395" s="261" t="s">
        <v>784</v>
      </c>
      <c r="BD395" s="261" t="s">
        <v>784</v>
      </c>
      <c r="BE395" s="261" t="s">
        <v>784</v>
      </c>
      <c r="BF395" s="261" t="s">
        <v>784</v>
      </c>
    </row>
    <row r="396" spans="1:58" x14ac:dyDescent="0.3">
      <c r="A396" s="255" t="s">
        <v>1090</v>
      </c>
      <c r="B396" s="261" t="s">
        <v>784</v>
      </c>
      <c r="C396" s="261" t="s">
        <v>784</v>
      </c>
      <c r="D396" s="261" t="s">
        <v>784</v>
      </c>
      <c r="E396" s="261" t="s">
        <v>784</v>
      </c>
      <c r="F396" s="261" t="s">
        <v>784</v>
      </c>
      <c r="G396" s="261" t="s">
        <v>784</v>
      </c>
      <c r="H396" s="261" t="s">
        <v>784</v>
      </c>
      <c r="I396" s="261" t="s">
        <v>784</v>
      </c>
      <c r="J396" s="261" t="s">
        <v>784</v>
      </c>
      <c r="K396" s="261" t="s">
        <v>784</v>
      </c>
      <c r="L396" s="261" t="s">
        <v>784</v>
      </c>
      <c r="M396" s="261" t="s">
        <v>784</v>
      </c>
      <c r="N396" s="261" t="s">
        <v>784</v>
      </c>
      <c r="O396" s="261" t="s">
        <v>784</v>
      </c>
      <c r="P396" s="261" t="s">
        <v>784</v>
      </c>
      <c r="Q396" s="261" t="s">
        <v>784</v>
      </c>
      <c r="R396" s="261" t="s">
        <v>784</v>
      </c>
      <c r="S396" s="261" t="s">
        <v>784</v>
      </c>
      <c r="T396" s="261" t="s">
        <v>784</v>
      </c>
      <c r="U396" s="261" t="s">
        <v>784</v>
      </c>
      <c r="V396" s="261" t="s">
        <v>784</v>
      </c>
      <c r="W396" s="261" t="s">
        <v>784</v>
      </c>
      <c r="X396" s="261" t="s">
        <v>784</v>
      </c>
      <c r="Y396" s="261" t="s">
        <v>784</v>
      </c>
      <c r="Z396" s="261" t="s">
        <v>784</v>
      </c>
      <c r="AA396" s="261" t="s">
        <v>784</v>
      </c>
      <c r="AB396" s="261" t="s">
        <v>784</v>
      </c>
      <c r="AC396" s="261" t="s">
        <v>784</v>
      </c>
      <c r="AD396" s="261" t="s">
        <v>784</v>
      </c>
      <c r="AE396" s="261" t="s">
        <v>784</v>
      </c>
      <c r="AF396" s="261" t="s">
        <v>784</v>
      </c>
      <c r="AG396" s="261" t="s">
        <v>784</v>
      </c>
      <c r="AH396" s="261" t="s">
        <v>784</v>
      </c>
      <c r="AI396" s="261" t="s">
        <v>784</v>
      </c>
      <c r="AJ396" s="261" t="s">
        <v>784</v>
      </c>
      <c r="AK396" s="261" t="s">
        <v>784</v>
      </c>
      <c r="AL396" s="261" t="s">
        <v>784</v>
      </c>
      <c r="AM396" s="261" t="s">
        <v>784</v>
      </c>
      <c r="AN396" s="261" t="s">
        <v>784</v>
      </c>
      <c r="AO396" s="261" t="s">
        <v>784</v>
      </c>
      <c r="AP396" s="261" t="s">
        <v>784</v>
      </c>
      <c r="AQ396" s="261" t="s">
        <v>784</v>
      </c>
      <c r="AR396" s="261" t="s">
        <v>784</v>
      </c>
      <c r="AS396" s="261" t="s">
        <v>784</v>
      </c>
      <c r="AT396" s="261" t="s">
        <v>784</v>
      </c>
      <c r="AU396" s="261" t="s">
        <v>784</v>
      </c>
      <c r="AV396" s="261" t="s">
        <v>784</v>
      </c>
      <c r="AW396" s="261" t="s">
        <v>784</v>
      </c>
      <c r="AX396" s="261" t="s">
        <v>784</v>
      </c>
      <c r="AY396" s="261" t="s">
        <v>784</v>
      </c>
      <c r="AZ396" s="261" t="s">
        <v>784</v>
      </c>
      <c r="BA396" s="261" t="s">
        <v>784</v>
      </c>
      <c r="BB396" s="261" t="s">
        <v>784</v>
      </c>
      <c r="BC396" s="261" t="s">
        <v>784</v>
      </c>
      <c r="BD396" s="261" t="s">
        <v>784</v>
      </c>
      <c r="BE396" s="261" t="s">
        <v>784</v>
      </c>
      <c r="BF396" s="261" t="s">
        <v>784</v>
      </c>
    </row>
    <row r="397" spans="1:58" x14ac:dyDescent="0.3">
      <c r="A397" s="257" t="s">
        <v>1091</v>
      </c>
      <c r="B397" s="258" t="s">
        <v>784</v>
      </c>
      <c r="C397" s="258" t="s">
        <v>784</v>
      </c>
      <c r="D397" s="258" t="s">
        <v>784</v>
      </c>
      <c r="E397" s="258" t="s">
        <v>784</v>
      </c>
      <c r="F397" s="258" t="s">
        <v>784</v>
      </c>
      <c r="G397" s="258" t="s">
        <v>784</v>
      </c>
      <c r="H397" s="258" t="s">
        <v>784</v>
      </c>
      <c r="I397" s="258" t="s">
        <v>784</v>
      </c>
      <c r="J397" s="258" t="s">
        <v>784</v>
      </c>
      <c r="K397" s="258" t="s">
        <v>784</v>
      </c>
      <c r="L397" s="258" t="s">
        <v>784</v>
      </c>
      <c r="M397" s="258" t="s">
        <v>784</v>
      </c>
      <c r="N397" s="258" t="s">
        <v>784</v>
      </c>
      <c r="O397" s="258" t="s">
        <v>784</v>
      </c>
      <c r="P397" s="258" t="s">
        <v>784</v>
      </c>
      <c r="Q397" s="258" t="s">
        <v>784</v>
      </c>
      <c r="R397" s="258" t="s">
        <v>784</v>
      </c>
      <c r="S397" s="258" t="s">
        <v>784</v>
      </c>
      <c r="T397" s="258" t="s">
        <v>784</v>
      </c>
      <c r="U397" s="258" t="s">
        <v>784</v>
      </c>
      <c r="V397" s="258" t="s">
        <v>784</v>
      </c>
      <c r="W397" s="258" t="s">
        <v>784</v>
      </c>
      <c r="X397" s="258" t="s">
        <v>784</v>
      </c>
      <c r="Y397" s="258" t="s">
        <v>784</v>
      </c>
      <c r="Z397" s="258" t="s">
        <v>784</v>
      </c>
      <c r="AA397" s="258" t="s">
        <v>784</v>
      </c>
      <c r="AB397" s="258" t="s">
        <v>784</v>
      </c>
      <c r="AC397" s="258" t="s">
        <v>784</v>
      </c>
      <c r="AD397" s="258" t="s">
        <v>784</v>
      </c>
      <c r="AE397" s="258" t="s">
        <v>784</v>
      </c>
      <c r="AF397" s="258" t="s">
        <v>784</v>
      </c>
      <c r="AG397" s="258" t="s">
        <v>784</v>
      </c>
      <c r="AH397" s="258" t="s">
        <v>784</v>
      </c>
      <c r="AI397" s="258" t="s">
        <v>784</v>
      </c>
      <c r="AJ397" s="258" t="s">
        <v>784</v>
      </c>
      <c r="AK397" s="258" t="s">
        <v>784</v>
      </c>
      <c r="AL397" s="258" t="s">
        <v>784</v>
      </c>
      <c r="AM397" s="258" t="s">
        <v>784</v>
      </c>
      <c r="AN397" s="258" t="s">
        <v>784</v>
      </c>
      <c r="AO397" s="258" t="s">
        <v>784</v>
      </c>
      <c r="AP397" s="258" t="s">
        <v>784</v>
      </c>
      <c r="AQ397" s="258" t="s">
        <v>784</v>
      </c>
      <c r="AR397" s="258" t="s">
        <v>784</v>
      </c>
      <c r="AS397" s="258" t="s">
        <v>784</v>
      </c>
      <c r="AT397" s="258" t="s">
        <v>784</v>
      </c>
      <c r="AU397" s="258" t="s">
        <v>784</v>
      </c>
      <c r="AV397" s="258" t="s">
        <v>784</v>
      </c>
      <c r="AW397" s="258" t="s">
        <v>784</v>
      </c>
      <c r="AX397" s="258" t="s">
        <v>784</v>
      </c>
      <c r="AY397" s="258" t="s">
        <v>784</v>
      </c>
      <c r="AZ397" s="258" t="s">
        <v>784</v>
      </c>
      <c r="BA397" s="258" t="s">
        <v>784</v>
      </c>
      <c r="BB397" s="258" t="s">
        <v>784</v>
      </c>
      <c r="BC397" s="258" t="s">
        <v>784</v>
      </c>
      <c r="BD397" s="258" t="s">
        <v>784</v>
      </c>
      <c r="BE397" s="258" t="s">
        <v>784</v>
      </c>
      <c r="BF397" s="258" t="s">
        <v>784</v>
      </c>
    </row>
    <row r="398" spans="1:58" x14ac:dyDescent="0.3">
      <c r="A398" s="257" t="s">
        <v>999</v>
      </c>
      <c r="B398" s="258" t="s">
        <v>784</v>
      </c>
      <c r="C398" s="258" t="s">
        <v>784</v>
      </c>
      <c r="D398" s="258" t="s">
        <v>784</v>
      </c>
      <c r="E398" s="258" t="s">
        <v>784</v>
      </c>
      <c r="F398" s="258" t="s">
        <v>784</v>
      </c>
      <c r="G398" s="258" t="s">
        <v>784</v>
      </c>
      <c r="H398" s="258" t="s">
        <v>784</v>
      </c>
      <c r="I398" s="258" t="s">
        <v>784</v>
      </c>
      <c r="J398" s="258" t="s">
        <v>784</v>
      </c>
      <c r="K398" s="258" t="s">
        <v>784</v>
      </c>
      <c r="L398" s="258" t="s">
        <v>784</v>
      </c>
      <c r="M398" s="258" t="s">
        <v>784</v>
      </c>
      <c r="N398" s="258" t="s">
        <v>784</v>
      </c>
      <c r="O398" s="258" t="s">
        <v>784</v>
      </c>
      <c r="P398" s="258" t="s">
        <v>784</v>
      </c>
      <c r="Q398" s="258" t="s">
        <v>784</v>
      </c>
      <c r="R398" s="258" t="s">
        <v>784</v>
      </c>
      <c r="S398" s="258" t="s">
        <v>784</v>
      </c>
      <c r="T398" s="258" t="s">
        <v>784</v>
      </c>
      <c r="U398" s="258" t="s">
        <v>784</v>
      </c>
      <c r="V398" s="258" t="s">
        <v>784</v>
      </c>
      <c r="W398" s="258" t="s">
        <v>784</v>
      </c>
      <c r="X398" s="258" t="s">
        <v>784</v>
      </c>
      <c r="Y398" s="258" t="s">
        <v>784</v>
      </c>
      <c r="Z398" s="258" t="s">
        <v>784</v>
      </c>
      <c r="AA398" s="258" t="s">
        <v>784</v>
      </c>
      <c r="AB398" s="258" t="s">
        <v>784</v>
      </c>
      <c r="AC398" s="258" t="s">
        <v>784</v>
      </c>
      <c r="AD398" s="258" t="s">
        <v>784</v>
      </c>
      <c r="AE398" s="258" t="s">
        <v>784</v>
      </c>
      <c r="AF398" s="258" t="s">
        <v>784</v>
      </c>
      <c r="AG398" s="258" t="s">
        <v>784</v>
      </c>
      <c r="AH398" s="258" t="s">
        <v>784</v>
      </c>
      <c r="AI398" s="258" t="s">
        <v>784</v>
      </c>
      <c r="AJ398" s="258" t="s">
        <v>784</v>
      </c>
      <c r="AK398" s="258" t="s">
        <v>784</v>
      </c>
      <c r="AL398" s="258" t="s">
        <v>784</v>
      </c>
      <c r="AM398" s="258" t="s">
        <v>784</v>
      </c>
      <c r="AN398" s="258" t="s">
        <v>784</v>
      </c>
      <c r="AO398" s="258" t="s">
        <v>784</v>
      </c>
      <c r="AP398" s="258" t="s">
        <v>784</v>
      </c>
      <c r="AQ398" s="258" t="s">
        <v>784</v>
      </c>
      <c r="AR398" s="258" t="s">
        <v>784</v>
      </c>
      <c r="AS398" s="258" t="s">
        <v>784</v>
      </c>
      <c r="AT398" s="258" t="s">
        <v>784</v>
      </c>
      <c r="AU398" s="258" t="s">
        <v>784</v>
      </c>
      <c r="AV398" s="258" t="s">
        <v>784</v>
      </c>
      <c r="AW398" s="258" t="s">
        <v>784</v>
      </c>
      <c r="AX398" s="258" t="s">
        <v>784</v>
      </c>
      <c r="AY398" s="258" t="s">
        <v>784</v>
      </c>
      <c r="AZ398" s="258" t="s">
        <v>784</v>
      </c>
      <c r="BA398" s="258" t="s">
        <v>784</v>
      </c>
      <c r="BB398" s="258" t="s">
        <v>784</v>
      </c>
      <c r="BC398" s="258" t="s">
        <v>784</v>
      </c>
      <c r="BD398" s="258" t="s">
        <v>784</v>
      </c>
      <c r="BE398" s="258" t="s">
        <v>784</v>
      </c>
      <c r="BF398" s="258" t="s">
        <v>784</v>
      </c>
    </row>
    <row r="399" spans="1:58" x14ac:dyDescent="0.3">
      <c r="A399" s="257" t="s">
        <v>1092</v>
      </c>
      <c r="B399" s="258" t="s">
        <v>784</v>
      </c>
      <c r="C399" s="258" t="s">
        <v>784</v>
      </c>
      <c r="D399" s="258" t="s">
        <v>784</v>
      </c>
      <c r="E399" s="258" t="s">
        <v>784</v>
      </c>
      <c r="F399" s="258" t="s">
        <v>784</v>
      </c>
      <c r="G399" s="258" t="s">
        <v>784</v>
      </c>
      <c r="H399" s="258" t="s">
        <v>784</v>
      </c>
      <c r="I399" s="258" t="s">
        <v>784</v>
      </c>
      <c r="J399" s="258" t="s">
        <v>784</v>
      </c>
      <c r="K399" s="258" t="s">
        <v>784</v>
      </c>
      <c r="L399" s="258" t="s">
        <v>784</v>
      </c>
      <c r="M399" s="258" t="s">
        <v>784</v>
      </c>
      <c r="N399" s="258" t="s">
        <v>784</v>
      </c>
      <c r="O399" s="258" t="s">
        <v>784</v>
      </c>
      <c r="P399" s="258" t="s">
        <v>784</v>
      </c>
      <c r="Q399" s="258" t="s">
        <v>784</v>
      </c>
      <c r="R399" s="258" t="s">
        <v>784</v>
      </c>
      <c r="S399" s="258" t="s">
        <v>784</v>
      </c>
      <c r="T399" s="258" t="s">
        <v>784</v>
      </c>
      <c r="U399" s="258" t="s">
        <v>784</v>
      </c>
      <c r="V399" s="258" t="s">
        <v>784</v>
      </c>
      <c r="W399" s="258" t="s">
        <v>784</v>
      </c>
      <c r="X399" s="258" t="s">
        <v>784</v>
      </c>
      <c r="Y399" s="258" t="s">
        <v>784</v>
      </c>
      <c r="Z399" s="258" t="s">
        <v>784</v>
      </c>
      <c r="AA399" s="258" t="s">
        <v>784</v>
      </c>
      <c r="AB399" s="258" t="s">
        <v>784</v>
      </c>
      <c r="AC399" s="258" t="s">
        <v>784</v>
      </c>
      <c r="AD399" s="258" t="s">
        <v>784</v>
      </c>
      <c r="AE399" s="258" t="s">
        <v>784</v>
      </c>
      <c r="AF399" s="258" t="s">
        <v>784</v>
      </c>
      <c r="AG399" s="258" t="s">
        <v>784</v>
      </c>
      <c r="AH399" s="258" t="s">
        <v>784</v>
      </c>
      <c r="AI399" s="258" t="s">
        <v>784</v>
      </c>
      <c r="AJ399" s="258" t="s">
        <v>784</v>
      </c>
      <c r="AK399" s="258" t="s">
        <v>784</v>
      </c>
      <c r="AL399" s="258" t="s">
        <v>784</v>
      </c>
      <c r="AM399" s="258" t="s">
        <v>784</v>
      </c>
      <c r="AN399" s="258" t="s">
        <v>784</v>
      </c>
      <c r="AO399" s="258" t="s">
        <v>784</v>
      </c>
      <c r="AP399" s="258" t="s">
        <v>784</v>
      </c>
      <c r="AQ399" s="258" t="s">
        <v>784</v>
      </c>
      <c r="AR399" s="258" t="s">
        <v>784</v>
      </c>
      <c r="AS399" s="258" t="s">
        <v>784</v>
      </c>
      <c r="AT399" s="258" t="s">
        <v>784</v>
      </c>
      <c r="AU399" s="258" t="s">
        <v>784</v>
      </c>
      <c r="AV399" s="258" t="s">
        <v>784</v>
      </c>
      <c r="AW399" s="258" t="s">
        <v>784</v>
      </c>
      <c r="AX399" s="258" t="s">
        <v>784</v>
      </c>
      <c r="AY399" s="258" t="s">
        <v>784</v>
      </c>
      <c r="AZ399" s="258" t="s">
        <v>784</v>
      </c>
      <c r="BA399" s="258" t="s">
        <v>784</v>
      </c>
      <c r="BB399" s="258" t="s">
        <v>784</v>
      </c>
      <c r="BC399" s="258" t="s">
        <v>784</v>
      </c>
      <c r="BD399" s="258" t="s">
        <v>784</v>
      </c>
      <c r="BE399" s="258" t="s">
        <v>784</v>
      </c>
      <c r="BF399" s="258" t="s">
        <v>784</v>
      </c>
    </row>
    <row r="400" spans="1:58" x14ac:dyDescent="0.3">
      <c r="A400" s="257" t="s">
        <v>1093</v>
      </c>
      <c r="B400" s="258" t="s">
        <v>784</v>
      </c>
      <c r="C400" s="258" t="s">
        <v>784</v>
      </c>
      <c r="D400" s="258" t="s">
        <v>784</v>
      </c>
      <c r="E400" s="258" t="s">
        <v>784</v>
      </c>
      <c r="F400" s="258" t="s">
        <v>784</v>
      </c>
      <c r="G400" s="258" t="s">
        <v>784</v>
      </c>
      <c r="H400" s="258" t="s">
        <v>784</v>
      </c>
      <c r="I400" s="258" t="s">
        <v>784</v>
      </c>
      <c r="J400" s="258" t="s">
        <v>784</v>
      </c>
      <c r="K400" s="258" t="s">
        <v>784</v>
      </c>
      <c r="L400" s="258" t="s">
        <v>784</v>
      </c>
      <c r="M400" s="258" t="s">
        <v>784</v>
      </c>
      <c r="N400" s="258" t="s">
        <v>784</v>
      </c>
      <c r="O400" s="258" t="s">
        <v>784</v>
      </c>
      <c r="P400" s="258" t="s">
        <v>784</v>
      </c>
      <c r="Q400" s="258" t="s">
        <v>784</v>
      </c>
      <c r="R400" s="258" t="s">
        <v>784</v>
      </c>
      <c r="S400" s="258" t="s">
        <v>784</v>
      </c>
      <c r="T400" s="258" t="s">
        <v>784</v>
      </c>
      <c r="U400" s="258" t="s">
        <v>784</v>
      </c>
      <c r="V400" s="258" t="s">
        <v>784</v>
      </c>
      <c r="W400" s="258" t="s">
        <v>784</v>
      </c>
      <c r="X400" s="258" t="s">
        <v>784</v>
      </c>
      <c r="Y400" s="258" t="s">
        <v>784</v>
      </c>
      <c r="Z400" s="258" t="s">
        <v>784</v>
      </c>
      <c r="AA400" s="258" t="s">
        <v>784</v>
      </c>
      <c r="AB400" s="258" t="s">
        <v>784</v>
      </c>
      <c r="AC400" s="258" t="s">
        <v>784</v>
      </c>
      <c r="AD400" s="258" t="s">
        <v>784</v>
      </c>
      <c r="AE400" s="258" t="s">
        <v>784</v>
      </c>
      <c r="AF400" s="258" t="s">
        <v>784</v>
      </c>
      <c r="AG400" s="258" t="s">
        <v>784</v>
      </c>
      <c r="AH400" s="258" t="s">
        <v>784</v>
      </c>
      <c r="AI400" s="258" t="s">
        <v>784</v>
      </c>
      <c r="AJ400" s="258" t="s">
        <v>784</v>
      </c>
      <c r="AK400" s="258" t="s">
        <v>784</v>
      </c>
      <c r="AL400" s="258" t="s">
        <v>784</v>
      </c>
      <c r="AM400" s="258" t="s">
        <v>784</v>
      </c>
      <c r="AN400" s="258" t="s">
        <v>784</v>
      </c>
      <c r="AO400" s="258" t="s">
        <v>784</v>
      </c>
      <c r="AP400" s="258" t="s">
        <v>784</v>
      </c>
      <c r="AQ400" s="258" t="s">
        <v>784</v>
      </c>
      <c r="AR400" s="258" t="s">
        <v>784</v>
      </c>
      <c r="AS400" s="258" t="s">
        <v>784</v>
      </c>
      <c r="AT400" s="258" t="s">
        <v>784</v>
      </c>
      <c r="AU400" s="258" t="s">
        <v>784</v>
      </c>
      <c r="AV400" s="258" t="s">
        <v>784</v>
      </c>
      <c r="AW400" s="258" t="s">
        <v>784</v>
      </c>
      <c r="AX400" s="258" t="s">
        <v>784</v>
      </c>
      <c r="AY400" s="258" t="s">
        <v>784</v>
      </c>
      <c r="AZ400" s="258" t="s">
        <v>784</v>
      </c>
      <c r="BA400" s="258" t="s">
        <v>784</v>
      </c>
      <c r="BB400" s="258" t="s">
        <v>784</v>
      </c>
      <c r="BC400" s="258" t="s">
        <v>784</v>
      </c>
      <c r="BD400" s="258" t="s">
        <v>784</v>
      </c>
      <c r="BE400" s="258" t="s">
        <v>784</v>
      </c>
      <c r="BF400" s="258" t="s">
        <v>784</v>
      </c>
    </row>
    <row r="401" spans="1:58" x14ac:dyDescent="0.3">
      <c r="A401" s="257" t="s">
        <v>1094</v>
      </c>
      <c r="B401" s="258" t="s">
        <v>784</v>
      </c>
      <c r="C401" s="258" t="s">
        <v>784</v>
      </c>
      <c r="D401" s="258" t="s">
        <v>784</v>
      </c>
      <c r="E401" s="258" t="s">
        <v>784</v>
      </c>
      <c r="F401" s="258" t="s">
        <v>784</v>
      </c>
      <c r="G401" s="258" t="s">
        <v>784</v>
      </c>
      <c r="H401" s="258" t="s">
        <v>784</v>
      </c>
      <c r="I401" s="258" t="s">
        <v>784</v>
      </c>
      <c r="J401" s="258" t="s">
        <v>784</v>
      </c>
      <c r="K401" s="258" t="s">
        <v>784</v>
      </c>
      <c r="L401" s="258" t="s">
        <v>784</v>
      </c>
      <c r="M401" s="258" t="s">
        <v>784</v>
      </c>
      <c r="N401" s="258" t="s">
        <v>784</v>
      </c>
      <c r="O401" s="258" t="s">
        <v>784</v>
      </c>
      <c r="P401" s="258" t="s">
        <v>784</v>
      </c>
      <c r="Q401" s="258" t="s">
        <v>784</v>
      </c>
      <c r="R401" s="258" t="s">
        <v>784</v>
      </c>
      <c r="S401" s="258" t="s">
        <v>784</v>
      </c>
      <c r="T401" s="258" t="s">
        <v>784</v>
      </c>
      <c r="U401" s="258" t="s">
        <v>784</v>
      </c>
      <c r="V401" s="258" t="s">
        <v>784</v>
      </c>
      <c r="W401" s="258" t="s">
        <v>784</v>
      </c>
      <c r="X401" s="258" t="s">
        <v>784</v>
      </c>
      <c r="Y401" s="258" t="s">
        <v>784</v>
      </c>
      <c r="Z401" s="258" t="s">
        <v>784</v>
      </c>
      <c r="AA401" s="258" t="s">
        <v>784</v>
      </c>
      <c r="AB401" s="258" t="s">
        <v>784</v>
      </c>
      <c r="AC401" s="258" t="s">
        <v>784</v>
      </c>
      <c r="AD401" s="258" t="s">
        <v>784</v>
      </c>
      <c r="AE401" s="258" t="s">
        <v>784</v>
      </c>
      <c r="AF401" s="258" t="s">
        <v>784</v>
      </c>
      <c r="AG401" s="258" t="s">
        <v>784</v>
      </c>
      <c r="AH401" s="258" t="s">
        <v>784</v>
      </c>
      <c r="AI401" s="258" t="s">
        <v>784</v>
      </c>
      <c r="AJ401" s="258" t="s">
        <v>784</v>
      </c>
      <c r="AK401" s="258" t="s">
        <v>784</v>
      </c>
      <c r="AL401" s="258" t="s">
        <v>784</v>
      </c>
      <c r="AM401" s="258" t="s">
        <v>784</v>
      </c>
      <c r="AN401" s="258" t="s">
        <v>784</v>
      </c>
      <c r="AO401" s="258" t="s">
        <v>784</v>
      </c>
      <c r="AP401" s="258" t="s">
        <v>784</v>
      </c>
      <c r="AQ401" s="258" t="s">
        <v>784</v>
      </c>
      <c r="AR401" s="258" t="s">
        <v>784</v>
      </c>
      <c r="AS401" s="258" t="s">
        <v>784</v>
      </c>
      <c r="AT401" s="258" t="s">
        <v>784</v>
      </c>
      <c r="AU401" s="258" t="s">
        <v>784</v>
      </c>
      <c r="AV401" s="258" t="s">
        <v>784</v>
      </c>
      <c r="AW401" s="258" t="s">
        <v>784</v>
      </c>
      <c r="AX401" s="258" t="s">
        <v>784</v>
      </c>
      <c r="AY401" s="258" t="s">
        <v>784</v>
      </c>
      <c r="AZ401" s="258" t="s">
        <v>784</v>
      </c>
      <c r="BA401" s="258" t="s">
        <v>784</v>
      </c>
      <c r="BB401" s="258" t="s">
        <v>784</v>
      </c>
      <c r="BC401" s="258" t="s">
        <v>784</v>
      </c>
      <c r="BD401" s="258" t="s">
        <v>784</v>
      </c>
      <c r="BE401" s="258" t="s">
        <v>784</v>
      </c>
      <c r="BF401" s="258" t="s">
        <v>784</v>
      </c>
    </row>
    <row r="402" spans="1:58" x14ac:dyDescent="0.3">
      <c r="A402" s="257" t="s">
        <v>1095</v>
      </c>
      <c r="B402" s="258" t="s">
        <v>784</v>
      </c>
      <c r="C402" s="258" t="s">
        <v>784</v>
      </c>
      <c r="D402" s="258" t="s">
        <v>784</v>
      </c>
      <c r="E402" s="258" t="s">
        <v>784</v>
      </c>
      <c r="F402" s="258" t="s">
        <v>784</v>
      </c>
      <c r="G402" s="258" t="s">
        <v>784</v>
      </c>
      <c r="H402" s="258" t="s">
        <v>784</v>
      </c>
      <c r="I402" s="258" t="s">
        <v>784</v>
      </c>
      <c r="J402" s="258" t="s">
        <v>784</v>
      </c>
      <c r="K402" s="258" t="s">
        <v>784</v>
      </c>
      <c r="L402" s="258" t="s">
        <v>784</v>
      </c>
      <c r="M402" s="258" t="s">
        <v>784</v>
      </c>
      <c r="N402" s="258" t="s">
        <v>784</v>
      </c>
      <c r="O402" s="258" t="s">
        <v>784</v>
      </c>
      <c r="P402" s="258" t="s">
        <v>784</v>
      </c>
      <c r="Q402" s="258" t="s">
        <v>784</v>
      </c>
      <c r="R402" s="258" t="s">
        <v>784</v>
      </c>
      <c r="S402" s="258" t="s">
        <v>784</v>
      </c>
      <c r="T402" s="258" t="s">
        <v>784</v>
      </c>
      <c r="U402" s="258" t="s">
        <v>784</v>
      </c>
      <c r="V402" s="258" t="s">
        <v>784</v>
      </c>
      <c r="W402" s="258" t="s">
        <v>784</v>
      </c>
      <c r="X402" s="258" t="s">
        <v>784</v>
      </c>
      <c r="Y402" s="258" t="s">
        <v>784</v>
      </c>
      <c r="Z402" s="258" t="s">
        <v>784</v>
      </c>
      <c r="AA402" s="258" t="s">
        <v>784</v>
      </c>
      <c r="AB402" s="258" t="s">
        <v>784</v>
      </c>
      <c r="AC402" s="258" t="s">
        <v>784</v>
      </c>
      <c r="AD402" s="258" t="s">
        <v>784</v>
      </c>
      <c r="AE402" s="258" t="s">
        <v>784</v>
      </c>
      <c r="AF402" s="258" t="s">
        <v>784</v>
      </c>
      <c r="AG402" s="258" t="s">
        <v>784</v>
      </c>
      <c r="AH402" s="258" t="s">
        <v>784</v>
      </c>
      <c r="AI402" s="258" t="s">
        <v>784</v>
      </c>
      <c r="AJ402" s="258" t="s">
        <v>784</v>
      </c>
      <c r="AK402" s="258" t="s">
        <v>784</v>
      </c>
      <c r="AL402" s="258" t="s">
        <v>784</v>
      </c>
      <c r="AM402" s="258" t="s">
        <v>784</v>
      </c>
      <c r="AN402" s="258" t="s">
        <v>784</v>
      </c>
      <c r="AO402" s="258" t="s">
        <v>784</v>
      </c>
      <c r="AP402" s="258" t="s">
        <v>784</v>
      </c>
      <c r="AQ402" s="258" t="s">
        <v>784</v>
      </c>
      <c r="AR402" s="258" t="s">
        <v>784</v>
      </c>
      <c r="AS402" s="258" t="s">
        <v>784</v>
      </c>
      <c r="AT402" s="258" t="s">
        <v>784</v>
      </c>
      <c r="AU402" s="258" t="s">
        <v>784</v>
      </c>
      <c r="AV402" s="258" t="s">
        <v>784</v>
      </c>
      <c r="AW402" s="258" t="s">
        <v>784</v>
      </c>
      <c r="AX402" s="258" t="s">
        <v>784</v>
      </c>
      <c r="AY402" s="258" t="s">
        <v>784</v>
      </c>
      <c r="AZ402" s="258" t="s">
        <v>784</v>
      </c>
      <c r="BA402" s="258" t="s">
        <v>784</v>
      </c>
      <c r="BB402" s="258" t="s">
        <v>784</v>
      </c>
      <c r="BC402" s="258" t="s">
        <v>784</v>
      </c>
      <c r="BD402" s="258" t="s">
        <v>784</v>
      </c>
      <c r="BE402" s="258" t="s">
        <v>784</v>
      </c>
      <c r="BF402" s="258" t="s">
        <v>784</v>
      </c>
    </row>
    <row r="403" spans="1:58" x14ac:dyDescent="0.3">
      <c r="A403" s="257" t="s">
        <v>1096</v>
      </c>
      <c r="B403" s="258" t="s">
        <v>784</v>
      </c>
      <c r="C403" s="258" t="s">
        <v>784</v>
      </c>
      <c r="D403" s="258" t="s">
        <v>784</v>
      </c>
      <c r="E403" s="258" t="s">
        <v>784</v>
      </c>
      <c r="F403" s="258" t="s">
        <v>784</v>
      </c>
      <c r="G403" s="258" t="s">
        <v>784</v>
      </c>
      <c r="H403" s="258" t="s">
        <v>784</v>
      </c>
      <c r="I403" s="258" t="s">
        <v>784</v>
      </c>
      <c r="J403" s="258" t="s">
        <v>784</v>
      </c>
      <c r="K403" s="258" t="s">
        <v>784</v>
      </c>
      <c r="L403" s="258" t="s">
        <v>784</v>
      </c>
      <c r="M403" s="258" t="s">
        <v>784</v>
      </c>
      <c r="N403" s="258" t="s">
        <v>784</v>
      </c>
      <c r="O403" s="258" t="s">
        <v>784</v>
      </c>
      <c r="P403" s="258" t="s">
        <v>784</v>
      </c>
      <c r="Q403" s="258" t="s">
        <v>784</v>
      </c>
      <c r="R403" s="258" t="s">
        <v>784</v>
      </c>
      <c r="S403" s="258" t="s">
        <v>784</v>
      </c>
      <c r="T403" s="258" t="s">
        <v>784</v>
      </c>
      <c r="U403" s="258" t="s">
        <v>784</v>
      </c>
      <c r="V403" s="258" t="s">
        <v>784</v>
      </c>
      <c r="W403" s="258" t="s">
        <v>784</v>
      </c>
      <c r="X403" s="258" t="s">
        <v>784</v>
      </c>
      <c r="Y403" s="258" t="s">
        <v>784</v>
      </c>
      <c r="Z403" s="258" t="s">
        <v>784</v>
      </c>
      <c r="AA403" s="258" t="s">
        <v>784</v>
      </c>
      <c r="AB403" s="258" t="s">
        <v>784</v>
      </c>
      <c r="AC403" s="258" t="s">
        <v>784</v>
      </c>
      <c r="AD403" s="258" t="s">
        <v>784</v>
      </c>
      <c r="AE403" s="258" t="s">
        <v>784</v>
      </c>
      <c r="AF403" s="258" t="s">
        <v>784</v>
      </c>
      <c r="AG403" s="258" t="s">
        <v>784</v>
      </c>
      <c r="AH403" s="258" t="s">
        <v>784</v>
      </c>
      <c r="AI403" s="258" t="s">
        <v>784</v>
      </c>
      <c r="AJ403" s="258" t="s">
        <v>784</v>
      </c>
      <c r="AK403" s="258" t="s">
        <v>784</v>
      </c>
      <c r="AL403" s="258" t="s">
        <v>784</v>
      </c>
      <c r="AM403" s="258" t="s">
        <v>784</v>
      </c>
      <c r="AN403" s="258" t="s">
        <v>784</v>
      </c>
      <c r="AO403" s="258" t="s">
        <v>784</v>
      </c>
      <c r="AP403" s="258" t="s">
        <v>784</v>
      </c>
      <c r="AQ403" s="258" t="s">
        <v>784</v>
      </c>
      <c r="AR403" s="258" t="s">
        <v>784</v>
      </c>
      <c r="AS403" s="258" t="s">
        <v>784</v>
      </c>
      <c r="AT403" s="258" t="s">
        <v>784</v>
      </c>
      <c r="AU403" s="258" t="s">
        <v>784</v>
      </c>
      <c r="AV403" s="258" t="s">
        <v>784</v>
      </c>
      <c r="AW403" s="258" t="s">
        <v>784</v>
      </c>
      <c r="AX403" s="258" t="s">
        <v>784</v>
      </c>
      <c r="AY403" s="258" t="s">
        <v>784</v>
      </c>
      <c r="AZ403" s="258" t="s">
        <v>784</v>
      </c>
      <c r="BA403" s="258" t="s">
        <v>784</v>
      </c>
      <c r="BB403" s="258" t="s">
        <v>784</v>
      </c>
      <c r="BC403" s="258" t="s">
        <v>784</v>
      </c>
      <c r="BD403" s="258" t="s">
        <v>784</v>
      </c>
      <c r="BE403" s="258" t="s">
        <v>784</v>
      </c>
      <c r="BF403" s="258" t="s">
        <v>784</v>
      </c>
    </row>
    <row r="404" spans="1:58" x14ac:dyDescent="0.3">
      <c r="A404" s="257" t="s">
        <v>1097</v>
      </c>
      <c r="B404" s="258" t="s">
        <v>784</v>
      </c>
      <c r="C404" s="258" t="s">
        <v>784</v>
      </c>
      <c r="D404" s="258" t="s">
        <v>784</v>
      </c>
      <c r="E404" s="258" t="s">
        <v>784</v>
      </c>
      <c r="F404" s="258" t="s">
        <v>784</v>
      </c>
      <c r="G404" s="258" t="s">
        <v>784</v>
      </c>
      <c r="H404" s="258" t="s">
        <v>784</v>
      </c>
      <c r="I404" s="258" t="s">
        <v>784</v>
      </c>
      <c r="J404" s="258" t="s">
        <v>784</v>
      </c>
      <c r="K404" s="258" t="s">
        <v>784</v>
      </c>
      <c r="L404" s="258" t="s">
        <v>784</v>
      </c>
      <c r="M404" s="258" t="s">
        <v>784</v>
      </c>
      <c r="N404" s="258" t="s">
        <v>784</v>
      </c>
      <c r="O404" s="258" t="s">
        <v>784</v>
      </c>
      <c r="P404" s="258" t="s">
        <v>784</v>
      </c>
      <c r="Q404" s="258" t="s">
        <v>784</v>
      </c>
      <c r="R404" s="258" t="s">
        <v>784</v>
      </c>
      <c r="S404" s="258" t="s">
        <v>784</v>
      </c>
      <c r="T404" s="258" t="s">
        <v>784</v>
      </c>
      <c r="U404" s="258" t="s">
        <v>784</v>
      </c>
      <c r="V404" s="258" t="s">
        <v>784</v>
      </c>
      <c r="W404" s="258" t="s">
        <v>784</v>
      </c>
      <c r="X404" s="258" t="s">
        <v>784</v>
      </c>
      <c r="Y404" s="258" t="s">
        <v>784</v>
      </c>
      <c r="Z404" s="258" t="s">
        <v>784</v>
      </c>
      <c r="AA404" s="258" t="s">
        <v>784</v>
      </c>
      <c r="AB404" s="258" t="s">
        <v>784</v>
      </c>
      <c r="AC404" s="258" t="s">
        <v>784</v>
      </c>
      <c r="AD404" s="258" t="s">
        <v>784</v>
      </c>
      <c r="AE404" s="258" t="s">
        <v>784</v>
      </c>
      <c r="AF404" s="258" t="s">
        <v>784</v>
      </c>
      <c r="AG404" s="258" t="s">
        <v>784</v>
      </c>
      <c r="AH404" s="258" t="s">
        <v>784</v>
      </c>
      <c r="AI404" s="258" t="s">
        <v>784</v>
      </c>
      <c r="AJ404" s="258" t="s">
        <v>784</v>
      </c>
      <c r="AK404" s="258" t="s">
        <v>784</v>
      </c>
      <c r="AL404" s="258" t="s">
        <v>784</v>
      </c>
      <c r="AM404" s="258" t="s">
        <v>784</v>
      </c>
      <c r="AN404" s="258" t="s">
        <v>784</v>
      </c>
      <c r="AO404" s="258" t="s">
        <v>784</v>
      </c>
      <c r="AP404" s="258" t="s">
        <v>784</v>
      </c>
      <c r="AQ404" s="258" t="s">
        <v>784</v>
      </c>
      <c r="AR404" s="258" t="s">
        <v>784</v>
      </c>
      <c r="AS404" s="258" t="s">
        <v>784</v>
      </c>
      <c r="AT404" s="258" t="s">
        <v>784</v>
      </c>
      <c r="AU404" s="258" t="s">
        <v>784</v>
      </c>
      <c r="AV404" s="258" t="s">
        <v>784</v>
      </c>
      <c r="AW404" s="258" t="s">
        <v>784</v>
      </c>
      <c r="AX404" s="258" t="s">
        <v>784</v>
      </c>
      <c r="AY404" s="258" t="s">
        <v>784</v>
      </c>
      <c r="AZ404" s="258" t="s">
        <v>784</v>
      </c>
      <c r="BA404" s="258" t="s">
        <v>784</v>
      </c>
      <c r="BB404" s="258" t="s">
        <v>784</v>
      </c>
      <c r="BC404" s="258" t="s">
        <v>784</v>
      </c>
      <c r="BD404" s="258" t="s">
        <v>784</v>
      </c>
      <c r="BE404" s="258" t="s">
        <v>784</v>
      </c>
      <c r="BF404" s="258" t="s">
        <v>784</v>
      </c>
    </row>
    <row r="405" spans="1:58" x14ac:dyDescent="0.3">
      <c r="A405" s="257" t="s">
        <v>1098</v>
      </c>
      <c r="B405" s="258" t="s">
        <v>784</v>
      </c>
      <c r="C405" s="258" t="s">
        <v>784</v>
      </c>
      <c r="D405" s="258" t="s">
        <v>784</v>
      </c>
      <c r="E405" s="258" t="s">
        <v>784</v>
      </c>
      <c r="F405" s="258" t="s">
        <v>784</v>
      </c>
      <c r="G405" s="258" t="s">
        <v>784</v>
      </c>
      <c r="H405" s="258" t="s">
        <v>784</v>
      </c>
      <c r="I405" s="258" t="s">
        <v>784</v>
      </c>
      <c r="J405" s="258" t="s">
        <v>784</v>
      </c>
      <c r="K405" s="258" t="s">
        <v>784</v>
      </c>
      <c r="L405" s="258" t="s">
        <v>784</v>
      </c>
      <c r="M405" s="258" t="s">
        <v>784</v>
      </c>
      <c r="N405" s="258" t="s">
        <v>784</v>
      </c>
      <c r="O405" s="258" t="s">
        <v>784</v>
      </c>
      <c r="P405" s="258" t="s">
        <v>784</v>
      </c>
      <c r="Q405" s="258" t="s">
        <v>784</v>
      </c>
      <c r="R405" s="258" t="s">
        <v>784</v>
      </c>
      <c r="S405" s="258" t="s">
        <v>784</v>
      </c>
      <c r="T405" s="258" t="s">
        <v>784</v>
      </c>
      <c r="U405" s="258" t="s">
        <v>784</v>
      </c>
      <c r="V405" s="258" t="s">
        <v>784</v>
      </c>
      <c r="W405" s="258" t="s">
        <v>784</v>
      </c>
      <c r="X405" s="258" t="s">
        <v>784</v>
      </c>
      <c r="Y405" s="258" t="s">
        <v>784</v>
      </c>
      <c r="Z405" s="258" t="s">
        <v>784</v>
      </c>
      <c r="AA405" s="258" t="s">
        <v>784</v>
      </c>
      <c r="AB405" s="258" t="s">
        <v>784</v>
      </c>
      <c r="AC405" s="258" t="s">
        <v>784</v>
      </c>
      <c r="AD405" s="258" t="s">
        <v>784</v>
      </c>
      <c r="AE405" s="258" t="s">
        <v>784</v>
      </c>
      <c r="AF405" s="258" t="s">
        <v>784</v>
      </c>
      <c r="AG405" s="258" t="s">
        <v>784</v>
      </c>
      <c r="AH405" s="258" t="s">
        <v>784</v>
      </c>
      <c r="AI405" s="258" t="s">
        <v>784</v>
      </c>
      <c r="AJ405" s="258" t="s">
        <v>784</v>
      </c>
      <c r="AK405" s="258" t="s">
        <v>784</v>
      </c>
      <c r="AL405" s="258" t="s">
        <v>784</v>
      </c>
      <c r="AM405" s="258" t="s">
        <v>784</v>
      </c>
      <c r="AN405" s="258" t="s">
        <v>784</v>
      </c>
      <c r="AO405" s="258" t="s">
        <v>784</v>
      </c>
      <c r="AP405" s="258" t="s">
        <v>784</v>
      </c>
      <c r="AQ405" s="258" t="s">
        <v>784</v>
      </c>
      <c r="AR405" s="258" t="s">
        <v>784</v>
      </c>
      <c r="AS405" s="258" t="s">
        <v>784</v>
      </c>
      <c r="AT405" s="258" t="s">
        <v>784</v>
      </c>
      <c r="AU405" s="258" t="s">
        <v>784</v>
      </c>
      <c r="AV405" s="258" t="s">
        <v>784</v>
      </c>
      <c r="AW405" s="258" t="s">
        <v>784</v>
      </c>
      <c r="AX405" s="258" t="s">
        <v>784</v>
      </c>
      <c r="AY405" s="258" t="s">
        <v>784</v>
      </c>
      <c r="AZ405" s="258" t="s">
        <v>784</v>
      </c>
      <c r="BA405" s="258" t="s">
        <v>784</v>
      </c>
      <c r="BB405" s="258" t="s">
        <v>784</v>
      </c>
      <c r="BC405" s="258" t="s">
        <v>784</v>
      </c>
      <c r="BD405" s="258" t="s">
        <v>784</v>
      </c>
      <c r="BE405" s="258" t="s">
        <v>784</v>
      </c>
      <c r="BF405" s="258" t="s">
        <v>784</v>
      </c>
    </row>
    <row r="406" spans="1:58" x14ac:dyDescent="0.3">
      <c r="A406" s="257" t="s">
        <v>1099</v>
      </c>
      <c r="B406" s="258" t="s">
        <v>784</v>
      </c>
      <c r="C406" s="258" t="s">
        <v>784</v>
      </c>
      <c r="D406" s="258" t="s">
        <v>784</v>
      </c>
      <c r="E406" s="258" t="s">
        <v>784</v>
      </c>
      <c r="F406" s="258" t="s">
        <v>784</v>
      </c>
      <c r="G406" s="258" t="s">
        <v>784</v>
      </c>
      <c r="H406" s="258" t="s">
        <v>784</v>
      </c>
      <c r="I406" s="258" t="s">
        <v>784</v>
      </c>
      <c r="J406" s="258" t="s">
        <v>784</v>
      </c>
      <c r="K406" s="258" t="s">
        <v>784</v>
      </c>
      <c r="L406" s="258" t="s">
        <v>784</v>
      </c>
      <c r="M406" s="258" t="s">
        <v>784</v>
      </c>
      <c r="N406" s="258" t="s">
        <v>784</v>
      </c>
      <c r="O406" s="258" t="s">
        <v>784</v>
      </c>
      <c r="P406" s="258" t="s">
        <v>784</v>
      </c>
      <c r="Q406" s="258" t="s">
        <v>784</v>
      </c>
      <c r="R406" s="258" t="s">
        <v>784</v>
      </c>
      <c r="S406" s="258" t="s">
        <v>784</v>
      </c>
      <c r="T406" s="258" t="s">
        <v>784</v>
      </c>
      <c r="U406" s="258" t="s">
        <v>784</v>
      </c>
      <c r="V406" s="258" t="s">
        <v>784</v>
      </c>
      <c r="W406" s="258" t="s">
        <v>784</v>
      </c>
      <c r="X406" s="258" t="s">
        <v>784</v>
      </c>
      <c r="Y406" s="258" t="s">
        <v>784</v>
      </c>
      <c r="Z406" s="258" t="s">
        <v>784</v>
      </c>
      <c r="AA406" s="258" t="s">
        <v>784</v>
      </c>
      <c r="AB406" s="258" t="s">
        <v>784</v>
      </c>
      <c r="AC406" s="258" t="s">
        <v>784</v>
      </c>
      <c r="AD406" s="258" t="s">
        <v>784</v>
      </c>
      <c r="AE406" s="258" t="s">
        <v>784</v>
      </c>
      <c r="AF406" s="258" t="s">
        <v>784</v>
      </c>
      <c r="AG406" s="258" t="s">
        <v>784</v>
      </c>
      <c r="AH406" s="258" t="s">
        <v>784</v>
      </c>
      <c r="AI406" s="258" t="s">
        <v>784</v>
      </c>
      <c r="AJ406" s="258" t="s">
        <v>784</v>
      </c>
      <c r="AK406" s="258" t="s">
        <v>784</v>
      </c>
      <c r="AL406" s="258" t="s">
        <v>784</v>
      </c>
      <c r="AM406" s="258" t="s">
        <v>784</v>
      </c>
      <c r="AN406" s="258" t="s">
        <v>784</v>
      </c>
      <c r="AO406" s="258" t="s">
        <v>784</v>
      </c>
      <c r="AP406" s="258" t="s">
        <v>784</v>
      </c>
      <c r="AQ406" s="258" t="s">
        <v>784</v>
      </c>
      <c r="AR406" s="258" t="s">
        <v>784</v>
      </c>
      <c r="AS406" s="258" t="s">
        <v>784</v>
      </c>
      <c r="AT406" s="258" t="s">
        <v>784</v>
      </c>
      <c r="AU406" s="258" t="s">
        <v>784</v>
      </c>
      <c r="AV406" s="258" t="s">
        <v>784</v>
      </c>
      <c r="AW406" s="258" t="s">
        <v>784</v>
      </c>
      <c r="AX406" s="258" t="s">
        <v>784</v>
      </c>
      <c r="AY406" s="258" t="s">
        <v>784</v>
      </c>
      <c r="AZ406" s="258" t="s">
        <v>784</v>
      </c>
      <c r="BA406" s="258" t="s">
        <v>784</v>
      </c>
      <c r="BB406" s="258" t="s">
        <v>784</v>
      </c>
      <c r="BC406" s="258" t="s">
        <v>784</v>
      </c>
      <c r="BD406" s="258" t="s">
        <v>784</v>
      </c>
      <c r="BE406" s="258" t="s">
        <v>784</v>
      </c>
      <c r="BF406" s="258" t="s">
        <v>784</v>
      </c>
    </row>
    <row r="407" spans="1:58" x14ac:dyDescent="0.3">
      <c r="A407" s="252" t="s">
        <v>1100</v>
      </c>
      <c r="B407" s="253" t="s">
        <v>784</v>
      </c>
      <c r="C407" s="253" t="s">
        <v>784</v>
      </c>
      <c r="D407" s="253" t="s">
        <v>784</v>
      </c>
      <c r="E407" s="253" t="s">
        <v>784</v>
      </c>
      <c r="F407" s="253" t="s">
        <v>784</v>
      </c>
      <c r="G407" s="253" t="s">
        <v>784</v>
      </c>
      <c r="H407" s="253" t="s">
        <v>784</v>
      </c>
      <c r="I407" s="253" t="s">
        <v>784</v>
      </c>
      <c r="J407" s="253" t="s">
        <v>784</v>
      </c>
      <c r="K407" s="253" t="s">
        <v>784</v>
      </c>
      <c r="L407" s="253" t="s">
        <v>784</v>
      </c>
      <c r="M407" s="253" t="s">
        <v>784</v>
      </c>
      <c r="N407" s="253" t="s">
        <v>784</v>
      </c>
      <c r="O407" s="253" t="s">
        <v>784</v>
      </c>
      <c r="P407" s="253" t="s">
        <v>784</v>
      </c>
      <c r="Q407" s="253" t="s">
        <v>784</v>
      </c>
      <c r="R407" s="253" t="s">
        <v>784</v>
      </c>
      <c r="S407" s="253" t="s">
        <v>784</v>
      </c>
      <c r="T407" s="253" t="s">
        <v>784</v>
      </c>
      <c r="U407" s="253" t="s">
        <v>784</v>
      </c>
      <c r="V407" s="253" t="s">
        <v>784</v>
      </c>
      <c r="W407" s="253" t="s">
        <v>784</v>
      </c>
      <c r="X407" s="253" t="s">
        <v>784</v>
      </c>
      <c r="Y407" s="253" t="s">
        <v>784</v>
      </c>
      <c r="Z407" s="253" t="s">
        <v>784</v>
      </c>
      <c r="AA407" s="253" t="s">
        <v>784</v>
      </c>
      <c r="AB407" s="253" t="s">
        <v>784</v>
      </c>
      <c r="AC407" s="253" t="s">
        <v>784</v>
      </c>
      <c r="AD407" s="253" t="s">
        <v>784</v>
      </c>
      <c r="AE407" s="253" t="s">
        <v>784</v>
      </c>
      <c r="AF407" s="253" t="s">
        <v>784</v>
      </c>
      <c r="AG407" s="253" t="s">
        <v>784</v>
      </c>
      <c r="AH407" s="253" t="s">
        <v>784</v>
      </c>
      <c r="AI407" s="253" t="s">
        <v>784</v>
      </c>
      <c r="AJ407" s="253" t="s">
        <v>784</v>
      </c>
      <c r="AK407" s="253" t="s">
        <v>784</v>
      </c>
      <c r="AL407" s="253" t="s">
        <v>784</v>
      </c>
      <c r="AM407" s="253" t="s">
        <v>784</v>
      </c>
      <c r="AN407" s="253" t="s">
        <v>784</v>
      </c>
      <c r="AO407" s="253" t="s">
        <v>784</v>
      </c>
      <c r="AP407" s="253" t="s">
        <v>784</v>
      </c>
      <c r="AQ407" s="253" t="s">
        <v>784</v>
      </c>
      <c r="AR407" s="253" t="s">
        <v>784</v>
      </c>
      <c r="AS407" s="253" t="s">
        <v>784</v>
      </c>
      <c r="AT407" s="253" t="s">
        <v>784</v>
      </c>
      <c r="AU407" s="253" t="s">
        <v>784</v>
      </c>
      <c r="AV407" s="253" t="s">
        <v>784</v>
      </c>
      <c r="AW407" s="253" t="s">
        <v>784</v>
      </c>
      <c r="AX407" s="253" t="s">
        <v>784</v>
      </c>
      <c r="AY407" s="253" t="s">
        <v>784</v>
      </c>
      <c r="AZ407" s="253" t="s">
        <v>784</v>
      </c>
      <c r="BA407" s="253" t="s">
        <v>784</v>
      </c>
      <c r="BB407" s="253" t="s">
        <v>784</v>
      </c>
      <c r="BC407" s="253" t="s">
        <v>784</v>
      </c>
      <c r="BD407" s="253" t="s">
        <v>784</v>
      </c>
      <c r="BE407" s="253" t="s">
        <v>784</v>
      </c>
      <c r="BF407" s="253" t="s">
        <v>784</v>
      </c>
    </row>
    <row r="408" spans="1:58" x14ac:dyDescent="0.3">
      <c r="A408" s="255" t="s">
        <v>1101</v>
      </c>
      <c r="B408" s="261" t="s">
        <v>784</v>
      </c>
      <c r="C408" s="261" t="s">
        <v>784</v>
      </c>
      <c r="D408" s="261" t="s">
        <v>784</v>
      </c>
      <c r="E408" s="261" t="s">
        <v>784</v>
      </c>
      <c r="F408" s="261" t="s">
        <v>784</v>
      </c>
      <c r="G408" s="261" t="s">
        <v>784</v>
      </c>
      <c r="H408" s="261" t="s">
        <v>784</v>
      </c>
      <c r="I408" s="261" t="s">
        <v>784</v>
      </c>
      <c r="J408" s="261" t="s">
        <v>784</v>
      </c>
      <c r="K408" s="261" t="s">
        <v>784</v>
      </c>
      <c r="L408" s="261" t="s">
        <v>784</v>
      </c>
      <c r="M408" s="261" t="s">
        <v>784</v>
      </c>
      <c r="N408" s="261" t="s">
        <v>784</v>
      </c>
      <c r="O408" s="261" t="s">
        <v>784</v>
      </c>
      <c r="P408" s="261" t="s">
        <v>784</v>
      </c>
      <c r="Q408" s="261" t="s">
        <v>784</v>
      </c>
      <c r="R408" s="261" t="s">
        <v>784</v>
      </c>
      <c r="S408" s="261" t="s">
        <v>784</v>
      </c>
      <c r="T408" s="261" t="s">
        <v>784</v>
      </c>
      <c r="U408" s="261" t="s">
        <v>784</v>
      </c>
      <c r="V408" s="261" t="s">
        <v>784</v>
      </c>
      <c r="W408" s="261" t="s">
        <v>784</v>
      </c>
      <c r="X408" s="261" t="s">
        <v>784</v>
      </c>
      <c r="Y408" s="261" t="s">
        <v>784</v>
      </c>
      <c r="Z408" s="261" t="s">
        <v>784</v>
      </c>
      <c r="AA408" s="261" t="s">
        <v>784</v>
      </c>
      <c r="AB408" s="261" t="s">
        <v>784</v>
      </c>
      <c r="AC408" s="261" t="s">
        <v>784</v>
      </c>
      <c r="AD408" s="261" t="s">
        <v>784</v>
      </c>
      <c r="AE408" s="261" t="s">
        <v>784</v>
      </c>
      <c r="AF408" s="261" t="s">
        <v>784</v>
      </c>
      <c r="AG408" s="261" t="s">
        <v>784</v>
      </c>
      <c r="AH408" s="261" t="s">
        <v>784</v>
      </c>
      <c r="AI408" s="261" t="s">
        <v>784</v>
      </c>
      <c r="AJ408" s="261" t="s">
        <v>784</v>
      </c>
      <c r="AK408" s="261" t="s">
        <v>784</v>
      </c>
      <c r="AL408" s="261" t="s">
        <v>784</v>
      </c>
      <c r="AM408" s="261" t="s">
        <v>784</v>
      </c>
      <c r="AN408" s="261" t="s">
        <v>784</v>
      </c>
      <c r="AO408" s="261" t="s">
        <v>784</v>
      </c>
      <c r="AP408" s="261" t="s">
        <v>784</v>
      </c>
      <c r="AQ408" s="261" t="s">
        <v>784</v>
      </c>
      <c r="AR408" s="261" t="s">
        <v>784</v>
      </c>
      <c r="AS408" s="261" t="s">
        <v>784</v>
      </c>
      <c r="AT408" s="261" t="s">
        <v>784</v>
      </c>
      <c r="AU408" s="261" t="s">
        <v>784</v>
      </c>
      <c r="AV408" s="261" t="s">
        <v>784</v>
      </c>
      <c r="AW408" s="261" t="s">
        <v>784</v>
      </c>
      <c r="AX408" s="261" t="s">
        <v>784</v>
      </c>
      <c r="AY408" s="261" t="s">
        <v>784</v>
      </c>
      <c r="AZ408" s="261" t="s">
        <v>784</v>
      </c>
      <c r="BA408" s="261" t="s">
        <v>784</v>
      </c>
      <c r="BB408" s="261" t="s">
        <v>784</v>
      </c>
      <c r="BC408" s="261" t="s">
        <v>784</v>
      </c>
      <c r="BD408" s="261" t="s">
        <v>784</v>
      </c>
      <c r="BE408" s="261" t="s">
        <v>784</v>
      </c>
      <c r="BF408" s="261" t="s">
        <v>784</v>
      </c>
    </row>
    <row r="409" spans="1:58" x14ac:dyDescent="0.3">
      <c r="A409" s="257" t="s">
        <v>1102</v>
      </c>
      <c r="B409" s="258" t="s">
        <v>784</v>
      </c>
      <c r="C409" s="258" t="s">
        <v>784</v>
      </c>
      <c r="D409" s="258" t="s">
        <v>784</v>
      </c>
      <c r="E409" s="258" t="s">
        <v>784</v>
      </c>
      <c r="F409" s="258" t="s">
        <v>784</v>
      </c>
      <c r="G409" s="258" t="s">
        <v>784</v>
      </c>
      <c r="H409" s="258" t="s">
        <v>784</v>
      </c>
      <c r="I409" s="258" t="s">
        <v>784</v>
      </c>
      <c r="J409" s="258" t="s">
        <v>784</v>
      </c>
      <c r="K409" s="258" t="s">
        <v>784</v>
      </c>
      <c r="L409" s="258" t="s">
        <v>784</v>
      </c>
      <c r="M409" s="258" t="s">
        <v>784</v>
      </c>
      <c r="N409" s="258" t="s">
        <v>784</v>
      </c>
      <c r="O409" s="258" t="s">
        <v>784</v>
      </c>
      <c r="P409" s="258" t="s">
        <v>784</v>
      </c>
      <c r="Q409" s="258" t="s">
        <v>784</v>
      </c>
      <c r="R409" s="258" t="s">
        <v>784</v>
      </c>
      <c r="S409" s="258" t="s">
        <v>784</v>
      </c>
      <c r="T409" s="258" t="s">
        <v>784</v>
      </c>
      <c r="U409" s="258" t="s">
        <v>784</v>
      </c>
      <c r="V409" s="258" t="s">
        <v>784</v>
      </c>
      <c r="W409" s="258" t="s">
        <v>784</v>
      </c>
      <c r="X409" s="258" t="s">
        <v>784</v>
      </c>
      <c r="Y409" s="258" t="s">
        <v>784</v>
      </c>
      <c r="Z409" s="258" t="s">
        <v>784</v>
      </c>
      <c r="AA409" s="258" t="s">
        <v>784</v>
      </c>
      <c r="AB409" s="258" t="s">
        <v>784</v>
      </c>
      <c r="AC409" s="258" t="s">
        <v>784</v>
      </c>
      <c r="AD409" s="258" t="s">
        <v>784</v>
      </c>
      <c r="AE409" s="258" t="s">
        <v>784</v>
      </c>
      <c r="AF409" s="258" t="s">
        <v>784</v>
      </c>
      <c r="AG409" s="258" t="s">
        <v>784</v>
      </c>
      <c r="AH409" s="258" t="s">
        <v>784</v>
      </c>
      <c r="AI409" s="258" t="s">
        <v>784</v>
      </c>
      <c r="AJ409" s="258" t="s">
        <v>784</v>
      </c>
      <c r="AK409" s="258" t="s">
        <v>784</v>
      </c>
      <c r="AL409" s="258" t="s">
        <v>784</v>
      </c>
      <c r="AM409" s="258" t="s">
        <v>784</v>
      </c>
      <c r="AN409" s="258" t="s">
        <v>784</v>
      </c>
      <c r="AO409" s="258" t="s">
        <v>784</v>
      </c>
      <c r="AP409" s="258" t="s">
        <v>784</v>
      </c>
      <c r="AQ409" s="258" t="s">
        <v>784</v>
      </c>
      <c r="AR409" s="258" t="s">
        <v>784</v>
      </c>
      <c r="AS409" s="258" t="s">
        <v>784</v>
      </c>
      <c r="AT409" s="258" t="s">
        <v>784</v>
      </c>
      <c r="AU409" s="258" t="s">
        <v>784</v>
      </c>
      <c r="AV409" s="258" t="s">
        <v>784</v>
      </c>
      <c r="AW409" s="258" t="s">
        <v>784</v>
      </c>
      <c r="AX409" s="258" t="s">
        <v>784</v>
      </c>
      <c r="AY409" s="258" t="s">
        <v>784</v>
      </c>
      <c r="AZ409" s="258" t="s">
        <v>784</v>
      </c>
      <c r="BA409" s="258" t="s">
        <v>784</v>
      </c>
      <c r="BB409" s="258" t="s">
        <v>784</v>
      </c>
      <c r="BC409" s="258" t="s">
        <v>784</v>
      </c>
      <c r="BD409" s="258" t="s">
        <v>784</v>
      </c>
      <c r="BE409" s="258" t="s">
        <v>784</v>
      </c>
      <c r="BF409" s="258" t="s">
        <v>784</v>
      </c>
    </row>
    <row r="410" spans="1:58" x14ac:dyDescent="0.3">
      <c r="A410" s="257" t="s">
        <v>1103</v>
      </c>
      <c r="B410" s="258" t="s">
        <v>784</v>
      </c>
      <c r="C410" s="258" t="s">
        <v>784</v>
      </c>
      <c r="D410" s="258" t="s">
        <v>784</v>
      </c>
      <c r="E410" s="258" t="s">
        <v>784</v>
      </c>
      <c r="F410" s="258" t="s">
        <v>784</v>
      </c>
      <c r="G410" s="258" t="s">
        <v>784</v>
      </c>
      <c r="H410" s="258" t="s">
        <v>784</v>
      </c>
      <c r="I410" s="258" t="s">
        <v>784</v>
      </c>
      <c r="J410" s="258" t="s">
        <v>784</v>
      </c>
      <c r="K410" s="258" t="s">
        <v>784</v>
      </c>
      <c r="L410" s="258" t="s">
        <v>784</v>
      </c>
      <c r="M410" s="258" t="s">
        <v>784</v>
      </c>
      <c r="N410" s="258" t="s">
        <v>784</v>
      </c>
      <c r="O410" s="258" t="s">
        <v>784</v>
      </c>
      <c r="P410" s="258" t="s">
        <v>784</v>
      </c>
      <c r="Q410" s="258" t="s">
        <v>784</v>
      </c>
      <c r="R410" s="258" t="s">
        <v>784</v>
      </c>
      <c r="S410" s="258" t="s">
        <v>784</v>
      </c>
      <c r="T410" s="258" t="s">
        <v>784</v>
      </c>
      <c r="U410" s="258" t="s">
        <v>784</v>
      </c>
      <c r="V410" s="258" t="s">
        <v>784</v>
      </c>
      <c r="W410" s="258" t="s">
        <v>784</v>
      </c>
      <c r="X410" s="258" t="s">
        <v>784</v>
      </c>
      <c r="Y410" s="258" t="s">
        <v>784</v>
      </c>
      <c r="Z410" s="258" t="s">
        <v>784</v>
      </c>
      <c r="AA410" s="258" t="s">
        <v>784</v>
      </c>
      <c r="AB410" s="258" t="s">
        <v>784</v>
      </c>
      <c r="AC410" s="258" t="s">
        <v>784</v>
      </c>
      <c r="AD410" s="258" t="s">
        <v>784</v>
      </c>
      <c r="AE410" s="258" t="s">
        <v>784</v>
      </c>
      <c r="AF410" s="258" t="s">
        <v>784</v>
      </c>
      <c r="AG410" s="258" t="s">
        <v>784</v>
      </c>
      <c r="AH410" s="258" t="s">
        <v>784</v>
      </c>
      <c r="AI410" s="258" t="s">
        <v>784</v>
      </c>
      <c r="AJ410" s="258" t="s">
        <v>784</v>
      </c>
      <c r="AK410" s="258" t="s">
        <v>784</v>
      </c>
      <c r="AL410" s="258" t="s">
        <v>784</v>
      </c>
      <c r="AM410" s="258" t="s">
        <v>784</v>
      </c>
      <c r="AN410" s="258" t="s">
        <v>784</v>
      </c>
      <c r="AO410" s="258" t="s">
        <v>784</v>
      </c>
      <c r="AP410" s="258" t="s">
        <v>784</v>
      </c>
      <c r="AQ410" s="258" t="s">
        <v>784</v>
      </c>
      <c r="AR410" s="258" t="s">
        <v>784</v>
      </c>
      <c r="AS410" s="258" t="s">
        <v>784</v>
      </c>
      <c r="AT410" s="258" t="s">
        <v>784</v>
      </c>
      <c r="AU410" s="258" t="s">
        <v>784</v>
      </c>
      <c r="AV410" s="258" t="s">
        <v>784</v>
      </c>
      <c r="AW410" s="258" t="s">
        <v>784</v>
      </c>
      <c r="AX410" s="258" t="s">
        <v>784</v>
      </c>
      <c r="AY410" s="258" t="s">
        <v>784</v>
      </c>
      <c r="AZ410" s="258" t="s">
        <v>784</v>
      </c>
      <c r="BA410" s="258" t="s">
        <v>784</v>
      </c>
      <c r="BB410" s="258" t="s">
        <v>784</v>
      </c>
      <c r="BC410" s="258" t="s">
        <v>784</v>
      </c>
      <c r="BD410" s="258" t="s">
        <v>784</v>
      </c>
      <c r="BE410" s="258" t="s">
        <v>784</v>
      </c>
      <c r="BF410" s="258" t="s">
        <v>784</v>
      </c>
    </row>
    <row r="411" spans="1:58" x14ac:dyDescent="0.3">
      <c r="A411" s="257" t="s">
        <v>1104</v>
      </c>
      <c r="B411" s="258" t="s">
        <v>784</v>
      </c>
      <c r="C411" s="258" t="s">
        <v>784</v>
      </c>
      <c r="D411" s="258" t="s">
        <v>784</v>
      </c>
      <c r="E411" s="258" t="s">
        <v>784</v>
      </c>
      <c r="F411" s="258" t="s">
        <v>784</v>
      </c>
      <c r="G411" s="258" t="s">
        <v>784</v>
      </c>
      <c r="H411" s="258" t="s">
        <v>784</v>
      </c>
      <c r="I411" s="258" t="s">
        <v>784</v>
      </c>
      <c r="J411" s="258" t="s">
        <v>784</v>
      </c>
      <c r="K411" s="258" t="s">
        <v>784</v>
      </c>
      <c r="L411" s="258" t="s">
        <v>784</v>
      </c>
      <c r="M411" s="258" t="s">
        <v>784</v>
      </c>
      <c r="N411" s="258" t="s">
        <v>784</v>
      </c>
      <c r="O411" s="258" t="s">
        <v>784</v>
      </c>
      <c r="P411" s="258" t="s">
        <v>784</v>
      </c>
      <c r="Q411" s="258" t="s">
        <v>784</v>
      </c>
      <c r="R411" s="258" t="s">
        <v>784</v>
      </c>
      <c r="S411" s="258" t="s">
        <v>784</v>
      </c>
      <c r="T411" s="258" t="s">
        <v>784</v>
      </c>
      <c r="U411" s="258" t="s">
        <v>784</v>
      </c>
      <c r="V411" s="258" t="s">
        <v>784</v>
      </c>
      <c r="W411" s="258" t="s">
        <v>784</v>
      </c>
      <c r="X411" s="258" t="s">
        <v>784</v>
      </c>
      <c r="Y411" s="258" t="s">
        <v>784</v>
      </c>
      <c r="Z411" s="258" t="s">
        <v>784</v>
      </c>
      <c r="AA411" s="258" t="s">
        <v>784</v>
      </c>
      <c r="AB411" s="258" t="s">
        <v>784</v>
      </c>
      <c r="AC411" s="258" t="s">
        <v>784</v>
      </c>
      <c r="AD411" s="258" t="s">
        <v>784</v>
      </c>
      <c r="AE411" s="258" t="s">
        <v>784</v>
      </c>
      <c r="AF411" s="258" t="s">
        <v>784</v>
      </c>
      <c r="AG411" s="258" t="s">
        <v>784</v>
      </c>
      <c r="AH411" s="258" t="s">
        <v>784</v>
      </c>
      <c r="AI411" s="258" t="s">
        <v>784</v>
      </c>
      <c r="AJ411" s="258" t="s">
        <v>784</v>
      </c>
      <c r="AK411" s="258" t="s">
        <v>784</v>
      </c>
      <c r="AL411" s="258" t="s">
        <v>784</v>
      </c>
      <c r="AM411" s="258" t="s">
        <v>784</v>
      </c>
      <c r="AN411" s="258" t="s">
        <v>784</v>
      </c>
      <c r="AO411" s="258" t="s">
        <v>784</v>
      </c>
      <c r="AP411" s="258" t="s">
        <v>784</v>
      </c>
      <c r="AQ411" s="258" t="s">
        <v>784</v>
      </c>
      <c r="AR411" s="258" t="s">
        <v>784</v>
      </c>
      <c r="AS411" s="258" t="s">
        <v>784</v>
      </c>
      <c r="AT411" s="258" t="s">
        <v>784</v>
      </c>
      <c r="AU411" s="258" t="s">
        <v>784</v>
      </c>
      <c r="AV411" s="258" t="s">
        <v>784</v>
      </c>
      <c r="AW411" s="258" t="s">
        <v>784</v>
      </c>
      <c r="AX411" s="258" t="s">
        <v>784</v>
      </c>
      <c r="AY411" s="258" t="s">
        <v>784</v>
      </c>
      <c r="AZ411" s="258" t="s">
        <v>784</v>
      </c>
      <c r="BA411" s="258" t="s">
        <v>784</v>
      </c>
      <c r="BB411" s="258" t="s">
        <v>784</v>
      </c>
      <c r="BC411" s="258" t="s">
        <v>784</v>
      </c>
      <c r="BD411" s="258" t="s">
        <v>784</v>
      </c>
      <c r="BE411" s="258" t="s">
        <v>784</v>
      </c>
      <c r="BF411" s="258" t="s">
        <v>784</v>
      </c>
    </row>
    <row r="412" spans="1:58" x14ac:dyDescent="0.3">
      <c r="A412" s="255" t="s">
        <v>1105</v>
      </c>
      <c r="B412" s="261" t="s">
        <v>784</v>
      </c>
      <c r="C412" s="261" t="s">
        <v>784</v>
      </c>
      <c r="D412" s="261" t="s">
        <v>784</v>
      </c>
      <c r="E412" s="261" t="s">
        <v>784</v>
      </c>
      <c r="F412" s="261" t="s">
        <v>784</v>
      </c>
      <c r="G412" s="261" t="s">
        <v>784</v>
      </c>
      <c r="H412" s="261" t="s">
        <v>784</v>
      </c>
      <c r="I412" s="261" t="s">
        <v>784</v>
      </c>
      <c r="J412" s="261" t="s">
        <v>784</v>
      </c>
      <c r="K412" s="261" t="s">
        <v>784</v>
      </c>
      <c r="L412" s="261" t="s">
        <v>784</v>
      </c>
      <c r="M412" s="261" t="s">
        <v>784</v>
      </c>
      <c r="N412" s="261" t="s">
        <v>784</v>
      </c>
      <c r="O412" s="261" t="s">
        <v>784</v>
      </c>
      <c r="P412" s="261" t="s">
        <v>784</v>
      </c>
      <c r="Q412" s="261" t="s">
        <v>784</v>
      </c>
      <c r="R412" s="261" t="s">
        <v>784</v>
      </c>
      <c r="S412" s="261" t="s">
        <v>784</v>
      </c>
      <c r="T412" s="261" t="s">
        <v>784</v>
      </c>
      <c r="U412" s="261" t="s">
        <v>784</v>
      </c>
      <c r="V412" s="261" t="s">
        <v>784</v>
      </c>
      <c r="W412" s="261" t="s">
        <v>784</v>
      </c>
      <c r="X412" s="261" t="s">
        <v>784</v>
      </c>
      <c r="Y412" s="261" t="s">
        <v>784</v>
      </c>
      <c r="Z412" s="261" t="s">
        <v>784</v>
      </c>
      <c r="AA412" s="261" t="s">
        <v>784</v>
      </c>
      <c r="AB412" s="261" t="s">
        <v>784</v>
      </c>
      <c r="AC412" s="261" t="s">
        <v>784</v>
      </c>
      <c r="AD412" s="261" t="s">
        <v>784</v>
      </c>
      <c r="AE412" s="261" t="s">
        <v>784</v>
      </c>
      <c r="AF412" s="261" t="s">
        <v>784</v>
      </c>
      <c r="AG412" s="261" t="s">
        <v>784</v>
      </c>
      <c r="AH412" s="261" t="s">
        <v>784</v>
      </c>
      <c r="AI412" s="261" t="s">
        <v>784</v>
      </c>
      <c r="AJ412" s="261" t="s">
        <v>784</v>
      </c>
      <c r="AK412" s="261" t="s">
        <v>784</v>
      </c>
      <c r="AL412" s="261" t="s">
        <v>784</v>
      </c>
      <c r="AM412" s="261" t="s">
        <v>784</v>
      </c>
      <c r="AN412" s="261" t="s">
        <v>784</v>
      </c>
      <c r="AO412" s="261" t="s">
        <v>784</v>
      </c>
      <c r="AP412" s="261" t="s">
        <v>784</v>
      </c>
      <c r="AQ412" s="261" t="s">
        <v>784</v>
      </c>
      <c r="AR412" s="261" t="s">
        <v>784</v>
      </c>
      <c r="AS412" s="261" t="s">
        <v>784</v>
      </c>
      <c r="AT412" s="261" t="s">
        <v>784</v>
      </c>
      <c r="AU412" s="261" t="s">
        <v>784</v>
      </c>
      <c r="AV412" s="261" t="s">
        <v>784</v>
      </c>
      <c r="AW412" s="261" t="s">
        <v>784</v>
      </c>
      <c r="AX412" s="261" t="s">
        <v>784</v>
      </c>
      <c r="AY412" s="261" t="s">
        <v>784</v>
      </c>
      <c r="AZ412" s="261" t="s">
        <v>784</v>
      </c>
      <c r="BA412" s="261" t="s">
        <v>784</v>
      </c>
      <c r="BB412" s="261" t="s">
        <v>784</v>
      </c>
      <c r="BC412" s="261" t="s">
        <v>784</v>
      </c>
      <c r="BD412" s="261" t="s">
        <v>784</v>
      </c>
      <c r="BE412" s="261" t="s">
        <v>784</v>
      </c>
      <c r="BF412" s="261" t="s">
        <v>784</v>
      </c>
    </row>
    <row r="413" spans="1:58" x14ac:dyDescent="0.3">
      <c r="A413" s="255" t="s">
        <v>1106</v>
      </c>
      <c r="B413" s="261" t="s">
        <v>784</v>
      </c>
      <c r="C413" s="261" t="s">
        <v>784</v>
      </c>
      <c r="D413" s="261" t="s">
        <v>784</v>
      </c>
      <c r="E413" s="261" t="s">
        <v>784</v>
      </c>
      <c r="F413" s="261" t="s">
        <v>784</v>
      </c>
      <c r="G413" s="261" t="s">
        <v>784</v>
      </c>
      <c r="H413" s="261" t="s">
        <v>784</v>
      </c>
      <c r="I413" s="261" t="s">
        <v>784</v>
      </c>
      <c r="J413" s="261" t="s">
        <v>784</v>
      </c>
      <c r="K413" s="261" t="s">
        <v>784</v>
      </c>
      <c r="L413" s="261" t="s">
        <v>784</v>
      </c>
      <c r="M413" s="261" t="s">
        <v>784</v>
      </c>
      <c r="N413" s="261" t="s">
        <v>784</v>
      </c>
      <c r="O413" s="261" t="s">
        <v>784</v>
      </c>
      <c r="P413" s="261" t="s">
        <v>784</v>
      </c>
      <c r="Q413" s="261" t="s">
        <v>784</v>
      </c>
      <c r="R413" s="261" t="s">
        <v>784</v>
      </c>
      <c r="S413" s="261" t="s">
        <v>784</v>
      </c>
      <c r="T413" s="261" t="s">
        <v>784</v>
      </c>
      <c r="U413" s="261" t="s">
        <v>784</v>
      </c>
      <c r="V413" s="261" t="s">
        <v>784</v>
      </c>
      <c r="W413" s="261" t="s">
        <v>784</v>
      </c>
      <c r="X413" s="261" t="s">
        <v>784</v>
      </c>
      <c r="Y413" s="261" t="s">
        <v>784</v>
      </c>
      <c r="Z413" s="261" t="s">
        <v>784</v>
      </c>
      <c r="AA413" s="261" t="s">
        <v>784</v>
      </c>
      <c r="AB413" s="261" t="s">
        <v>784</v>
      </c>
      <c r="AC413" s="261" t="s">
        <v>784</v>
      </c>
      <c r="AD413" s="261" t="s">
        <v>784</v>
      </c>
      <c r="AE413" s="261" t="s">
        <v>784</v>
      </c>
      <c r="AF413" s="261" t="s">
        <v>784</v>
      </c>
      <c r="AG413" s="261" t="s">
        <v>784</v>
      </c>
      <c r="AH413" s="261" t="s">
        <v>784</v>
      </c>
      <c r="AI413" s="261" t="s">
        <v>784</v>
      </c>
      <c r="AJ413" s="261" t="s">
        <v>784</v>
      </c>
      <c r="AK413" s="261" t="s">
        <v>784</v>
      </c>
      <c r="AL413" s="261" t="s">
        <v>784</v>
      </c>
      <c r="AM413" s="261" t="s">
        <v>784</v>
      </c>
      <c r="AN413" s="261" t="s">
        <v>784</v>
      </c>
      <c r="AO413" s="261" t="s">
        <v>784</v>
      </c>
      <c r="AP413" s="261" t="s">
        <v>784</v>
      </c>
      <c r="AQ413" s="261" t="s">
        <v>784</v>
      </c>
      <c r="AR413" s="261" t="s">
        <v>784</v>
      </c>
      <c r="AS413" s="261" t="s">
        <v>784</v>
      </c>
      <c r="AT413" s="261" t="s">
        <v>784</v>
      </c>
      <c r="AU413" s="261" t="s">
        <v>784</v>
      </c>
      <c r="AV413" s="261" t="s">
        <v>784</v>
      </c>
      <c r="AW413" s="261" t="s">
        <v>784</v>
      </c>
      <c r="AX413" s="261" t="s">
        <v>784</v>
      </c>
      <c r="AY413" s="261" t="s">
        <v>784</v>
      </c>
      <c r="AZ413" s="261" t="s">
        <v>784</v>
      </c>
      <c r="BA413" s="261" t="s">
        <v>784</v>
      </c>
      <c r="BB413" s="261" t="s">
        <v>784</v>
      </c>
      <c r="BC413" s="261" t="s">
        <v>784</v>
      </c>
      <c r="BD413" s="261" t="s">
        <v>784</v>
      </c>
      <c r="BE413" s="261" t="s">
        <v>784</v>
      </c>
      <c r="BF413" s="261" t="s">
        <v>784</v>
      </c>
    </row>
    <row r="414" spans="1:58" x14ac:dyDescent="0.3">
      <c r="A414" s="255" t="s">
        <v>1107</v>
      </c>
      <c r="B414" s="261" t="s">
        <v>784</v>
      </c>
      <c r="C414" s="261" t="s">
        <v>784</v>
      </c>
      <c r="D414" s="261" t="s">
        <v>784</v>
      </c>
      <c r="E414" s="261" t="s">
        <v>784</v>
      </c>
      <c r="F414" s="261" t="s">
        <v>784</v>
      </c>
      <c r="G414" s="261" t="s">
        <v>784</v>
      </c>
      <c r="H414" s="261" t="s">
        <v>784</v>
      </c>
      <c r="I414" s="261" t="s">
        <v>784</v>
      </c>
      <c r="J414" s="261" t="s">
        <v>784</v>
      </c>
      <c r="K414" s="261" t="s">
        <v>784</v>
      </c>
      <c r="L414" s="261" t="s">
        <v>784</v>
      </c>
      <c r="M414" s="261" t="s">
        <v>784</v>
      </c>
      <c r="N414" s="261" t="s">
        <v>784</v>
      </c>
      <c r="O414" s="261" t="s">
        <v>784</v>
      </c>
      <c r="P414" s="261" t="s">
        <v>784</v>
      </c>
      <c r="Q414" s="261" t="s">
        <v>784</v>
      </c>
      <c r="R414" s="261" t="s">
        <v>784</v>
      </c>
      <c r="S414" s="261" t="s">
        <v>784</v>
      </c>
      <c r="T414" s="261" t="s">
        <v>784</v>
      </c>
      <c r="U414" s="261" t="s">
        <v>784</v>
      </c>
      <c r="V414" s="261" t="s">
        <v>784</v>
      </c>
      <c r="W414" s="261" t="s">
        <v>784</v>
      </c>
      <c r="X414" s="261" t="s">
        <v>784</v>
      </c>
      <c r="Y414" s="261" t="s">
        <v>784</v>
      </c>
      <c r="Z414" s="261" t="s">
        <v>784</v>
      </c>
      <c r="AA414" s="261" t="s">
        <v>784</v>
      </c>
      <c r="AB414" s="261" t="s">
        <v>784</v>
      </c>
      <c r="AC414" s="261" t="s">
        <v>784</v>
      </c>
      <c r="AD414" s="261" t="s">
        <v>784</v>
      </c>
      <c r="AE414" s="261" t="s">
        <v>784</v>
      </c>
      <c r="AF414" s="261" t="s">
        <v>784</v>
      </c>
      <c r="AG414" s="261" t="s">
        <v>784</v>
      </c>
      <c r="AH414" s="261" t="s">
        <v>784</v>
      </c>
      <c r="AI414" s="261" t="s">
        <v>784</v>
      </c>
      <c r="AJ414" s="261" t="s">
        <v>784</v>
      </c>
      <c r="AK414" s="261" t="s">
        <v>784</v>
      </c>
      <c r="AL414" s="261" t="s">
        <v>784</v>
      </c>
      <c r="AM414" s="261" t="s">
        <v>784</v>
      </c>
      <c r="AN414" s="261" t="s">
        <v>784</v>
      </c>
      <c r="AO414" s="261" t="s">
        <v>784</v>
      </c>
      <c r="AP414" s="261" t="s">
        <v>784</v>
      </c>
      <c r="AQ414" s="261" t="s">
        <v>784</v>
      </c>
      <c r="AR414" s="261" t="s">
        <v>784</v>
      </c>
      <c r="AS414" s="261" t="s">
        <v>784</v>
      </c>
      <c r="AT414" s="261" t="s">
        <v>784</v>
      </c>
      <c r="AU414" s="261" t="s">
        <v>784</v>
      </c>
      <c r="AV414" s="261" t="s">
        <v>784</v>
      </c>
      <c r="AW414" s="261" t="s">
        <v>784</v>
      </c>
      <c r="AX414" s="261" t="s">
        <v>784</v>
      </c>
      <c r="AY414" s="261" t="s">
        <v>784</v>
      </c>
      <c r="AZ414" s="261" t="s">
        <v>784</v>
      </c>
      <c r="BA414" s="261" t="s">
        <v>784</v>
      </c>
      <c r="BB414" s="261" t="s">
        <v>784</v>
      </c>
      <c r="BC414" s="261" t="s">
        <v>784</v>
      </c>
      <c r="BD414" s="261" t="s">
        <v>784</v>
      </c>
      <c r="BE414" s="261" t="s">
        <v>784</v>
      </c>
      <c r="BF414" s="261" t="s">
        <v>784</v>
      </c>
    </row>
    <row r="415" spans="1:58" x14ac:dyDescent="0.3">
      <c r="A415" s="255" t="s">
        <v>1108</v>
      </c>
      <c r="B415" s="261" t="s">
        <v>784</v>
      </c>
      <c r="C415" s="261" t="s">
        <v>784</v>
      </c>
      <c r="D415" s="261" t="s">
        <v>784</v>
      </c>
      <c r="E415" s="261" t="s">
        <v>784</v>
      </c>
      <c r="F415" s="261" t="s">
        <v>784</v>
      </c>
      <c r="G415" s="261" t="s">
        <v>784</v>
      </c>
      <c r="H415" s="261" t="s">
        <v>784</v>
      </c>
      <c r="I415" s="261" t="s">
        <v>784</v>
      </c>
      <c r="J415" s="261" t="s">
        <v>784</v>
      </c>
      <c r="K415" s="261" t="s">
        <v>784</v>
      </c>
      <c r="L415" s="261" t="s">
        <v>784</v>
      </c>
      <c r="M415" s="261" t="s">
        <v>784</v>
      </c>
      <c r="N415" s="261" t="s">
        <v>784</v>
      </c>
      <c r="O415" s="261" t="s">
        <v>784</v>
      </c>
      <c r="P415" s="261" t="s">
        <v>784</v>
      </c>
      <c r="Q415" s="261" t="s">
        <v>784</v>
      </c>
      <c r="R415" s="261" t="s">
        <v>784</v>
      </c>
      <c r="S415" s="261" t="s">
        <v>784</v>
      </c>
      <c r="T415" s="261" t="s">
        <v>784</v>
      </c>
      <c r="U415" s="261" t="s">
        <v>784</v>
      </c>
      <c r="V415" s="261" t="s">
        <v>784</v>
      </c>
      <c r="W415" s="261" t="s">
        <v>784</v>
      </c>
      <c r="X415" s="261" t="s">
        <v>784</v>
      </c>
      <c r="Y415" s="261" t="s">
        <v>784</v>
      </c>
      <c r="Z415" s="261" t="s">
        <v>784</v>
      </c>
      <c r="AA415" s="261" t="s">
        <v>784</v>
      </c>
      <c r="AB415" s="261" t="s">
        <v>784</v>
      </c>
      <c r="AC415" s="261" t="s">
        <v>784</v>
      </c>
      <c r="AD415" s="261" t="s">
        <v>784</v>
      </c>
      <c r="AE415" s="261" t="s">
        <v>784</v>
      </c>
      <c r="AF415" s="261" t="s">
        <v>784</v>
      </c>
      <c r="AG415" s="261" t="s">
        <v>784</v>
      </c>
      <c r="AH415" s="261" t="s">
        <v>784</v>
      </c>
      <c r="AI415" s="261" t="s">
        <v>784</v>
      </c>
      <c r="AJ415" s="261" t="s">
        <v>784</v>
      </c>
      <c r="AK415" s="261" t="s">
        <v>784</v>
      </c>
      <c r="AL415" s="261" t="s">
        <v>784</v>
      </c>
      <c r="AM415" s="261" t="s">
        <v>784</v>
      </c>
      <c r="AN415" s="261" t="s">
        <v>784</v>
      </c>
      <c r="AO415" s="261" t="s">
        <v>784</v>
      </c>
      <c r="AP415" s="261" t="s">
        <v>784</v>
      </c>
      <c r="AQ415" s="261" t="s">
        <v>784</v>
      </c>
      <c r="AR415" s="261" t="s">
        <v>784</v>
      </c>
      <c r="AS415" s="261" t="s">
        <v>784</v>
      </c>
      <c r="AT415" s="261" t="s">
        <v>784</v>
      </c>
      <c r="AU415" s="261" t="s">
        <v>784</v>
      </c>
      <c r="AV415" s="261" t="s">
        <v>784</v>
      </c>
      <c r="AW415" s="261" t="s">
        <v>784</v>
      </c>
      <c r="AX415" s="261" t="s">
        <v>784</v>
      </c>
      <c r="AY415" s="261" t="s">
        <v>784</v>
      </c>
      <c r="AZ415" s="261" t="s">
        <v>784</v>
      </c>
      <c r="BA415" s="261" t="s">
        <v>784</v>
      </c>
      <c r="BB415" s="261" t="s">
        <v>784</v>
      </c>
      <c r="BC415" s="261" t="s">
        <v>784</v>
      </c>
      <c r="BD415" s="261" t="s">
        <v>784</v>
      </c>
      <c r="BE415" s="261" t="s">
        <v>784</v>
      </c>
      <c r="BF415" s="261" t="s">
        <v>784</v>
      </c>
    </row>
    <row r="416" spans="1:58" x14ac:dyDescent="0.3">
      <c r="A416" s="255" t="s">
        <v>1109</v>
      </c>
      <c r="B416" s="261" t="s">
        <v>784</v>
      </c>
      <c r="C416" s="261" t="s">
        <v>784</v>
      </c>
      <c r="D416" s="261" t="s">
        <v>784</v>
      </c>
      <c r="E416" s="261" t="s">
        <v>784</v>
      </c>
      <c r="F416" s="261" t="s">
        <v>784</v>
      </c>
      <c r="G416" s="261" t="s">
        <v>784</v>
      </c>
      <c r="H416" s="261" t="s">
        <v>784</v>
      </c>
      <c r="I416" s="261" t="s">
        <v>784</v>
      </c>
      <c r="J416" s="261" t="s">
        <v>784</v>
      </c>
      <c r="K416" s="261" t="s">
        <v>784</v>
      </c>
      <c r="L416" s="261" t="s">
        <v>784</v>
      </c>
      <c r="M416" s="261" t="s">
        <v>784</v>
      </c>
      <c r="N416" s="261" t="s">
        <v>784</v>
      </c>
      <c r="O416" s="261" t="s">
        <v>784</v>
      </c>
      <c r="P416" s="261" t="s">
        <v>784</v>
      </c>
      <c r="Q416" s="261" t="s">
        <v>784</v>
      </c>
      <c r="R416" s="261" t="s">
        <v>784</v>
      </c>
      <c r="S416" s="261" t="s">
        <v>784</v>
      </c>
      <c r="T416" s="261" t="s">
        <v>784</v>
      </c>
      <c r="U416" s="261" t="s">
        <v>784</v>
      </c>
      <c r="V416" s="261" t="s">
        <v>784</v>
      </c>
      <c r="W416" s="261" t="s">
        <v>784</v>
      </c>
      <c r="X416" s="261" t="s">
        <v>784</v>
      </c>
      <c r="Y416" s="261" t="s">
        <v>784</v>
      </c>
      <c r="Z416" s="261" t="s">
        <v>784</v>
      </c>
      <c r="AA416" s="261" t="s">
        <v>784</v>
      </c>
      <c r="AB416" s="261" t="s">
        <v>784</v>
      </c>
      <c r="AC416" s="261" t="s">
        <v>784</v>
      </c>
      <c r="AD416" s="261" t="s">
        <v>784</v>
      </c>
      <c r="AE416" s="261" t="s">
        <v>784</v>
      </c>
      <c r="AF416" s="261" t="s">
        <v>784</v>
      </c>
      <c r="AG416" s="261" t="s">
        <v>784</v>
      </c>
      <c r="AH416" s="261" t="s">
        <v>784</v>
      </c>
      <c r="AI416" s="261" t="s">
        <v>784</v>
      </c>
      <c r="AJ416" s="261" t="s">
        <v>784</v>
      </c>
      <c r="AK416" s="261" t="s">
        <v>784</v>
      </c>
      <c r="AL416" s="261" t="s">
        <v>784</v>
      </c>
      <c r="AM416" s="261" t="s">
        <v>784</v>
      </c>
      <c r="AN416" s="261" t="s">
        <v>784</v>
      </c>
      <c r="AO416" s="261" t="s">
        <v>784</v>
      </c>
      <c r="AP416" s="261" t="s">
        <v>784</v>
      </c>
      <c r="AQ416" s="261" t="s">
        <v>784</v>
      </c>
      <c r="AR416" s="261" t="s">
        <v>784</v>
      </c>
      <c r="AS416" s="261" t="s">
        <v>784</v>
      </c>
      <c r="AT416" s="261" t="s">
        <v>784</v>
      </c>
      <c r="AU416" s="261" t="s">
        <v>784</v>
      </c>
      <c r="AV416" s="261" t="s">
        <v>784</v>
      </c>
      <c r="AW416" s="261" t="s">
        <v>784</v>
      </c>
      <c r="AX416" s="261" t="s">
        <v>784</v>
      </c>
      <c r="AY416" s="261" t="s">
        <v>784</v>
      </c>
      <c r="AZ416" s="261" t="s">
        <v>784</v>
      </c>
      <c r="BA416" s="261" t="s">
        <v>784</v>
      </c>
      <c r="BB416" s="261" t="s">
        <v>784</v>
      </c>
      <c r="BC416" s="261" t="s">
        <v>784</v>
      </c>
      <c r="BD416" s="261" t="s">
        <v>784</v>
      </c>
      <c r="BE416" s="261" t="s">
        <v>784</v>
      </c>
      <c r="BF416" s="261" t="s">
        <v>784</v>
      </c>
    </row>
    <row r="417" spans="1:58" x14ac:dyDescent="0.3">
      <c r="A417" s="255" t="s">
        <v>1110</v>
      </c>
      <c r="B417" s="261" t="s">
        <v>784</v>
      </c>
      <c r="C417" s="261" t="s">
        <v>784</v>
      </c>
      <c r="D417" s="261" t="s">
        <v>784</v>
      </c>
      <c r="E417" s="261" t="s">
        <v>784</v>
      </c>
      <c r="F417" s="261" t="s">
        <v>784</v>
      </c>
      <c r="G417" s="261" t="s">
        <v>784</v>
      </c>
      <c r="H417" s="261" t="s">
        <v>784</v>
      </c>
      <c r="I417" s="261" t="s">
        <v>784</v>
      </c>
      <c r="J417" s="261" t="s">
        <v>784</v>
      </c>
      <c r="K417" s="261" t="s">
        <v>784</v>
      </c>
      <c r="L417" s="261" t="s">
        <v>784</v>
      </c>
      <c r="M417" s="261" t="s">
        <v>784</v>
      </c>
      <c r="N417" s="261" t="s">
        <v>784</v>
      </c>
      <c r="O417" s="261" t="s">
        <v>784</v>
      </c>
      <c r="P417" s="261" t="s">
        <v>784</v>
      </c>
      <c r="Q417" s="261" t="s">
        <v>784</v>
      </c>
      <c r="R417" s="261" t="s">
        <v>784</v>
      </c>
      <c r="S417" s="261" t="s">
        <v>784</v>
      </c>
      <c r="T417" s="261" t="s">
        <v>784</v>
      </c>
      <c r="U417" s="261" t="s">
        <v>784</v>
      </c>
      <c r="V417" s="261" t="s">
        <v>784</v>
      </c>
      <c r="W417" s="261" t="s">
        <v>784</v>
      </c>
      <c r="X417" s="261" t="s">
        <v>784</v>
      </c>
      <c r="Y417" s="261" t="s">
        <v>784</v>
      </c>
      <c r="Z417" s="261" t="s">
        <v>784</v>
      </c>
      <c r="AA417" s="261" t="s">
        <v>784</v>
      </c>
      <c r="AB417" s="261" t="s">
        <v>784</v>
      </c>
      <c r="AC417" s="261" t="s">
        <v>784</v>
      </c>
      <c r="AD417" s="261" t="s">
        <v>784</v>
      </c>
      <c r="AE417" s="261" t="s">
        <v>784</v>
      </c>
      <c r="AF417" s="261" t="s">
        <v>784</v>
      </c>
      <c r="AG417" s="261" t="s">
        <v>784</v>
      </c>
      <c r="AH417" s="261" t="s">
        <v>784</v>
      </c>
      <c r="AI417" s="261" t="s">
        <v>784</v>
      </c>
      <c r="AJ417" s="261" t="s">
        <v>784</v>
      </c>
      <c r="AK417" s="261" t="s">
        <v>784</v>
      </c>
      <c r="AL417" s="261" t="s">
        <v>784</v>
      </c>
      <c r="AM417" s="261" t="s">
        <v>784</v>
      </c>
      <c r="AN417" s="261" t="s">
        <v>784</v>
      </c>
      <c r="AO417" s="261" t="s">
        <v>784</v>
      </c>
      <c r="AP417" s="261" t="s">
        <v>784</v>
      </c>
      <c r="AQ417" s="261" t="s">
        <v>784</v>
      </c>
      <c r="AR417" s="261" t="s">
        <v>784</v>
      </c>
      <c r="AS417" s="261" t="s">
        <v>784</v>
      </c>
      <c r="AT417" s="261" t="s">
        <v>784</v>
      </c>
      <c r="AU417" s="261" t="s">
        <v>784</v>
      </c>
      <c r="AV417" s="261" t="s">
        <v>784</v>
      </c>
      <c r="AW417" s="261" t="s">
        <v>784</v>
      </c>
      <c r="AX417" s="261" t="s">
        <v>784</v>
      </c>
      <c r="AY417" s="261" t="s">
        <v>784</v>
      </c>
      <c r="AZ417" s="261" t="s">
        <v>784</v>
      </c>
      <c r="BA417" s="261" t="s">
        <v>784</v>
      </c>
      <c r="BB417" s="261" t="s">
        <v>784</v>
      </c>
      <c r="BC417" s="261" t="s">
        <v>784</v>
      </c>
      <c r="BD417" s="261" t="s">
        <v>784</v>
      </c>
      <c r="BE417" s="261" t="s">
        <v>784</v>
      </c>
      <c r="BF417" s="261" t="s">
        <v>784</v>
      </c>
    </row>
    <row r="418" spans="1:58" x14ac:dyDescent="0.3">
      <c r="A418" s="255" t="s">
        <v>1111</v>
      </c>
      <c r="B418" s="261" t="s">
        <v>784</v>
      </c>
      <c r="C418" s="261" t="s">
        <v>784</v>
      </c>
      <c r="D418" s="261" t="s">
        <v>784</v>
      </c>
      <c r="E418" s="261" t="s">
        <v>784</v>
      </c>
      <c r="F418" s="261" t="s">
        <v>784</v>
      </c>
      <c r="G418" s="261" t="s">
        <v>784</v>
      </c>
      <c r="H418" s="261" t="s">
        <v>784</v>
      </c>
      <c r="I418" s="261" t="s">
        <v>784</v>
      </c>
      <c r="J418" s="261" t="s">
        <v>784</v>
      </c>
      <c r="K418" s="261" t="s">
        <v>784</v>
      </c>
      <c r="L418" s="261" t="s">
        <v>784</v>
      </c>
      <c r="M418" s="261" t="s">
        <v>784</v>
      </c>
      <c r="N418" s="261" t="s">
        <v>784</v>
      </c>
      <c r="O418" s="261" t="s">
        <v>784</v>
      </c>
      <c r="P418" s="261" t="s">
        <v>784</v>
      </c>
      <c r="Q418" s="261" t="s">
        <v>784</v>
      </c>
      <c r="R418" s="261" t="s">
        <v>784</v>
      </c>
      <c r="S418" s="261" t="s">
        <v>784</v>
      </c>
      <c r="T418" s="261" t="s">
        <v>784</v>
      </c>
      <c r="U418" s="261" t="s">
        <v>784</v>
      </c>
      <c r="V418" s="261" t="s">
        <v>784</v>
      </c>
      <c r="W418" s="261" t="s">
        <v>784</v>
      </c>
      <c r="X418" s="261" t="s">
        <v>784</v>
      </c>
      <c r="Y418" s="261" t="s">
        <v>784</v>
      </c>
      <c r="Z418" s="261" t="s">
        <v>784</v>
      </c>
      <c r="AA418" s="261" t="s">
        <v>784</v>
      </c>
      <c r="AB418" s="261" t="s">
        <v>784</v>
      </c>
      <c r="AC418" s="261" t="s">
        <v>784</v>
      </c>
      <c r="AD418" s="261" t="s">
        <v>784</v>
      </c>
      <c r="AE418" s="261" t="s">
        <v>784</v>
      </c>
      <c r="AF418" s="261" t="s">
        <v>784</v>
      </c>
      <c r="AG418" s="261" t="s">
        <v>784</v>
      </c>
      <c r="AH418" s="261" t="s">
        <v>784</v>
      </c>
      <c r="AI418" s="261" t="s">
        <v>784</v>
      </c>
      <c r="AJ418" s="261" t="s">
        <v>784</v>
      </c>
      <c r="AK418" s="261" t="s">
        <v>784</v>
      </c>
      <c r="AL418" s="261" t="s">
        <v>784</v>
      </c>
      <c r="AM418" s="261" t="s">
        <v>784</v>
      </c>
      <c r="AN418" s="261" t="s">
        <v>784</v>
      </c>
      <c r="AO418" s="261" t="s">
        <v>784</v>
      </c>
      <c r="AP418" s="261" t="s">
        <v>784</v>
      </c>
      <c r="AQ418" s="261" t="s">
        <v>784</v>
      </c>
      <c r="AR418" s="261" t="s">
        <v>784</v>
      </c>
      <c r="AS418" s="261" t="s">
        <v>784</v>
      </c>
      <c r="AT418" s="261" t="s">
        <v>784</v>
      </c>
      <c r="AU418" s="261" t="s">
        <v>784</v>
      </c>
      <c r="AV418" s="261" t="s">
        <v>784</v>
      </c>
      <c r="AW418" s="261" t="s">
        <v>784</v>
      </c>
      <c r="AX418" s="261" t="s">
        <v>784</v>
      </c>
      <c r="AY418" s="261" t="s">
        <v>784</v>
      </c>
      <c r="AZ418" s="261" t="s">
        <v>784</v>
      </c>
      <c r="BA418" s="261" t="s">
        <v>784</v>
      </c>
      <c r="BB418" s="261" t="s">
        <v>784</v>
      </c>
      <c r="BC418" s="261" t="s">
        <v>784</v>
      </c>
      <c r="BD418" s="261" t="s">
        <v>784</v>
      </c>
      <c r="BE418" s="261" t="s">
        <v>784</v>
      </c>
      <c r="BF418" s="261" t="s">
        <v>784</v>
      </c>
    </row>
    <row r="419" spans="1:58" x14ac:dyDescent="0.3">
      <c r="A419" s="255" t="s">
        <v>1112</v>
      </c>
      <c r="B419" s="261" t="s">
        <v>784</v>
      </c>
      <c r="C419" s="261" t="s">
        <v>784</v>
      </c>
      <c r="D419" s="261" t="s">
        <v>784</v>
      </c>
      <c r="E419" s="261" t="s">
        <v>784</v>
      </c>
      <c r="F419" s="261" t="s">
        <v>784</v>
      </c>
      <c r="G419" s="261" t="s">
        <v>784</v>
      </c>
      <c r="H419" s="261" t="s">
        <v>784</v>
      </c>
      <c r="I419" s="261" t="s">
        <v>784</v>
      </c>
      <c r="J419" s="261" t="s">
        <v>784</v>
      </c>
      <c r="K419" s="261" t="s">
        <v>784</v>
      </c>
      <c r="L419" s="261" t="s">
        <v>784</v>
      </c>
      <c r="M419" s="261" t="s">
        <v>784</v>
      </c>
      <c r="N419" s="261" t="s">
        <v>784</v>
      </c>
      <c r="O419" s="261" t="s">
        <v>784</v>
      </c>
      <c r="P419" s="261" t="s">
        <v>784</v>
      </c>
      <c r="Q419" s="261" t="s">
        <v>784</v>
      </c>
      <c r="R419" s="261" t="s">
        <v>784</v>
      </c>
      <c r="S419" s="261" t="s">
        <v>784</v>
      </c>
      <c r="T419" s="261" t="s">
        <v>784</v>
      </c>
      <c r="U419" s="261" t="s">
        <v>784</v>
      </c>
      <c r="V419" s="261" t="s">
        <v>784</v>
      </c>
      <c r="W419" s="261" t="s">
        <v>784</v>
      </c>
      <c r="X419" s="261" t="s">
        <v>784</v>
      </c>
      <c r="Y419" s="261" t="s">
        <v>784</v>
      </c>
      <c r="Z419" s="261" t="s">
        <v>784</v>
      </c>
      <c r="AA419" s="261" t="s">
        <v>784</v>
      </c>
      <c r="AB419" s="261" t="s">
        <v>784</v>
      </c>
      <c r="AC419" s="261" t="s">
        <v>784</v>
      </c>
      <c r="AD419" s="261" t="s">
        <v>784</v>
      </c>
      <c r="AE419" s="261" t="s">
        <v>784</v>
      </c>
      <c r="AF419" s="261" t="s">
        <v>784</v>
      </c>
      <c r="AG419" s="261" t="s">
        <v>784</v>
      </c>
      <c r="AH419" s="261" t="s">
        <v>784</v>
      </c>
      <c r="AI419" s="261" t="s">
        <v>784</v>
      </c>
      <c r="AJ419" s="261" t="s">
        <v>784</v>
      </c>
      <c r="AK419" s="261" t="s">
        <v>784</v>
      </c>
      <c r="AL419" s="261" t="s">
        <v>784</v>
      </c>
      <c r="AM419" s="261" t="s">
        <v>784</v>
      </c>
      <c r="AN419" s="261" t="s">
        <v>784</v>
      </c>
      <c r="AO419" s="261" t="s">
        <v>784</v>
      </c>
      <c r="AP419" s="261" t="s">
        <v>784</v>
      </c>
      <c r="AQ419" s="261" t="s">
        <v>784</v>
      </c>
      <c r="AR419" s="261" t="s">
        <v>784</v>
      </c>
      <c r="AS419" s="261" t="s">
        <v>784</v>
      </c>
      <c r="AT419" s="261" t="s">
        <v>784</v>
      </c>
      <c r="AU419" s="261" t="s">
        <v>784</v>
      </c>
      <c r="AV419" s="261" t="s">
        <v>784</v>
      </c>
      <c r="AW419" s="261" t="s">
        <v>784</v>
      </c>
      <c r="AX419" s="261" t="s">
        <v>784</v>
      </c>
      <c r="AY419" s="261" t="s">
        <v>784</v>
      </c>
      <c r="AZ419" s="261" t="s">
        <v>784</v>
      </c>
      <c r="BA419" s="261" t="s">
        <v>784</v>
      </c>
      <c r="BB419" s="261" t="s">
        <v>784</v>
      </c>
      <c r="BC419" s="261" t="s">
        <v>784</v>
      </c>
      <c r="BD419" s="261" t="s">
        <v>784</v>
      </c>
      <c r="BE419" s="261" t="s">
        <v>784</v>
      </c>
      <c r="BF419" s="261" t="s">
        <v>784</v>
      </c>
    </row>
    <row r="420" spans="1:58" x14ac:dyDescent="0.3">
      <c r="A420" s="255" t="s">
        <v>1113</v>
      </c>
      <c r="B420" s="261" t="s">
        <v>784</v>
      </c>
      <c r="C420" s="261" t="s">
        <v>784</v>
      </c>
      <c r="D420" s="261" t="s">
        <v>784</v>
      </c>
      <c r="E420" s="261" t="s">
        <v>784</v>
      </c>
      <c r="F420" s="261" t="s">
        <v>784</v>
      </c>
      <c r="G420" s="261" t="s">
        <v>784</v>
      </c>
      <c r="H420" s="261" t="s">
        <v>784</v>
      </c>
      <c r="I420" s="261" t="s">
        <v>784</v>
      </c>
      <c r="J420" s="261" t="s">
        <v>784</v>
      </c>
      <c r="K420" s="261" t="s">
        <v>784</v>
      </c>
      <c r="L420" s="261" t="s">
        <v>784</v>
      </c>
      <c r="M420" s="261" t="s">
        <v>784</v>
      </c>
      <c r="N420" s="261" t="s">
        <v>784</v>
      </c>
      <c r="O420" s="261" t="s">
        <v>784</v>
      </c>
      <c r="P420" s="261" t="s">
        <v>784</v>
      </c>
      <c r="Q420" s="261" t="s">
        <v>784</v>
      </c>
      <c r="R420" s="261" t="s">
        <v>784</v>
      </c>
      <c r="S420" s="261" t="s">
        <v>784</v>
      </c>
      <c r="T420" s="261" t="s">
        <v>784</v>
      </c>
      <c r="U420" s="261" t="s">
        <v>784</v>
      </c>
      <c r="V420" s="261" t="s">
        <v>784</v>
      </c>
      <c r="W420" s="261" t="s">
        <v>784</v>
      </c>
      <c r="X420" s="261" t="s">
        <v>784</v>
      </c>
      <c r="Y420" s="261" t="s">
        <v>784</v>
      </c>
      <c r="Z420" s="261" t="s">
        <v>784</v>
      </c>
      <c r="AA420" s="261" t="s">
        <v>784</v>
      </c>
      <c r="AB420" s="261" t="s">
        <v>784</v>
      </c>
      <c r="AC420" s="261" t="s">
        <v>784</v>
      </c>
      <c r="AD420" s="261" t="s">
        <v>784</v>
      </c>
      <c r="AE420" s="261" t="s">
        <v>784</v>
      </c>
      <c r="AF420" s="261" t="s">
        <v>784</v>
      </c>
      <c r="AG420" s="261" t="s">
        <v>784</v>
      </c>
      <c r="AH420" s="261" t="s">
        <v>784</v>
      </c>
      <c r="AI420" s="261" t="s">
        <v>784</v>
      </c>
      <c r="AJ420" s="261" t="s">
        <v>784</v>
      </c>
      <c r="AK420" s="261" t="s">
        <v>784</v>
      </c>
      <c r="AL420" s="261" t="s">
        <v>784</v>
      </c>
      <c r="AM420" s="261" t="s">
        <v>784</v>
      </c>
      <c r="AN420" s="261" t="s">
        <v>784</v>
      </c>
      <c r="AO420" s="261" t="s">
        <v>784</v>
      </c>
      <c r="AP420" s="261" t="s">
        <v>784</v>
      </c>
      <c r="AQ420" s="261" t="s">
        <v>784</v>
      </c>
      <c r="AR420" s="261" t="s">
        <v>784</v>
      </c>
      <c r="AS420" s="261" t="s">
        <v>784</v>
      </c>
      <c r="AT420" s="261" t="s">
        <v>784</v>
      </c>
      <c r="AU420" s="261" t="s">
        <v>784</v>
      </c>
      <c r="AV420" s="261" t="s">
        <v>784</v>
      </c>
      <c r="AW420" s="261" t="s">
        <v>784</v>
      </c>
      <c r="AX420" s="261" t="s">
        <v>784</v>
      </c>
      <c r="AY420" s="261" t="s">
        <v>784</v>
      </c>
      <c r="AZ420" s="261" t="s">
        <v>784</v>
      </c>
      <c r="BA420" s="261" t="s">
        <v>784</v>
      </c>
      <c r="BB420" s="261" t="s">
        <v>784</v>
      </c>
      <c r="BC420" s="261" t="s">
        <v>784</v>
      </c>
      <c r="BD420" s="261" t="s">
        <v>784</v>
      </c>
      <c r="BE420" s="261" t="s">
        <v>784</v>
      </c>
      <c r="BF420" s="261" t="s">
        <v>784</v>
      </c>
    </row>
    <row r="421" spans="1:58" x14ac:dyDescent="0.3">
      <c r="A421" s="255" t="s">
        <v>1114</v>
      </c>
      <c r="B421" s="261" t="s">
        <v>784</v>
      </c>
      <c r="C421" s="261" t="s">
        <v>784</v>
      </c>
      <c r="D421" s="261" t="s">
        <v>784</v>
      </c>
      <c r="E421" s="261" t="s">
        <v>784</v>
      </c>
      <c r="F421" s="261" t="s">
        <v>784</v>
      </c>
      <c r="G421" s="261" t="s">
        <v>784</v>
      </c>
      <c r="H421" s="261" t="s">
        <v>784</v>
      </c>
      <c r="I421" s="261" t="s">
        <v>784</v>
      </c>
      <c r="J421" s="261" t="s">
        <v>784</v>
      </c>
      <c r="K421" s="261" t="s">
        <v>784</v>
      </c>
      <c r="L421" s="261" t="s">
        <v>784</v>
      </c>
      <c r="M421" s="261" t="s">
        <v>784</v>
      </c>
      <c r="N421" s="261" t="s">
        <v>784</v>
      </c>
      <c r="O421" s="261" t="s">
        <v>784</v>
      </c>
      <c r="P421" s="261" t="s">
        <v>784</v>
      </c>
      <c r="Q421" s="261" t="s">
        <v>784</v>
      </c>
      <c r="R421" s="261" t="s">
        <v>784</v>
      </c>
      <c r="S421" s="261" t="s">
        <v>784</v>
      </c>
      <c r="T421" s="261" t="s">
        <v>784</v>
      </c>
      <c r="U421" s="261" t="s">
        <v>784</v>
      </c>
      <c r="V421" s="261" t="s">
        <v>784</v>
      </c>
      <c r="W421" s="261" t="s">
        <v>784</v>
      </c>
      <c r="X421" s="261" t="s">
        <v>784</v>
      </c>
      <c r="Y421" s="261" t="s">
        <v>784</v>
      </c>
      <c r="Z421" s="261" t="s">
        <v>784</v>
      </c>
      <c r="AA421" s="261" t="s">
        <v>784</v>
      </c>
      <c r="AB421" s="261" t="s">
        <v>784</v>
      </c>
      <c r="AC421" s="261" t="s">
        <v>784</v>
      </c>
      <c r="AD421" s="261" t="s">
        <v>784</v>
      </c>
      <c r="AE421" s="261" t="s">
        <v>784</v>
      </c>
      <c r="AF421" s="261" t="s">
        <v>784</v>
      </c>
      <c r="AG421" s="261" t="s">
        <v>784</v>
      </c>
      <c r="AH421" s="261" t="s">
        <v>784</v>
      </c>
      <c r="AI421" s="261" t="s">
        <v>784</v>
      </c>
      <c r="AJ421" s="261" t="s">
        <v>784</v>
      </c>
      <c r="AK421" s="261" t="s">
        <v>784</v>
      </c>
      <c r="AL421" s="261" t="s">
        <v>784</v>
      </c>
      <c r="AM421" s="261" t="s">
        <v>784</v>
      </c>
      <c r="AN421" s="261" t="s">
        <v>784</v>
      </c>
      <c r="AO421" s="261" t="s">
        <v>784</v>
      </c>
      <c r="AP421" s="261" t="s">
        <v>784</v>
      </c>
      <c r="AQ421" s="261" t="s">
        <v>784</v>
      </c>
      <c r="AR421" s="261" t="s">
        <v>784</v>
      </c>
      <c r="AS421" s="261" t="s">
        <v>784</v>
      </c>
      <c r="AT421" s="261" t="s">
        <v>784</v>
      </c>
      <c r="AU421" s="261" t="s">
        <v>784</v>
      </c>
      <c r="AV421" s="261" t="s">
        <v>784</v>
      </c>
      <c r="AW421" s="261" t="s">
        <v>784</v>
      </c>
      <c r="AX421" s="261" t="s">
        <v>784</v>
      </c>
      <c r="AY421" s="261" t="s">
        <v>784</v>
      </c>
      <c r="AZ421" s="261" t="s">
        <v>784</v>
      </c>
      <c r="BA421" s="261" t="s">
        <v>784</v>
      </c>
      <c r="BB421" s="261" t="s">
        <v>784</v>
      </c>
      <c r="BC421" s="261" t="s">
        <v>784</v>
      </c>
      <c r="BD421" s="261" t="s">
        <v>784</v>
      </c>
      <c r="BE421" s="261" t="s">
        <v>784</v>
      </c>
      <c r="BF421" s="261" t="s">
        <v>784</v>
      </c>
    </row>
    <row r="422" spans="1:58" x14ac:dyDescent="0.3">
      <c r="A422" s="252" t="s">
        <v>1115</v>
      </c>
      <c r="B422" s="253" t="s">
        <v>784</v>
      </c>
      <c r="C422" s="253" t="s">
        <v>784</v>
      </c>
      <c r="D422" s="253" t="s">
        <v>784</v>
      </c>
      <c r="E422" s="253" t="s">
        <v>784</v>
      </c>
      <c r="F422" s="253" t="s">
        <v>784</v>
      </c>
      <c r="G422" s="253" t="s">
        <v>784</v>
      </c>
      <c r="H422" s="253" t="s">
        <v>784</v>
      </c>
      <c r="I422" s="253" t="s">
        <v>784</v>
      </c>
      <c r="J422" s="253" t="s">
        <v>784</v>
      </c>
      <c r="K422" s="253" t="s">
        <v>784</v>
      </c>
      <c r="L422" s="253" t="s">
        <v>784</v>
      </c>
      <c r="M422" s="253" t="s">
        <v>784</v>
      </c>
      <c r="N422" s="253" t="s">
        <v>784</v>
      </c>
      <c r="O422" s="253" t="s">
        <v>784</v>
      </c>
      <c r="P422" s="253" t="s">
        <v>784</v>
      </c>
      <c r="Q422" s="253" t="s">
        <v>784</v>
      </c>
      <c r="R422" s="253" t="s">
        <v>784</v>
      </c>
      <c r="S422" s="253" t="s">
        <v>784</v>
      </c>
      <c r="T422" s="253" t="s">
        <v>784</v>
      </c>
      <c r="U422" s="253" t="s">
        <v>784</v>
      </c>
      <c r="V422" s="253" t="s">
        <v>784</v>
      </c>
      <c r="W422" s="253" t="s">
        <v>784</v>
      </c>
      <c r="X422" s="253" t="s">
        <v>784</v>
      </c>
      <c r="Y422" s="253" t="s">
        <v>784</v>
      </c>
      <c r="Z422" s="253" t="s">
        <v>784</v>
      </c>
      <c r="AA422" s="253" t="s">
        <v>784</v>
      </c>
      <c r="AB422" s="253" t="s">
        <v>784</v>
      </c>
      <c r="AC422" s="253" t="s">
        <v>784</v>
      </c>
      <c r="AD422" s="253" t="s">
        <v>784</v>
      </c>
      <c r="AE422" s="253" t="s">
        <v>784</v>
      </c>
      <c r="AF422" s="253" t="s">
        <v>784</v>
      </c>
      <c r="AG422" s="253" t="s">
        <v>784</v>
      </c>
      <c r="AH422" s="253" t="s">
        <v>784</v>
      </c>
      <c r="AI422" s="253" t="s">
        <v>784</v>
      </c>
      <c r="AJ422" s="253" t="s">
        <v>784</v>
      </c>
      <c r="AK422" s="253" t="s">
        <v>784</v>
      </c>
      <c r="AL422" s="253" t="s">
        <v>784</v>
      </c>
      <c r="AM422" s="253" t="s">
        <v>784</v>
      </c>
      <c r="AN422" s="253" t="s">
        <v>784</v>
      </c>
      <c r="AO422" s="253" t="s">
        <v>784</v>
      </c>
      <c r="AP422" s="253" t="s">
        <v>784</v>
      </c>
      <c r="AQ422" s="253" t="s">
        <v>784</v>
      </c>
      <c r="AR422" s="253" t="s">
        <v>784</v>
      </c>
      <c r="AS422" s="253" t="s">
        <v>784</v>
      </c>
      <c r="AT422" s="253" t="s">
        <v>784</v>
      </c>
      <c r="AU422" s="253" t="s">
        <v>784</v>
      </c>
      <c r="AV422" s="253" t="s">
        <v>784</v>
      </c>
      <c r="AW422" s="253" t="s">
        <v>784</v>
      </c>
      <c r="AX422" s="253" t="s">
        <v>784</v>
      </c>
      <c r="AY422" s="253" t="s">
        <v>784</v>
      </c>
      <c r="AZ422" s="253" t="s">
        <v>784</v>
      </c>
      <c r="BA422" s="253" t="s">
        <v>784</v>
      </c>
      <c r="BB422" s="253" t="s">
        <v>784</v>
      </c>
      <c r="BC422" s="253" t="s">
        <v>784</v>
      </c>
      <c r="BD422" s="253" t="s">
        <v>784</v>
      </c>
      <c r="BE422" s="253" t="s">
        <v>784</v>
      </c>
      <c r="BF422" s="253" t="s">
        <v>784</v>
      </c>
    </row>
    <row r="423" spans="1:58" x14ac:dyDescent="0.3">
      <c r="A423" s="252"/>
      <c r="B423" s="253"/>
      <c r="C423" s="253"/>
      <c r="D423" s="253"/>
      <c r="E423" s="253"/>
      <c r="F423" s="253"/>
      <c r="G423" s="253"/>
      <c r="H423" s="253"/>
      <c r="I423" s="253"/>
      <c r="J423" s="253"/>
      <c r="K423" s="253"/>
      <c r="L423" s="253"/>
      <c r="M423" s="253"/>
      <c r="N423" s="253"/>
      <c r="O423" s="253"/>
      <c r="P423" s="253"/>
      <c r="Q423" s="253"/>
      <c r="R423" s="253"/>
      <c r="S423" s="253"/>
      <c r="T423" s="253"/>
      <c r="U423" s="253"/>
      <c r="V423" s="253"/>
      <c r="W423" s="253"/>
      <c r="X423" s="253"/>
      <c r="Y423" s="253"/>
      <c r="Z423" s="253"/>
      <c r="AA423" s="253"/>
      <c r="AB423" s="253"/>
      <c r="AC423" s="253"/>
      <c r="AD423" s="253"/>
      <c r="AE423" s="253"/>
      <c r="AF423" s="253"/>
      <c r="AG423" s="253"/>
      <c r="AH423" s="253"/>
      <c r="AI423" s="253"/>
      <c r="AJ423" s="253"/>
      <c r="AK423" s="253"/>
      <c r="AL423" s="253"/>
      <c r="AM423" s="253"/>
      <c r="AN423" s="253"/>
      <c r="AO423" s="253"/>
      <c r="AP423" s="253"/>
      <c r="AQ423" s="253"/>
      <c r="AR423" s="253"/>
      <c r="AS423" s="253"/>
      <c r="AT423" s="253"/>
      <c r="AU423" s="253"/>
      <c r="AV423" s="253"/>
      <c r="AW423" s="253"/>
      <c r="AX423" s="253"/>
      <c r="AY423" s="253"/>
      <c r="AZ423" s="253"/>
      <c r="BA423" s="253"/>
      <c r="BB423" s="253"/>
      <c r="BC423" s="253"/>
      <c r="BD423" s="253"/>
      <c r="BE423" s="253"/>
      <c r="BF423" s="253"/>
    </row>
    <row r="424" spans="1:58" x14ac:dyDescent="0.3">
      <c r="A424" s="252" t="s">
        <v>1116</v>
      </c>
      <c r="B424" s="253" t="s">
        <v>5</v>
      </c>
      <c r="C424" s="253" t="s">
        <v>5</v>
      </c>
      <c r="D424" s="253" t="s">
        <v>5</v>
      </c>
      <c r="E424" s="253" t="s">
        <v>5</v>
      </c>
      <c r="F424" s="253" t="s">
        <v>5</v>
      </c>
      <c r="G424" s="253" t="s">
        <v>5</v>
      </c>
      <c r="H424" s="253" t="s">
        <v>5</v>
      </c>
      <c r="I424" s="253" t="s">
        <v>5</v>
      </c>
      <c r="J424" s="253" t="s">
        <v>5</v>
      </c>
      <c r="K424" s="253" t="s">
        <v>5</v>
      </c>
      <c r="L424" s="253" t="s">
        <v>5</v>
      </c>
      <c r="M424" s="253" t="s">
        <v>5</v>
      </c>
      <c r="N424" s="253" t="s">
        <v>5</v>
      </c>
      <c r="O424" s="253" t="s">
        <v>5</v>
      </c>
      <c r="P424" s="253" t="s">
        <v>5</v>
      </c>
      <c r="Q424" s="253" t="s">
        <v>5</v>
      </c>
      <c r="R424" s="253" t="s">
        <v>5</v>
      </c>
      <c r="S424" s="253" t="s">
        <v>5</v>
      </c>
      <c r="T424" s="253" t="s">
        <v>5</v>
      </c>
      <c r="U424" s="253" t="s">
        <v>5</v>
      </c>
      <c r="V424" s="253" t="s">
        <v>5</v>
      </c>
      <c r="W424" s="253" t="s">
        <v>5</v>
      </c>
      <c r="X424" s="253" t="s">
        <v>5</v>
      </c>
      <c r="Y424" s="253" t="s">
        <v>5</v>
      </c>
      <c r="Z424" s="253" t="s">
        <v>5</v>
      </c>
      <c r="AA424" s="253" t="s">
        <v>5</v>
      </c>
      <c r="AB424" s="253" t="s">
        <v>5</v>
      </c>
      <c r="AC424" s="253" t="s">
        <v>5</v>
      </c>
      <c r="AD424" s="253" t="s">
        <v>5</v>
      </c>
      <c r="AE424" s="253" t="s">
        <v>5</v>
      </c>
      <c r="AF424" s="253" t="s">
        <v>5</v>
      </c>
      <c r="AG424" s="253" t="s">
        <v>5</v>
      </c>
      <c r="AH424" s="253" t="s">
        <v>5</v>
      </c>
      <c r="AI424" s="253" t="s">
        <v>5</v>
      </c>
      <c r="AJ424" s="253" t="s">
        <v>5</v>
      </c>
      <c r="AK424" s="253" t="s">
        <v>5</v>
      </c>
      <c r="AL424" s="253" t="s">
        <v>5</v>
      </c>
      <c r="AM424" s="253" t="s">
        <v>5</v>
      </c>
      <c r="AN424" s="253" t="s">
        <v>5</v>
      </c>
      <c r="AO424" s="253" t="s">
        <v>5</v>
      </c>
      <c r="AP424" s="253" t="s">
        <v>5</v>
      </c>
      <c r="AQ424" s="253" t="s">
        <v>5</v>
      </c>
      <c r="AR424" s="253" t="s">
        <v>5</v>
      </c>
      <c r="AS424" s="253" t="s">
        <v>5</v>
      </c>
      <c r="AT424" s="253" t="s">
        <v>5</v>
      </c>
      <c r="AU424" s="253" t="s">
        <v>5</v>
      </c>
      <c r="AV424" s="253" t="s">
        <v>5</v>
      </c>
      <c r="AW424" s="253" t="s">
        <v>5</v>
      </c>
      <c r="AX424" s="253" t="s">
        <v>5</v>
      </c>
      <c r="AY424" s="253" t="s">
        <v>5</v>
      </c>
      <c r="AZ424" s="253" t="s">
        <v>5</v>
      </c>
      <c r="BA424" s="253" t="s">
        <v>5</v>
      </c>
      <c r="BB424" s="253" t="s">
        <v>5</v>
      </c>
      <c r="BC424" s="253" t="s">
        <v>5</v>
      </c>
      <c r="BD424" s="253" t="s">
        <v>5</v>
      </c>
      <c r="BE424" s="253" t="s">
        <v>5</v>
      </c>
      <c r="BF424" s="253" t="s">
        <v>5</v>
      </c>
    </row>
    <row r="425" spans="1:58" x14ac:dyDescent="0.3">
      <c r="A425" s="252" t="s">
        <v>1117</v>
      </c>
      <c r="B425" s="254">
        <v>241.18199999999999</v>
      </c>
      <c r="C425" s="254">
        <v>245.43</v>
      </c>
      <c r="D425" s="254">
        <v>254.976</v>
      </c>
      <c r="E425" s="254">
        <v>255.70599999999999</v>
      </c>
      <c r="F425" s="254">
        <v>4619.3490000000002</v>
      </c>
      <c r="G425" s="254">
        <v>4684.7579999999998</v>
      </c>
      <c r="H425" s="254">
        <v>5547.77</v>
      </c>
      <c r="I425" s="254">
        <v>5751.3720000000003</v>
      </c>
      <c r="J425" s="254">
        <v>5856.2470000000003</v>
      </c>
      <c r="K425" s="254">
        <v>5882.4089999999997</v>
      </c>
      <c r="L425" s="254">
        <v>294308.45</v>
      </c>
      <c r="M425" s="254">
        <v>294711.25</v>
      </c>
      <c r="N425" s="254">
        <v>295412.65000000002</v>
      </c>
      <c r="O425" s="254">
        <v>296185.96299999999</v>
      </c>
      <c r="P425" s="254">
        <v>297462.57900000003</v>
      </c>
      <c r="Q425" s="254">
        <v>297466.74599999998</v>
      </c>
      <c r="R425" s="254">
        <v>297466.74599999998</v>
      </c>
      <c r="S425" s="254">
        <v>297466.74599999998</v>
      </c>
      <c r="T425" s="254">
        <v>297466.74599999998</v>
      </c>
      <c r="U425" s="254">
        <v>29748.449000000001</v>
      </c>
      <c r="V425" s="254">
        <v>29748.449000000001</v>
      </c>
      <c r="W425" s="254">
        <v>29748.449000000001</v>
      </c>
      <c r="X425" s="254">
        <v>29748.449000000001</v>
      </c>
      <c r="Y425" s="254">
        <v>29748.449000000001</v>
      </c>
      <c r="Z425" s="254">
        <v>65940.277000000002</v>
      </c>
      <c r="AA425" s="254">
        <v>65945.675000000003</v>
      </c>
      <c r="AB425" s="254">
        <v>13190.746999999999</v>
      </c>
      <c r="AC425" s="254">
        <v>13190.746999999999</v>
      </c>
      <c r="AD425" s="254">
        <v>13147.748</v>
      </c>
      <c r="AE425" s="254">
        <v>12940.944</v>
      </c>
      <c r="AF425" s="254">
        <v>12929.906999999999</v>
      </c>
      <c r="AG425" s="254">
        <v>12635.522999999999</v>
      </c>
      <c r="AH425" s="254">
        <v>12519.085999999999</v>
      </c>
      <c r="AI425" s="254">
        <v>12570.192999999999</v>
      </c>
      <c r="AJ425" s="254">
        <v>12157.771000000001</v>
      </c>
      <c r="AK425" s="254">
        <v>12152.571</v>
      </c>
      <c r="AL425" s="254">
        <v>12159.762000000001</v>
      </c>
      <c r="AM425" s="254">
        <v>126581.393</v>
      </c>
      <c r="AN425" s="254">
        <v>131458.72899999999</v>
      </c>
      <c r="AO425" s="254">
        <v>131458.72899999999</v>
      </c>
      <c r="AP425" s="254">
        <v>133679.94</v>
      </c>
      <c r="AQ425" s="254">
        <v>135160.9</v>
      </c>
      <c r="AR425" s="254">
        <v>135160.9</v>
      </c>
      <c r="AS425" s="254">
        <v>135160.9</v>
      </c>
      <c r="AT425" s="254">
        <v>136870.147</v>
      </c>
      <c r="AU425" s="254">
        <v>167850.65599999999</v>
      </c>
      <c r="AV425" s="254">
        <v>839253.28</v>
      </c>
      <c r="AW425" s="254">
        <v>839253.28</v>
      </c>
      <c r="AX425" s="254">
        <v>839253.28</v>
      </c>
      <c r="AY425" s="254">
        <v>882646.38500000001</v>
      </c>
      <c r="AZ425" s="254">
        <v>843994.02</v>
      </c>
      <c r="BA425" s="254">
        <v>843994.02</v>
      </c>
      <c r="BB425" s="254">
        <v>843494.02</v>
      </c>
      <c r="BC425" s="254">
        <v>847012.70900000003</v>
      </c>
      <c r="BD425" s="254">
        <v>836333.58200000005</v>
      </c>
      <c r="BE425" s="254">
        <v>836333.58200000005</v>
      </c>
      <c r="BF425" s="254">
        <v>834531.18200000003</v>
      </c>
    </row>
    <row r="426" spans="1:58" x14ac:dyDescent="0.3">
      <c r="A426" s="252"/>
      <c r="B426" s="253"/>
      <c r="C426" s="253"/>
      <c r="D426" s="253"/>
      <c r="E426" s="253"/>
      <c r="F426" s="253"/>
      <c r="G426" s="253"/>
      <c r="H426" s="253"/>
      <c r="I426" s="253"/>
      <c r="J426" s="253"/>
      <c r="K426" s="253"/>
      <c r="L426" s="253"/>
      <c r="M426" s="253"/>
      <c r="N426" s="253"/>
      <c r="O426" s="253"/>
      <c r="P426" s="253"/>
      <c r="Q426" s="253"/>
      <c r="R426" s="253"/>
      <c r="S426" s="253"/>
      <c r="T426" s="253"/>
      <c r="U426" s="253"/>
      <c r="V426" s="253"/>
      <c r="W426" s="253"/>
      <c r="X426" s="253"/>
      <c r="Y426" s="253"/>
      <c r="Z426" s="253"/>
      <c r="AA426" s="253"/>
      <c r="AB426" s="253"/>
      <c r="AC426" s="253"/>
      <c r="AD426" s="253"/>
      <c r="AE426" s="253"/>
      <c r="AF426" s="253"/>
      <c r="AG426" s="253"/>
      <c r="AH426" s="253"/>
      <c r="AI426" s="253"/>
      <c r="AJ426" s="253"/>
      <c r="AK426" s="253"/>
      <c r="AL426" s="253"/>
      <c r="AM426" s="253"/>
      <c r="AN426" s="253"/>
      <c r="AO426" s="253"/>
      <c r="AP426" s="253"/>
      <c r="AQ426" s="253"/>
      <c r="AR426" s="253"/>
      <c r="AS426" s="253"/>
      <c r="AT426" s="253"/>
      <c r="AU426" s="253"/>
      <c r="AV426" s="253"/>
      <c r="AW426" s="253"/>
      <c r="AX426" s="253"/>
      <c r="AY426" s="253"/>
      <c r="AZ426" s="253"/>
      <c r="BA426" s="253"/>
      <c r="BB426" s="253"/>
      <c r="BC426" s="253"/>
      <c r="BD426" s="253"/>
      <c r="BE426" s="253"/>
      <c r="BF426" s="253"/>
    </row>
    <row r="427" spans="1:58" x14ac:dyDescent="0.3">
      <c r="A427" s="252" t="s">
        <v>774</v>
      </c>
      <c r="B427" s="253" t="s">
        <v>5</v>
      </c>
      <c r="C427" s="253" t="s">
        <v>5</v>
      </c>
      <c r="D427" s="253" t="s">
        <v>5</v>
      </c>
      <c r="E427" s="253" t="s">
        <v>5</v>
      </c>
      <c r="F427" s="253" t="s">
        <v>5</v>
      </c>
      <c r="G427" s="253" t="s">
        <v>5</v>
      </c>
      <c r="H427" s="253" t="s">
        <v>5</v>
      </c>
      <c r="I427" s="253" t="s">
        <v>5</v>
      </c>
      <c r="J427" s="253" t="s">
        <v>5</v>
      </c>
      <c r="K427" s="253" t="s">
        <v>5</v>
      </c>
      <c r="L427" s="253" t="s">
        <v>5</v>
      </c>
      <c r="M427" s="253" t="s">
        <v>5</v>
      </c>
      <c r="N427" s="253" t="s">
        <v>5</v>
      </c>
      <c r="O427" s="253" t="s">
        <v>5</v>
      </c>
      <c r="P427" s="253" t="s">
        <v>5</v>
      </c>
      <c r="Q427" s="253" t="s">
        <v>5</v>
      </c>
      <c r="R427" s="253" t="s">
        <v>5</v>
      </c>
      <c r="S427" s="253" t="s">
        <v>5</v>
      </c>
      <c r="T427" s="253" t="s">
        <v>5</v>
      </c>
      <c r="U427" s="253" t="s">
        <v>5</v>
      </c>
      <c r="V427" s="253" t="s">
        <v>5</v>
      </c>
      <c r="W427" s="253" t="s">
        <v>5</v>
      </c>
      <c r="X427" s="253" t="s">
        <v>5</v>
      </c>
      <c r="Y427" s="253" t="s">
        <v>5</v>
      </c>
      <c r="Z427" s="253" t="s">
        <v>5</v>
      </c>
      <c r="AA427" s="253" t="s">
        <v>5</v>
      </c>
      <c r="AB427" s="253" t="s">
        <v>5</v>
      </c>
      <c r="AC427" s="253" t="s">
        <v>5</v>
      </c>
      <c r="AD427" s="253" t="s">
        <v>5</v>
      </c>
      <c r="AE427" s="253" t="s">
        <v>5</v>
      </c>
      <c r="AF427" s="253" t="s">
        <v>5</v>
      </c>
      <c r="AG427" s="253" t="s">
        <v>5</v>
      </c>
      <c r="AH427" s="253" t="s">
        <v>5</v>
      </c>
      <c r="AI427" s="253" t="s">
        <v>5</v>
      </c>
      <c r="AJ427" s="253" t="s">
        <v>5</v>
      </c>
      <c r="AK427" s="253" t="s">
        <v>5</v>
      </c>
      <c r="AL427" s="253" t="s">
        <v>5</v>
      </c>
      <c r="AM427" s="253" t="s">
        <v>5</v>
      </c>
      <c r="AN427" s="253" t="s">
        <v>5</v>
      </c>
      <c r="AO427" s="253" t="s">
        <v>5</v>
      </c>
      <c r="AP427" s="253" t="s">
        <v>5</v>
      </c>
      <c r="AQ427" s="253" t="s">
        <v>5</v>
      </c>
      <c r="AR427" s="253" t="s">
        <v>5</v>
      </c>
      <c r="AS427" s="253" t="s">
        <v>5</v>
      </c>
      <c r="AT427" s="253" t="s">
        <v>5</v>
      </c>
      <c r="AU427" s="253" t="s">
        <v>5</v>
      </c>
      <c r="AV427" s="253" t="s">
        <v>5</v>
      </c>
      <c r="AW427" s="253" t="s">
        <v>5</v>
      </c>
      <c r="AX427" s="253" t="s">
        <v>5</v>
      </c>
      <c r="AY427" s="253" t="s">
        <v>5</v>
      </c>
      <c r="AZ427" s="253" t="s">
        <v>5</v>
      </c>
      <c r="BA427" s="253" t="s">
        <v>5</v>
      </c>
      <c r="BB427" s="253" t="s">
        <v>5</v>
      </c>
      <c r="BC427" s="253" t="s">
        <v>5</v>
      </c>
      <c r="BD427" s="253" t="s">
        <v>5</v>
      </c>
      <c r="BE427" s="253" t="s">
        <v>5</v>
      </c>
      <c r="BF427" s="253" t="s">
        <v>5</v>
      </c>
    </row>
    <row r="428" spans="1:58" x14ac:dyDescent="0.3">
      <c r="A428" s="252" t="s">
        <v>1118</v>
      </c>
      <c r="B428" s="264">
        <v>40178</v>
      </c>
      <c r="C428" s="264">
        <v>40268</v>
      </c>
      <c r="D428" s="264">
        <v>40359</v>
      </c>
      <c r="E428" s="264">
        <v>40451</v>
      </c>
      <c r="F428" s="264">
        <v>40543</v>
      </c>
      <c r="G428" s="264">
        <v>40633</v>
      </c>
      <c r="H428" s="264">
        <v>40724</v>
      </c>
      <c r="I428" s="264">
        <v>40816</v>
      </c>
      <c r="J428" s="264">
        <v>40908</v>
      </c>
      <c r="K428" s="264">
        <v>40999</v>
      </c>
      <c r="L428" s="264">
        <v>41090</v>
      </c>
      <c r="M428" s="264">
        <v>41182</v>
      </c>
      <c r="N428" s="264">
        <v>41274</v>
      </c>
      <c r="O428" s="264">
        <v>41364</v>
      </c>
      <c r="P428" s="264">
        <v>41455</v>
      </c>
      <c r="Q428" s="264">
        <v>41547</v>
      </c>
      <c r="R428" s="264">
        <v>41639</v>
      </c>
      <c r="S428" s="264">
        <v>41729</v>
      </c>
      <c r="T428" s="264">
        <v>41820</v>
      </c>
      <c r="U428" s="264">
        <v>41912</v>
      </c>
      <c r="V428" s="264">
        <v>42004</v>
      </c>
      <c r="W428" s="264">
        <v>42094</v>
      </c>
      <c r="X428" s="264">
        <v>42185</v>
      </c>
      <c r="Y428" s="264">
        <v>42277</v>
      </c>
      <c r="Z428" s="264">
        <v>42369</v>
      </c>
      <c r="AA428" s="264">
        <v>42460</v>
      </c>
      <c r="AB428" s="264">
        <v>42551</v>
      </c>
      <c r="AC428" s="264">
        <v>42643</v>
      </c>
      <c r="AD428" s="264">
        <v>42735</v>
      </c>
      <c r="AE428" s="264">
        <v>42825</v>
      </c>
      <c r="AF428" s="264">
        <v>42916</v>
      </c>
      <c r="AG428" s="264">
        <v>43008</v>
      </c>
      <c r="AH428" s="264">
        <v>43100</v>
      </c>
      <c r="AI428" s="264">
        <v>43190</v>
      </c>
      <c r="AJ428" s="264">
        <v>43281</v>
      </c>
      <c r="AK428" s="264">
        <v>43373</v>
      </c>
      <c r="AL428" s="264">
        <v>43465</v>
      </c>
      <c r="AM428" s="264">
        <v>43555</v>
      </c>
      <c r="AN428" s="264">
        <v>43646</v>
      </c>
      <c r="AO428" s="264">
        <v>43738</v>
      </c>
      <c r="AP428" s="264">
        <v>43830</v>
      </c>
      <c r="AQ428" s="264">
        <v>43921</v>
      </c>
      <c r="AR428" s="264">
        <v>44012</v>
      </c>
      <c r="AS428" s="264">
        <v>44104</v>
      </c>
      <c r="AT428" s="264">
        <v>44196</v>
      </c>
      <c r="AU428" s="264">
        <v>44286</v>
      </c>
      <c r="AV428" s="264">
        <v>44377</v>
      </c>
      <c r="AW428" s="264">
        <v>44469</v>
      </c>
      <c r="AX428" s="264">
        <v>44561</v>
      </c>
      <c r="AY428" s="264">
        <v>44651</v>
      </c>
      <c r="AZ428" s="264">
        <v>44742</v>
      </c>
      <c r="BA428" s="264">
        <v>44834</v>
      </c>
      <c r="BB428" s="264">
        <v>44926</v>
      </c>
      <c r="BC428" s="264">
        <v>45016</v>
      </c>
      <c r="BD428" s="264">
        <v>45107</v>
      </c>
      <c r="BE428" s="264">
        <v>45199</v>
      </c>
      <c r="BF428" s="264">
        <v>45291</v>
      </c>
    </row>
    <row r="429" spans="1:58" x14ac:dyDescent="0.3">
      <c r="A429" s="252" t="s">
        <v>1119</v>
      </c>
      <c r="B429" s="264">
        <v>40178</v>
      </c>
      <c r="C429" s="264">
        <v>40268</v>
      </c>
      <c r="D429" s="264">
        <v>40359</v>
      </c>
      <c r="E429" s="264">
        <v>40451</v>
      </c>
      <c r="F429" s="264">
        <v>40543</v>
      </c>
      <c r="G429" s="264">
        <v>40633</v>
      </c>
      <c r="H429" s="264">
        <v>40724</v>
      </c>
      <c r="I429" s="264">
        <v>40816</v>
      </c>
      <c r="J429" s="264">
        <v>40908</v>
      </c>
      <c r="K429" s="264">
        <v>40999</v>
      </c>
      <c r="L429" s="264">
        <v>41090</v>
      </c>
      <c r="M429" s="264">
        <v>41182</v>
      </c>
      <c r="N429" s="264">
        <v>41274</v>
      </c>
      <c r="O429" s="264">
        <v>41364</v>
      </c>
      <c r="P429" s="264">
        <v>41455</v>
      </c>
      <c r="Q429" s="264">
        <v>41547</v>
      </c>
      <c r="R429" s="264">
        <v>41639</v>
      </c>
      <c r="S429" s="264">
        <v>41729</v>
      </c>
      <c r="T429" s="264">
        <v>41820</v>
      </c>
      <c r="U429" s="264">
        <v>41912</v>
      </c>
      <c r="V429" s="264">
        <v>42004</v>
      </c>
      <c r="W429" s="264">
        <v>42094</v>
      </c>
      <c r="X429" s="264">
        <v>42185</v>
      </c>
      <c r="Y429" s="264">
        <v>42277</v>
      </c>
      <c r="Z429" s="264">
        <v>42369</v>
      </c>
      <c r="AA429" s="264">
        <v>42460</v>
      </c>
      <c r="AB429" s="264">
        <v>42551</v>
      </c>
      <c r="AC429" s="264">
        <v>42643</v>
      </c>
      <c r="AD429" s="264">
        <v>42735</v>
      </c>
      <c r="AE429" s="264">
        <v>42825</v>
      </c>
      <c r="AF429" s="264">
        <v>42916</v>
      </c>
      <c r="AG429" s="264">
        <v>43008</v>
      </c>
      <c r="AH429" s="264">
        <v>43100</v>
      </c>
      <c r="AI429" s="264">
        <v>43190</v>
      </c>
      <c r="AJ429" s="264">
        <v>43281</v>
      </c>
      <c r="AK429" s="264">
        <v>43373</v>
      </c>
      <c r="AL429" s="264">
        <v>43465</v>
      </c>
      <c r="AM429" s="264">
        <v>43555</v>
      </c>
      <c r="AN429" s="264">
        <v>43646</v>
      </c>
      <c r="AO429" s="264">
        <v>43738</v>
      </c>
      <c r="AP429" s="264">
        <v>43830</v>
      </c>
      <c r="AQ429" s="264">
        <v>43921</v>
      </c>
      <c r="AR429" s="264">
        <v>44012</v>
      </c>
      <c r="AS429" s="264">
        <v>44104</v>
      </c>
      <c r="AT429" s="264">
        <v>44196</v>
      </c>
      <c r="AU429" s="264">
        <v>44286</v>
      </c>
      <c r="AV429" s="264">
        <v>44377</v>
      </c>
      <c r="AW429" s="264">
        <v>44469</v>
      </c>
      <c r="AX429" s="264">
        <v>44561</v>
      </c>
      <c r="AY429" s="264">
        <v>44651</v>
      </c>
      <c r="AZ429" s="264">
        <v>44742</v>
      </c>
      <c r="BA429" s="264">
        <v>44834</v>
      </c>
      <c r="BB429" s="264">
        <v>44926</v>
      </c>
      <c r="BC429" s="264">
        <v>45016</v>
      </c>
      <c r="BD429" s="264">
        <v>45107</v>
      </c>
      <c r="BE429" s="264">
        <v>45199</v>
      </c>
      <c r="BF429" s="264">
        <v>45291</v>
      </c>
    </row>
    <row r="430" spans="1:58" x14ac:dyDescent="0.3">
      <c r="A430" s="252" t="s">
        <v>1120</v>
      </c>
      <c r="B430" s="264">
        <v>7306</v>
      </c>
      <c r="C430" s="264">
        <v>7306</v>
      </c>
      <c r="D430" s="264">
        <v>7306</v>
      </c>
      <c r="E430" s="264">
        <v>7306</v>
      </c>
      <c r="F430" s="264">
        <v>7306</v>
      </c>
      <c r="G430" s="264">
        <v>40677</v>
      </c>
      <c r="H430" s="264">
        <v>40766</v>
      </c>
      <c r="I430" s="264">
        <v>40857</v>
      </c>
      <c r="J430" s="264">
        <v>40980</v>
      </c>
      <c r="K430" s="264">
        <v>41039</v>
      </c>
      <c r="L430" s="264">
        <v>41130</v>
      </c>
      <c r="M430" s="264">
        <v>41225</v>
      </c>
      <c r="N430" s="264">
        <v>41337</v>
      </c>
      <c r="O430" s="264">
        <v>41409</v>
      </c>
      <c r="P430" s="264">
        <v>41500</v>
      </c>
      <c r="Q430" s="264">
        <v>41591</v>
      </c>
      <c r="R430" s="264">
        <v>41729</v>
      </c>
      <c r="S430" s="264">
        <v>41773</v>
      </c>
      <c r="T430" s="264">
        <v>41865</v>
      </c>
      <c r="U430" s="264">
        <v>41956</v>
      </c>
      <c r="V430" s="264">
        <v>42093</v>
      </c>
      <c r="W430" s="264">
        <v>42138</v>
      </c>
      <c r="X430" s="264">
        <v>42236</v>
      </c>
      <c r="Y430" s="264">
        <v>42320</v>
      </c>
      <c r="Z430" s="264">
        <v>42452</v>
      </c>
      <c r="AA430" s="264">
        <v>42502</v>
      </c>
      <c r="AB430" s="264">
        <v>42593</v>
      </c>
      <c r="AC430" s="264">
        <v>42688</v>
      </c>
      <c r="AD430" s="264">
        <v>42822</v>
      </c>
      <c r="AE430" s="264">
        <v>42867</v>
      </c>
      <c r="AF430" s="264">
        <v>42956</v>
      </c>
      <c r="AG430" s="264">
        <v>43048</v>
      </c>
      <c r="AH430" s="264">
        <v>44138</v>
      </c>
      <c r="AI430" s="264">
        <v>43230</v>
      </c>
      <c r="AJ430" s="264">
        <v>43321</v>
      </c>
      <c r="AK430" s="264">
        <v>43403</v>
      </c>
      <c r="AL430" s="264">
        <v>43535</v>
      </c>
      <c r="AM430" s="264">
        <v>43600</v>
      </c>
      <c r="AN430" s="264">
        <v>44071</v>
      </c>
      <c r="AO430" s="264">
        <v>44139</v>
      </c>
      <c r="AP430" s="264">
        <v>44071</v>
      </c>
      <c r="AQ430" s="264">
        <v>44139</v>
      </c>
      <c r="AR430" s="264">
        <v>44071</v>
      </c>
      <c r="AS430" s="264">
        <v>44153</v>
      </c>
      <c r="AT430" s="264">
        <v>44257</v>
      </c>
      <c r="AU430" s="264">
        <v>44319</v>
      </c>
      <c r="AV430" s="264">
        <v>44410</v>
      </c>
      <c r="AW430" s="264">
        <v>44505</v>
      </c>
      <c r="AX430" s="264">
        <v>44607</v>
      </c>
      <c r="AY430" s="264">
        <v>44685</v>
      </c>
      <c r="AZ430" s="264">
        <v>44776</v>
      </c>
      <c r="BA430" s="264">
        <v>44865</v>
      </c>
      <c r="BB430" s="264">
        <v>44986</v>
      </c>
      <c r="BC430" s="264">
        <v>45049</v>
      </c>
      <c r="BD430" s="264">
        <v>45140</v>
      </c>
      <c r="BE430" s="264">
        <v>45230</v>
      </c>
      <c r="BF430" s="264">
        <v>45359</v>
      </c>
    </row>
    <row r="431" spans="1:58" x14ac:dyDescent="0.3">
      <c r="A431" s="252" t="s">
        <v>1121</v>
      </c>
      <c r="B431" s="264">
        <v>40675</v>
      </c>
      <c r="C431" s="264">
        <v>40728</v>
      </c>
      <c r="D431" s="264">
        <v>40728</v>
      </c>
      <c r="E431" s="264">
        <v>40728</v>
      </c>
      <c r="F431" s="264">
        <v>42774</v>
      </c>
      <c r="G431" s="264">
        <v>42774</v>
      </c>
      <c r="H431" s="264">
        <v>42774</v>
      </c>
      <c r="I431" s="264">
        <v>42774</v>
      </c>
      <c r="J431" s="264">
        <v>42774</v>
      </c>
      <c r="K431" s="264">
        <v>42774</v>
      </c>
      <c r="L431" s="264">
        <v>42774</v>
      </c>
      <c r="M431" s="264">
        <v>42774</v>
      </c>
      <c r="N431" s="264">
        <v>42774</v>
      </c>
      <c r="O431" s="264">
        <v>42774</v>
      </c>
      <c r="P431" s="264">
        <v>42774</v>
      </c>
      <c r="Q431" s="264">
        <v>42774</v>
      </c>
      <c r="R431" s="264">
        <v>42774</v>
      </c>
      <c r="S431" s="264">
        <v>42774</v>
      </c>
      <c r="T431" s="264">
        <v>42774</v>
      </c>
      <c r="U431" s="264">
        <v>42774</v>
      </c>
      <c r="V431" s="264">
        <v>42774</v>
      </c>
      <c r="W431" s="264">
        <v>42774</v>
      </c>
      <c r="X431" s="264">
        <v>42774</v>
      </c>
      <c r="Y431" s="264">
        <v>42774</v>
      </c>
      <c r="Z431" s="264">
        <v>42774</v>
      </c>
      <c r="AA431" s="264">
        <v>42774</v>
      </c>
      <c r="AB431" s="264">
        <v>42774</v>
      </c>
      <c r="AC431" s="264">
        <v>42774</v>
      </c>
      <c r="AD431" s="264">
        <v>42822</v>
      </c>
      <c r="AE431" s="264">
        <v>42870</v>
      </c>
      <c r="AF431" s="264">
        <v>42975</v>
      </c>
      <c r="AG431" s="264">
        <v>43049</v>
      </c>
      <c r="AH431" s="264">
        <v>44139</v>
      </c>
      <c r="AI431" s="264">
        <v>43231</v>
      </c>
      <c r="AJ431" s="264">
        <v>43321</v>
      </c>
      <c r="AK431" s="264">
        <v>43423</v>
      </c>
      <c r="AL431" s="264">
        <v>43536</v>
      </c>
      <c r="AM431" s="264">
        <v>43601</v>
      </c>
      <c r="AN431" s="264">
        <v>44071</v>
      </c>
      <c r="AO431" s="264">
        <v>44139</v>
      </c>
      <c r="AP431" s="264">
        <v>44071</v>
      </c>
      <c r="AQ431" s="264">
        <v>44140</v>
      </c>
      <c r="AR431" s="264">
        <v>44071</v>
      </c>
      <c r="AS431" s="264">
        <v>44153</v>
      </c>
      <c r="AT431" s="264">
        <v>44257</v>
      </c>
      <c r="AU431" s="264">
        <v>44320</v>
      </c>
      <c r="AV431" s="264">
        <v>44410</v>
      </c>
      <c r="AW431" s="264">
        <v>44505</v>
      </c>
      <c r="AX431" s="264">
        <v>44608</v>
      </c>
      <c r="AY431" s="264">
        <v>44686</v>
      </c>
      <c r="AZ431" s="264">
        <v>44777</v>
      </c>
      <c r="BA431" s="264">
        <v>44886</v>
      </c>
      <c r="BB431" s="264">
        <v>44987</v>
      </c>
      <c r="BC431" s="264">
        <v>45050</v>
      </c>
      <c r="BD431" s="264">
        <v>45141</v>
      </c>
      <c r="BE431" s="264">
        <v>45230</v>
      </c>
      <c r="BF431" s="264">
        <v>45362</v>
      </c>
    </row>
    <row r="432" spans="1:58" x14ac:dyDescent="0.3">
      <c r="A432" s="252" t="s">
        <v>1122</v>
      </c>
      <c r="B432" s="253" t="s">
        <v>1123</v>
      </c>
      <c r="C432" s="253" t="s">
        <v>1123</v>
      </c>
      <c r="D432" s="253" t="s">
        <v>1123</v>
      </c>
      <c r="E432" s="253" t="s">
        <v>1123</v>
      </c>
      <c r="F432" s="253" t="s">
        <v>1123</v>
      </c>
      <c r="G432" s="253" t="s">
        <v>1123</v>
      </c>
      <c r="H432" s="253" t="s">
        <v>1123</v>
      </c>
      <c r="I432" s="253" t="s">
        <v>1123</v>
      </c>
      <c r="J432" s="253" t="s">
        <v>1123</v>
      </c>
      <c r="K432" s="253" t="s">
        <v>1123</v>
      </c>
      <c r="L432" s="253" t="s">
        <v>1123</v>
      </c>
      <c r="M432" s="253" t="s">
        <v>1123</v>
      </c>
      <c r="N432" s="253" t="s">
        <v>1123</v>
      </c>
      <c r="O432" s="253" t="s">
        <v>1123</v>
      </c>
      <c r="P432" s="253" t="s">
        <v>1123</v>
      </c>
      <c r="Q432" s="253" t="s">
        <v>1123</v>
      </c>
      <c r="R432" s="253" t="s">
        <v>1123</v>
      </c>
      <c r="S432" s="253" t="s">
        <v>1123</v>
      </c>
      <c r="T432" s="253" t="s">
        <v>1123</v>
      </c>
      <c r="U432" s="253" t="s">
        <v>1123</v>
      </c>
      <c r="V432" s="253" t="s">
        <v>1123</v>
      </c>
      <c r="W432" s="253" t="s">
        <v>1123</v>
      </c>
      <c r="X432" s="253" t="s">
        <v>1123</v>
      </c>
      <c r="Y432" s="253" t="s">
        <v>1123</v>
      </c>
      <c r="Z432" s="253" t="s">
        <v>1123</v>
      </c>
      <c r="AA432" s="253" t="s">
        <v>1123</v>
      </c>
      <c r="AB432" s="253" t="s">
        <v>1123</v>
      </c>
      <c r="AC432" s="253" t="s">
        <v>1123</v>
      </c>
      <c r="AD432" s="253" t="s">
        <v>1123</v>
      </c>
      <c r="AE432" s="253" t="s">
        <v>1123</v>
      </c>
      <c r="AF432" s="253" t="s">
        <v>1123</v>
      </c>
      <c r="AG432" s="253" t="s">
        <v>1123</v>
      </c>
      <c r="AH432" s="253" t="s">
        <v>1123</v>
      </c>
      <c r="AI432" s="253" t="s">
        <v>1123</v>
      </c>
      <c r="AJ432" s="253" t="s">
        <v>1123</v>
      </c>
      <c r="AK432" s="253" t="s">
        <v>1123</v>
      </c>
      <c r="AL432" s="253" t="s">
        <v>1123</v>
      </c>
      <c r="AM432" s="253" t="s">
        <v>1123</v>
      </c>
      <c r="AN432" s="253" t="s">
        <v>1123</v>
      </c>
      <c r="AO432" s="253" t="s">
        <v>1123</v>
      </c>
      <c r="AP432" s="253" t="s">
        <v>1123</v>
      </c>
      <c r="AQ432" s="253" t="s">
        <v>1123</v>
      </c>
      <c r="AR432" s="253" t="s">
        <v>1123</v>
      </c>
      <c r="AS432" s="253" t="s">
        <v>1123</v>
      </c>
      <c r="AT432" s="253" t="s">
        <v>1123</v>
      </c>
      <c r="AU432" s="253" t="s">
        <v>1123</v>
      </c>
      <c r="AV432" s="253" t="s">
        <v>1123</v>
      </c>
      <c r="AW432" s="253" t="s">
        <v>1123</v>
      </c>
      <c r="AX432" s="253" t="s">
        <v>1123</v>
      </c>
      <c r="AY432" s="253" t="s">
        <v>1123</v>
      </c>
      <c r="AZ432" s="253" t="s">
        <v>1123</v>
      </c>
      <c r="BA432" s="253" t="s">
        <v>1123</v>
      </c>
      <c r="BB432" s="253" t="s">
        <v>1123</v>
      </c>
      <c r="BC432" s="253" t="s">
        <v>1123</v>
      </c>
      <c r="BD432" s="253" t="s">
        <v>1123</v>
      </c>
      <c r="BE432" s="253" t="s">
        <v>1123</v>
      </c>
      <c r="BF432" s="253" t="s">
        <v>1123</v>
      </c>
    </row>
    <row r="433" spans="1:58" x14ac:dyDescent="0.3">
      <c r="A433" s="252" t="s">
        <v>1124</v>
      </c>
      <c r="B433" s="253" t="s">
        <v>1125</v>
      </c>
      <c r="C433" s="253" t="s">
        <v>1125</v>
      </c>
      <c r="D433" s="253" t="s">
        <v>1125</v>
      </c>
      <c r="E433" s="253" t="s">
        <v>1125</v>
      </c>
      <c r="F433" s="253" t="s">
        <v>1125</v>
      </c>
      <c r="G433" s="253" t="s">
        <v>1125</v>
      </c>
      <c r="H433" s="253" t="s">
        <v>1125</v>
      </c>
      <c r="I433" s="253" t="s">
        <v>1125</v>
      </c>
      <c r="J433" s="253" t="s">
        <v>1125</v>
      </c>
      <c r="K433" s="253" t="s">
        <v>1125</v>
      </c>
      <c r="L433" s="253" t="s">
        <v>1125</v>
      </c>
      <c r="M433" s="253" t="s">
        <v>1125</v>
      </c>
      <c r="N433" s="253" t="s">
        <v>1125</v>
      </c>
      <c r="O433" s="253" t="s">
        <v>1125</v>
      </c>
      <c r="P433" s="253" t="s">
        <v>1125</v>
      </c>
      <c r="Q433" s="253" t="s">
        <v>1125</v>
      </c>
      <c r="R433" s="253" t="s">
        <v>1125</v>
      </c>
      <c r="S433" s="253" t="s">
        <v>1125</v>
      </c>
      <c r="T433" s="253" t="s">
        <v>1125</v>
      </c>
      <c r="U433" s="253" t="s">
        <v>1125</v>
      </c>
      <c r="V433" s="253" t="s">
        <v>1125</v>
      </c>
      <c r="W433" s="253" t="s">
        <v>1125</v>
      </c>
      <c r="X433" s="253" t="s">
        <v>1125</v>
      </c>
      <c r="Y433" s="253" t="s">
        <v>1125</v>
      </c>
      <c r="Z433" s="253" t="s">
        <v>1125</v>
      </c>
      <c r="AA433" s="253" t="s">
        <v>1125</v>
      </c>
      <c r="AB433" s="253" t="s">
        <v>1125</v>
      </c>
      <c r="AC433" s="253" t="s">
        <v>1125</v>
      </c>
      <c r="AD433" s="253" t="s">
        <v>1125</v>
      </c>
      <c r="AE433" s="253" t="s">
        <v>1125</v>
      </c>
      <c r="AF433" s="253" t="s">
        <v>1125</v>
      </c>
      <c r="AG433" s="253" t="s">
        <v>1125</v>
      </c>
      <c r="AH433" s="253" t="s">
        <v>1125</v>
      </c>
      <c r="AI433" s="253" t="s">
        <v>1125</v>
      </c>
      <c r="AJ433" s="253" t="s">
        <v>1125</v>
      </c>
      <c r="AK433" s="253" t="s">
        <v>1125</v>
      </c>
      <c r="AL433" s="253" t="s">
        <v>1125</v>
      </c>
      <c r="AM433" s="253" t="s">
        <v>1125</v>
      </c>
      <c r="AN433" s="253" t="s">
        <v>1125</v>
      </c>
      <c r="AO433" s="253" t="s">
        <v>1125</v>
      </c>
      <c r="AP433" s="253" t="s">
        <v>1125</v>
      </c>
      <c r="AQ433" s="253" t="s">
        <v>1125</v>
      </c>
      <c r="AR433" s="253" t="s">
        <v>1125</v>
      </c>
      <c r="AS433" s="253" t="s">
        <v>1125</v>
      </c>
      <c r="AT433" s="253" t="s">
        <v>1125</v>
      </c>
      <c r="AU433" s="253" t="s">
        <v>1125</v>
      </c>
      <c r="AV433" s="253" t="s">
        <v>1125</v>
      </c>
      <c r="AW433" s="253" t="s">
        <v>1125</v>
      </c>
      <c r="AX433" s="253" t="s">
        <v>1125</v>
      </c>
      <c r="AY433" s="253" t="s">
        <v>1125</v>
      </c>
      <c r="AZ433" s="253" t="s">
        <v>1125</v>
      </c>
      <c r="BA433" s="253" t="s">
        <v>1125</v>
      </c>
      <c r="BB433" s="253" t="s">
        <v>1125</v>
      </c>
      <c r="BC433" s="253" t="s">
        <v>1125</v>
      </c>
      <c r="BD433" s="253" t="s">
        <v>1125</v>
      </c>
      <c r="BE433" s="253" t="s">
        <v>1125</v>
      </c>
      <c r="BF433" s="253" t="s">
        <v>1125</v>
      </c>
    </row>
    <row r="434" spans="1:58" x14ac:dyDescent="0.3">
      <c r="A434" s="252" t="s">
        <v>775</v>
      </c>
      <c r="B434" s="253" t="s">
        <v>776</v>
      </c>
      <c r="C434" s="253" t="s">
        <v>776</v>
      </c>
      <c r="D434" s="253" t="s">
        <v>776</v>
      </c>
      <c r="E434" s="253" t="s">
        <v>776</v>
      </c>
      <c r="F434" s="253" t="s">
        <v>777</v>
      </c>
      <c r="G434" s="253" t="s">
        <v>777</v>
      </c>
      <c r="H434" s="253" t="s">
        <v>777</v>
      </c>
      <c r="I434" s="253" t="s">
        <v>777</v>
      </c>
      <c r="J434" s="253" t="s">
        <v>777</v>
      </c>
      <c r="K434" s="253" t="s">
        <v>777</v>
      </c>
      <c r="L434" s="253" t="s">
        <v>777</v>
      </c>
      <c r="M434" s="253" t="s">
        <v>777</v>
      </c>
      <c r="N434" s="253" t="s">
        <v>777</v>
      </c>
      <c r="O434" s="253" t="s">
        <v>777</v>
      </c>
      <c r="P434" s="253" t="s">
        <v>777</v>
      </c>
      <c r="Q434" s="253" t="s">
        <v>777</v>
      </c>
      <c r="R434" s="253" t="s">
        <v>777</v>
      </c>
      <c r="S434" s="253" t="s">
        <v>777</v>
      </c>
      <c r="T434" s="253" t="s">
        <v>777</v>
      </c>
      <c r="U434" s="253" t="s">
        <v>777</v>
      </c>
      <c r="V434" s="253" t="s">
        <v>777</v>
      </c>
      <c r="W434" s="253" t="s">
        <v>777</v>
      </c>
      <c r="X434" s="253" t="s">
        <v>777</v>
      </c>
      <c r="Y434" s="253" t="s">
        <v>777</v>
      </c>
      <c r="Z434" s="253" t="s">
        <v>777</v>
      </c>
      <c r="AA434" s="253" t="s">
        <v>777</v>
      </c>
      <c r="AB434" s="253" t="s">
        <v>777</v>
      </c>
      <c r="AC434" s="253" t="s">
        <v>777</v>
      </c>
      <c r="AD434" s="253" t="s">
        <v>777</v>
      </c>
      <c r="AE434" s="253" t="s">
        <v>777</v>
      </c>
      <c r="AF434" s="253" t="s">
        <v>777</v>
      </c>
      <c r="AG434" s="253" t="s">
        <v>777</v>
      </c>
      <c r="AH434" s="253" t="s">
        <v>777</v>
      </c>
      <c r="AI434" s="253" t="s">
        <v>777</v>
      </c>
      <c r="AJ434" s="253" t="s">
        <v>777</v>
      </c>
      <c r="AK434" s="253" t="s">
        <v>777</v>
      </c>
      <c r="AL434" s="253" t="s">
        <v>777</v>
      </c>
      <c r="AM434" s="253" t="s">
        <v>777</v>
      </c>
      <c r="AN434" s="253" t="s">
        <v>777</v>
      </c>
      <c r="AO434" s="253" t="s">
        <v>777</v>
      </c>
      <c r="AP434" s="253" t="s">
        <v>777</v>
      </c>
      <c r="AQ434" s="253" t="s">
        <v>777</v>
      </c>
      <c r="AR434" s="253" t="s">
        <v>777</v>
      </c>
      <c r="AS434" s="253" t="s">
        <v>777</v>
      </c>
      <c r="AT434" s="253" t="s">
        <v>777</v>
      </c>
      <c r="AU434" s="253" t="s">
        <v>777</v>
      </c>
      <c r="AV434" s="253" t="s">
        <v>777</v>
      </c>
      <c r="AW434" s="253" t="s">
        <v>777</v>
      </c>
      <c r="AX434" s="253" t="s">
        <v>777</v>
      </c>
      <c r="AY434" s="253" t="s">
        <v>777</v>
      </c>
      <c r="AZ434" s="253" t="s">
        <v>777</v>
      </c>
      <c r="BA434" s="253" t="s">
        <v>777</v>
      </c>
      <c r="BB434" s="253" t="s">
        <v>777</v>
      </c>
      <c r="BC434" s="253" t="s">
        <v>777</v>
      </c>
      <c r="BD434" s="253" t="s">
        <v>777</v>
      </c>
      <c r="BE434" s="253" t="s">
        <v>777</v>
      </c>
      <c r="BF434" s="253" t="s">
        <v>777</v>
      </c>
    </row>
    <row r="435" spans="1:58" x14ac:dyDescent="0.3">
      <c r="A435" s="252" t="s">
        <v>1126</v>
      </c>
      <c r="B435" s="253" t="s">
        <v>1127</v>
      </c>
      <c r="C435" s="253" t="s">
        <v>1127</v>
      </c>
      <c r="D435" s="253" t="s">
        <v>1127</v>
      </c>
      <c r="E435" s="253" t="s">
        <v>1127</v>
      </c>
      <c r="F435" s="253" t="s">
        <v>1127</v>
      </c>
      <c r="G435" s="253" t="s">
        <v>1127</v>
      </c>
      <c r="H435" s="253" t="s">
        <v>1127</v>
      </c>
      <c r="I435" s="253" t="s">
        <v>1127</v>
      </c>
      <c r="J435" s="253" t="s">
        <v>1127</v>
      </c>
      <c r="K435" s="253" t="s">
        <v>1127</v>
      </c>
      <c r="L435" s="253" t="s">
        <v>1127</v>
      </c>
      <c r="M435" s="253" t="s">
        <v>1127</v>
      </c>
      <c r="N435" s="253" t="s">
        <v>1127</v>
      </c>
      <c r="O435" s="253" t="s">
        <v>1127</v>
      </c>
      <c r="P435" s="253" t="s">
        <v>1127</v>
      </c>
      <c r="Q435" s="253" t="s">
        <v>1127</v>
      </c>
      <c r="R435" s="253" t="s">
        <v>1127</v>
      </c>
      <c r="S435" s="253" t="s">
        <v>1127</v>
      </c>
      <c r="T435" s="253" t="s">
        <v>1127</v>
      </c>
      <c r="U435" s="253" t="s">
        <v>1127</v>
      </c>
      <c r="V435" s="253" t="s">
        <v>1127</v>
      </c>
      <c r="W435" s="253" t="s">
        <v>1127</v>
      </c>
      <c r="X435" s="253" t="s">
        <v>1127</v>
      </c>
      <c r="Y435" s="253" t="s">
        <v>1127</v>
      </c>
      <c r="Z435" s="253" t="s">
        <v>1127</v>
      </c>
      <c r="AA435" s="253" t="s">
        <v>1127</v>
      </c>
      <c r="AB435" s="253" t="s">
        <v>1127</v>
      </c>
      <c r="AC435" s="253" t="s">
        <v>1127</v>
      </c>
      <c r="AD435" s="253" t="s">
        <v>1127</v>
      </c>
      <c r="AE435" s="253" t="s">
        <v>1127</v>
      </c>
      <c r="AF435" s="253" t="s">
        <v>1127</v>
      </c>
      <c r="AG435" s="253" t="s">
        <v>1127</v>
      </c>
      <c r="AH435" s="253" t="s">
        <v>1127</v>
      </c>
      <c r="AI435" s="253" t="s">
        <v>1127</v>
      </c>
      <c r="AJ435" s="253" t="s">
        <v>1127</v>
      </c>
      <c r="AK435" s="253" t="s">
        <v>1127</v>
      </c>
      <c r="AL435" s="253" t="s">
        <v>1127</v>
      </c>
      <c r="AM435" s="253" t="s">
        <v>1127</v>
      </c>
      <c r="AN435" s="253" t="s">
        <v>1127</v>
      </c>
      <c r="AO435" s="253" t="s">
        <v>1127</v>
      </c>
      <c r="AP435" s="253" t="s">
        <v>1127</v>
      </c>
      <c r="AQ435" s="253" t="s">
        <v>1127</v>
      </c>
      <c r="AR435" s="253" t="s">
        <v>1127</v>
      </c>
      <c r="AS435" s="253" t="s">
        <v>1127</v>
      </c>
      <c r="AT435" s="253" t="s">
        <v>1127</v>
      </c>
      <c r="AU435" s="253" t="s">
        <v>1127</v>
      </c>
      <c r="AV435" s="253" t="s">
        <v>1127</v>
      </c>
      <c r="AW435" s="253" t="s">
        <v>1127</v>
      </c>
      <c r="AX435" s="253" t="s">
        <v>1127</v>
      </c>
      <c r="AY435" s="253" t="s">
        <v>1127</v>
      </c>
      <c r="AZ435" s="253" t="s">
        <v>1127</v>
      </c>
      <c r="BA435" s="253" t="s">
        <v>1127</v>
      </c>
      <c r="BB435" s="253" t="s">
        <v>1127</v>
      </c>
      <c r="BC435" s="253" t="s">
        <v>1127</v>
      </c>
      <c r="BD435" s="253" t="s">
        <v>1127</v>
      </c>
      <c r="BE435" s="253" t="s">
        <v>1127</v>
      </c>
      <c r="BF435" s="253" t="s">
        <v>1127</v>
      </c>
    </row>
    <row r="436" spans="1:58" x14ac:dyDescent="0.3">
      <c r="A436" s="252" t="s">
        <v>1128</v>
      </c>
      <c r="B436" s="253" t="s">
        <v>1129</v>
      </c>
      <c r="C436" s="253" t="s">
        <v>1129</v>
      </c>
      <c r="D436" s="253" t="s">
        <v>1129</v>
      </c>
      <c r="E436" s="253" t="s">
        <v>1129</v>
      </c>
      <c r="F436" s="253" t="s">
        <v>1129</v>
      </c>
      <c r="G436" s="253" t="s">
        <v>1129</v>
      </c>
      <c r="H436" s="253" t="s">
        <v>1129</v>
      </c>
      <c r="I436" s="253" t="s">
        <v>1129</v>
      </c>
      <c r="J436" s="253" t="s">
        <v>1129</v>
      </c>
      <c r="K436" s="253" t="s">
        <v>1129</v>
      </c>
      <c r="L436" s="253" t="s">
        <v>1129</v>
      </c>
      <c r="M436" s="253" t="s">
        <v>1129</v>
      </c>
      <c r="N436" s="253" t="s">
        <v>1129</v>
      </c>
      <c r="O436" s="253" t="s">
        <v>1129</v>
      </c>
      <c r="P436" s="253" t="s">
        <v>1129</v>
      </c>
      <c r="Q436" s="253" t="s">
        <v>1129</v>
      </c>
      <c r="R436" s="253" t="s">
        <v>1129</v>
      </c>
      <c r="S436" s="253" t="s">
        <v>1129</v>
      </c>
      <c r="T436" s="253" t="s">
        <v>1129</v>
      </c>
      <c r="U436" s="253" t="s">
        <v>1129</v>
      </c>
      <c r="V436" s="253" t="s">
        <v>1129</v>
      </c>
      <c r="W436" s="253" t="s">
        <v>1129</v>
      </c>
      <c r="X436" s="253" t="s">
        <v>1129</v>
      </c>
      <c r="Y436" s="253" t="s">
        <v>1129</v>
      </c>
      <c r="Z436" s="253" t="s">
        <v>1129</v>
      </c>
      <c r="AA436" s="253" t="s">
        <v>1129</v>
      </c>
      <c r="AB436" s="253" t="s">
        <v>1129</v>
      </c>
      <c r="AC436" s="253" t="s">
        <v>1129</v>
      </c>
      <c r="AD436" s="253" t="s">
        <v>1129</v>
      </c>
      <c r="AE436" s="253" t="s">
        <v>1129</v>
      </c>
      <c r="AF436" s="253" t="s">
        <v>1129</v>
      </c>
      <c r="AG436" s="253" t="s">
        <v>1129</v>
      </c>
      <c r="AH436" s="253" t="s">
        <v>1129</v>
      </c>
      <c r="AI436" s="253" t="s">
        <v>1129</v>
      </c>
      <c r="AJ436" s="253" t="s">
        <v>1129</v>
      </c>
      <c r="AK436" s="253" t="s">
        <v>1129</v>
      </c>
      <c r="AL436" s="253" t="s">
        <v>1129</v>
      </c>
      <c r="AM436" s="253" t="s">
        <v>1129</v>
      </c>
      <c r="AN436" s="253" t="s">
        <v>1129</v>
      </c>
      <c r="AO436" s="253" t="s">
        <v>1129</v>
      </c>
      <c r="AP436" s="253" t="s">
        <v>1129</v>
      </c>
      <c r="AQ436" s="253" t="s">
        <v>1129</v>
      </c>
      <c r="AR436" s="253" t="s">
        <v>1129</v>
      </c>
      <c r="AS436" s="253" t="s">
        <v>1129</v>
      </c>
      <c r="AT436" s="253" t="s">
        <v>1129</v>
      </c>
      <c r="AU436" s="253" t="s">
        <v>1129</v>
      </c>
      <c r="AV436" s="253" t="s">
        <v>1129</v>
      </c>
      <c r="AW436" s="253" t="s">
        <v>1129</v>
      </c>
      <c r="AX436" s="253" t="s">
        <v>1129</v>
      </c>
      <c r="AY436" s="253" t="s">
        <v>1129</v>
      </c>
      <c r="AZ436" s="253" t="s">
        <v>1129</v>
      </c>
      <c r="BA436" s="253" t="s">
        <v>1129</v>
      </c>
      <c r="BB436" s="253" t="s">
        <v>1129</v>
      </c>
      <c r="BC436" s="253" t="s">
        <v>1129</v>
      </c>
      <c r="BD436" s="253" t="s">
        <v>1129</v>
      </c>
      <c r="BE436" s="253" t="s">
        <v>1129</v>
      </c>
      <c r="BF436" s="253" t="s">
        <v>1129</v>
      </c>
    </row>
  </sheetData>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B1AFA-D163-49DA-B910-C6D1AD603360}">
  <sheetPr>
    <tabColor theme="9" tint="-0.499984740745262"/>
  </sheetPr>
  <dimension ref="A1:AV75"/>
  <sheetViews>
    <sheetView showGridLines="0" zoomScaleNormal="100" workbookViewId="0">
      <pane xSplit="2" ySplit="1" topLeftCell="U2" activePane="bottomRight" state="frozen"/>
      <selection pane="topRight" activeCell="C1" sqref="C1"/>
      <selection pane="bottomLeft" activeCell="A2" sqref="A2"/>
      <selection pane="bottomRight" activeCell="Y37" sqref="Y37"/>
    </sheetView>
  </sheetViews>
  <sheetFormatPr defaultRowHeight="14.4" x14ac:dyDescent="0.3"/>
  <cols>
    <col min="2" max="2" width="66" bestFit="1" customWidth="1"/>
    <col min="3" max="4" width="10.88671875" customWidth="1"/>
    <col min="5" max="8" width="11.21875" customWidth="1"/>
    <col min="9" max="24" width="11.33203125" customWidth="1"/>
    <col min="25" max="25" width="9.77734375" bestFit="1" customWidth="1"/>
    <col min="26" max="26" width="9.109375" bestFit="1" customWidth="1"/>
    <col min="27" max="27" width="9.109375" customWidth="1"/>
    <col min="28" max="28" width="11.88671875" customWidth="1"/>
    <col min="29" max="32" width="10.77734375" bestFit="1" customWidth="1"/>
    <col min="33" max="33" width="47.109375" customWidth="1"/>
    <col min="37" max="37" width="19.33203125" customWidth="1"/>
    <col min="38" max="38" width="66" bestFit="1" customWidth="1"/>
    <col min="40" max="40" width="15.88671875" customWidth="1"/>
    <col min="41" max="41" width="12.109375" bestFit="1" customWidth="1"/>
    <col min="44" max="44" width="12.109375" bestFit="1" customWidth="1"/>
    <col min="48" max="48" width="12.109375" bestFit="1" customWidth="1"/>
    <col min="50" max="50" width="12.109375" bestFit="1" customWidth="1"/>
  </cols>
  <sheetData>
    <row r="1" spans="1:48" x14ac:dyDescent="0.3">
      <c r="C1" s="45" t="s">
        <v>244</v>
      </c>
      <c r="D1" s="45" t="s">
        <v>243</v>
      </c>
      <c r="E1" s="45" t="s">
        <v>242</v>
      </c>
      <c r="F1" s="45" t="s">
        <v>236</v>
      </c>
      <c r="G1" s="45">
        <v>2018</v>
      </c>
      <c r="H1" s="45" t="s">
        <v>241</v>
      </c>
      <c r="I1" s="45" t="s">
        <v>240</v>
      </c>
      <c r="J1" s="45" t="s">
        <v>239</v>
      </c>
      <c r="K1" s="45" t="s">
        <v>237</v>
      </c>
      <c r="L1" s="45">
        <v>2019</v>
      </c>
      <c r="M1" s="45" t="s">
        <v>235</v>
      </c>
      <c r="N1" s="45" t="s">
        <v>234</v>
      </c>
      <c r="O1" s="45" t="s">
        <v>238</v>
      </c>
      <c r="P1" s="45" t="s">
        <v>226</v>
      </c>
      <c r="Q1" s="45">
        <v>2020</v>
      </c>
      <c r="R1" s="45" t="s">
        <v>232</v>
      </c>
      <c r="S1" s="45" t="s">
        <v>231</v>
      </c>
      <c r="T1" s="45" t="s">
        <v>229</v>
      </c>
      <c r="U1" s="45" t="s">
        <v>225</v>
      </c>
      <c r="V1" s="45">
        <v>2021</v>
      </c>
      <c r="W1" s="45" t="s">
        <v>230</v>
      </c>
      <c r="X1" s="45" t="s">
        <v>228</v>
      </c>
      <c r="Y1" s="45" t="s">
        <v>227</v>
      </c>
      <c r="Z1" s="45" t="s">
        <v>224</v>
      </c>
      <c r="AA1" s="45">
        <v>2022</v>
      </c>
      <c r="AB1" s="45" t="s">
        <v>136</v>
      </c>
      <c r="AC1" s="45" t="s">
        <v>137</v>
      </c>
      <c r="AD1" s="45" t="s">
        <v>268</v>
      </c>
      <c r="AE1" s="45" t="s">
        <v>269</v>
      </c>
      <c r="AF1" s="45">
        <v>2023</v>
      </c>
    </row>
    <row r="3" spans="1:48" s="212" customFormat="1" x14ac:dyDescent="0.3">
      <c r="A3" s="211" t="s">
        <v>246</v>
      </c>
    </row>
    <row r="4" spans="1:48" x14ac:dyDescent="0.3">
      <c r="M4" s="1"/>
      <c r="N4" s="1"/>
      <c r="O4" s="1"/>
      <c r="P4" s="1"/>
      <c r="R4" s="1"/>
      <c r="S4" s="1"/>
      <c r="T4" s="1"/>
      <c r="U4" s="1"/>
      <c r="W4" s="1"/>
      <c r="X4" s="1"/>
      <c r="Y4" s="1"/>
      <c r="Z4" s="1"/>
      <c r="AB4" s="1"/>
      <c r="AC4" s="1"/>
      <c r="AD4" s="1"/>
      <c r="AE4" s="1"/>
      <c r="AF4" s="1"/>
    </row>
    <row r="5" spans="1:48" x14ac:dyDescent="0.3">
      <c r="A5" t="s">
        <v>108</v>
      </c>
      <c r="B5" t="s">
        <v>109</v>
      </c>
      <c r="D5" s="1"/>
    </row>
    <row r="6" spans="1:48" x14ac:dyDescent="0.3">
      <c r="A6" t="s">
        <v>206</v>
      </c>
      <c r="B6" s="34" t="s">
        <v>207</v>
      </c>
      <c r="C6" s="66">
        <v>-17962</v>
      </c>
      <c r="D6" s="66">
        <v>77058</v>
      </c>
      <c r="E6" s="66">
        <v>167710</v>
      </c>
      <c r="F6" s="66">
        <v>246428</v>
      </c>
      <c r="G6" s="48">
        <f>F6</f>
        <v>246428</v>
      </c>
      <c r="H6" s="66">
        <v>68798</v>
      </c>
      <c r="I6" s="66">
        <v>374038</v>
      </c>
      <c r="J6" s="66">
        <v>521799</v>
      </c>
      <c r="K6" s="66">
        <v>444671</v>
      </c>
      <c r="L6" s="48">
        <f>K6</f>
        <v>444671</v>
      </c>
      <c r="M6" s="66">
        <v>236752</v>
      </c>
      <c r="N6" s="66">
        <v>791434</v>
      </c>
      <c r="O6" s="66">
        <v>1254191</v>
      </c>
      <c r="P6" s="66">
        <v>1617546</v>
      </c>
      <c r="Q6" s="48">
        <f>P6</f>
        <v>1617546</v>
      </c>
      <c r="R6" s="66">
        <v>723130</v>
      </c>
      <c r="S6" s="66">
        <v>804781</v>
      </c>
      <c r="T6" s="66">
        <v>1514308</v>
      </c>
      <c r="U6" s="66">
        <v>2183736</v>
      </c>
      <c r="V6" s="48">
        <f>U6</f>
        <v>2183736</v>
      </c>
      <c r="W6" s="66">
        <v>969766</v>
      </c>
      <c r="X6" s="66">
        <v>1671174</v>
      </c>
      <c r="Y6" s="66">
        <v>3517988</v>
      </c>
      <c r="Z6" s="66">
        <v>4927159</v>
      </c>
      <c r="AA6" s="48">
        <f>Z6</f>
        <v>4927159</v>
      </c>
      <c r="AB6" s="66">
        <v>-90108</v>
      </c>
      <c r="AC6" s="66">
        <v>2327947</v>
      </c>
      <c r="AD6" s="66">
        <v>4939467</v>
      </c>
      <c r="AE6" s="66">
        <v>7740287</v>
      </c>
      <c r="AF6" s="48">
        <f>AE6</f>
        <v>7740287</v>
      </c>
      <c r="AG6" s="35"/>
      <c r="AH6" s="35"/>
      <c r="AI6" s="35"/>
      <c r="AU6" s="35"/>
    </row>
    <row r="7" spans="1:48" x14ac:dyDescent="0.3">
      <c r="A7" t="s">
        <v>208</v>
      </c>
      <c r="B7" s="44" t="s">
        <v>209</v>
      </c>
      <c r="C7" s="49">
        <v>26164</v>
      </c>
      <c r="D7" s="49">
        <v>71763</v>
      </c>
      <c r="E7" s="49">
        <v>66457</v>
      </c>
      <c r="F7" s="49">
        <v>72462</v>
      </c>
      <c r="G7" s="48">
        <f t="shared" ref="G7:G15" si="0">F7</f>
        <v>72462</v>
      </c>
      <c r="H7" s="49">
        <v>31240</v>
      </c>
      <c r="I7" s="49">
        <v>121783</v>
      </c>
      <c r="J7" s="49">
        <v>278366</v>
      </c>
      <c r="K7" s="49">
        <v>508958</v>
      </c>
      <c r="L7" s="48">
        <f t="shared" ref="L7:L15" si="1">K7</f>
        <v>508958</v>
      </c>
      <c r="M7" s="49">
        <v>131655</v>
      </c>
      <c r="N7" s="49">
        <v>351579</v>
      </c>
      <c r="O7" s="49">
        <v>555846</v>
      </c>
      <c r="P7" s="49">
        <v>843800</v>
      </c>
      <c r="Q7" s="48">
        <f t="shared" ref="Q7:Q15" si="2">P7</f>
        <v>843800</v>
      </c>
      <c r="R7" s="49">
        <v>131950</v>
      </c>
      <c r="S7" s="49">
        <v>368124</v>
      </c>
      <c r="T7" s="49">
        <v>576228</v>
      </c>
      <c r="U7" s="49">
        <v>881271</v>
      </c>
      <c r="V7" s="48">
        <f t="shared" ref="V7:V15" si="3">U7</f>
        <v>881271</v>
      </c>
      <c r="W7" s="49">
        <v>184255</v>
      </c>
      <c r="X7" s="49">
        <v>392317</v>
      </c>
      <c r="Y7" s="49">
        <v>657418</v>
      </c>
      <c r="Z7" s="49">
        <v>854256</v>
      </c>
      <c r="AA7" s="48">
        <f t="shared" ref="AA7:AA15" si="4">Z7</f>
        <v>854256</v>
      </c>
      <c r="AB7" s="49">
        <v>302943</v>
      </c>
      <c r="AC7" s="49">
        <v>845349</v>
      </c>
      <c r="AD7" s="49">
        <v>1691569</v>
      </c>
      <c r="AE7" s="49">
        <v>2054585</v>
      </c>
      <c r="AF7" s="48">
        <f t="shared" ref="AF7:AF15" si="5">AE7</f>
        <v>2054585</v>
      </c>
      <c r="AG7" s="35"/>
      <c r="AH7" s="35"/>
      <c r="AI7" s="35"/>
      <c r="AU7" s="35"/>
    </row>
    <row r="8" spans="1:48" x14ac:dyDescent="0.3">
      <c r="B8" s="44" t="s">
        <v>16</v>
      </c>
      <c r="C8" s="49">
        <v>-44126</v>
      </c>
      <c r="D8" s="49">
        <v>5295</v>
      </c>
      <c r="E8" s="49">
        <v>101253</v>
      </c>
      <c r="F8" s="49">
        <v>173966</v>
      </c>
      <c r="G8" s="48">
        <f t="shared" si="0"/>
        <v>173966</v>
      </c>
      <c r="H8" s="49">
        <v>37558</v>
      </c>
      <c r="I8" s="49">
        <v>252255</v>
      </c>
      <c r="J8" s="49">
        <v>243433</v>
      </c>
      <c r="K8" s="49">
        <v>-64287</v>
      </c>
      <c r="L8" s="48">
        <f t="shared" si="1"/>
        <v>-64287</v>
      </c>
      <c r="M8" s="49">
        <v>105097</v>
      </c>
      <c r="N8" s="49">
        <v>439855</v>
      </c>
      <c r="O8" s="49">
        <v>698345</v>
      </c>
      <c r="P8" s="49">
        <v>773746</v>
      </c>
      <c r="Q8" s="48">
        <f t="shared" si="2"/>
        <v>773746</v>
      </c>
      <c r="R8" s="49">
        <v>591180</v>
      </c>
      <c r="S8" s="49">
        <v>436657</v>
      </c>
      <c r="T8" s="49">
        <v>938080</v>
      </c>
      <c r="U8" s="49">
        <v>1302465</v>
      </c>
      <c r="V8" s="48">
        <f t="shared" si="3"/>
        <v>1302465</v>
      </c>
      <c r="W8" s="49">
        <v>785511</v>
      </c>
      <c r="X8" s="49">
        <v>1278857</v>
      </c>
      <c r="Y8" s="49">
        <v>2860570</v>
      </c>
      <c r="Z8" s="49">
        <v>4072903</v>
      </c>
      <c r="AA8" s="48">
        <f t="shared" si="4"/>
        <v>4072903</v>
      </c>
      <c r="AB8" s="49">
        <v>-393051</v>
      </c>
      <c r="AC8" s="49">
        <v>1482598</v>
      </c>
      <c r="AD8" s="49">
        <f>AD6-AD7</f>
        <v>3247898</v>
      </c>
      <c r="AE8" s="49">
        <f>AE6-AE7</f>
        <v>5685702</v>
      </c>
      <c r="AF8" s="48">
        <f t="shared" si="5"/>
        <v>5685702</v>
      </c>
      <c r="AG8" s="35"/>
      <c r="AH8" s="35"/>
      <c r="AI8" s="35"/>
      <c r="AU8" s="35"/>
    </row>
    <row r="9" spans="1:48" x14ac:dyDescent="0.3">
      <c r="A9" t="s">
        <v>210</v>
      </c>
      <c r="B9" s="34" t="s">
        <v>211</v>
      </c>
      <c r="C9" s="66">
        <v>34632</v>
      </c>
      <c r="D9" s="66">
        <v>-182290</v>
      </c>
      <c r="E9" s="66">
        <v>-117220</v>
      </c>
      <c r="F9" s="66">
        <v>-281433</v>
      </c>
      <c r="G9" s="48">
        <f t="shared" si="0"/>
        <v>-281433</v>
      </c>
      <c r="H9" s="66">
        <v>-1083902</v>
      </c>
      <c r="I9" s="66">
        <v>-1181035</v>
      </c>
      <c r="J9" s="66">
        <v>-1243758</v>
      </c>
      <c r="K9" s="66">
        <v>-1383308</v>
      </c>
      <c r="L9" s="48">
        <f t="shared" si="1"/>
        <v>-1383308</v>
      </c>
      <c r="M9" s="66">
        <v>-693448</v>
      </c>
      <c r="N9" s="66">
        <v>-685886</v>
      </c>
      <c r="O9" s="66">
        <v>-829124</v>
      </c>
      <c r="P9" s="66">
        <v>-585142</v>
      </c>
      <c r="Q9" s="48">
        <f t="shared" si="2"/>
        <v>-585142</v>
      </c>
      <c r="R9" s="66">
        <v>-376098</v>
      </c>
      <c r="S9" s="66">
        <v>-1545634</v>
      </c>
      <c r="T9" s="66">
        <v>-3402632</v>
      </c>
      <c r="U9" s="66">
        <v>-4743320</v>
      </c>
      <c r="V9" s="48">
        <f t="shared" si="3"/>
        <v>-4743320</v>
      </c>
      <c r="W9" s="66">
        <v>549472</v>
      </c>
      <c r="X9" s="66">
        <v>-932880</v>
      </c>
      <c r="Y9" s="66">
        <v>-300711</v>
      </c>
      <c r="Z9" s="66">
        <v>-175963.00823000001</v>
      </c>
      <c r="AA9" s="48">
        <f t="shared" si="4"/>
        <v>-175963.00823000001</v>
      </c>
      <c r="AB9" s="66">
        <v>-10018922</v>
      </c>
      <c r="AC9" s="66">
        <v>-11401193</v>
      </c>
      <c r="AD9" s="66">
        <v>-12533960</v>
      </c>
      <c r="AE9" s="66">
        <v>-13244756</v>
      </c>
      <c r="AF9" s="48">
        <f t="shared" si="5"/>
        <v>-13244756</v>
      </c>
      <c r="AG9" s="35"/>
      <c r="AH9" s="35"/>
      <c r="AI9" s="35"/>
      <c r="AU9" s="35"/>
    </row>
    <row r="10" spans="1:48" x14ac:dyDescent="0.3">
      <c r="A10" t="s">
        <v>212</v>
      </c>
      <c r="B10" s="34" t="s">
        <v>213</v>
      </c>
      <c r="C10" s="66">
        <v>-20496</v>
      </c>
      <c r="D10" s="66">
        <v>74677</v>
      </c>
      <c r="E10" s="66">
        <v>-126571</v>
      </c>
      <c r="F10" s="66">
        <v>121033</v>
      </c>
      <c r="G10" s="48">
        <f t="shared" si="0"/>
        <v>121033</v>
      </c>
      <c r="H10" s="66">
        <v>965729</v>
      </c>
      <c r="I10" s="66">
        <v>986569</v>
      </c>
      <c r="J10" s="66">
        <v>858950</v>
      </c>
      <c r="K10" s="66">
        <v>1189756</v>
      </c>
      <c r="L10" s="48">
        <f t="shared" si="1"/>
        <v>1189756</v>
      </c>
      <c r="M10" s="66">
        <v>262977</v>
      </c>
      <c r="N10" s="66">
        <v>-311639</v>
      </c>
      <c r="O10" s="66">
        <v>-522248</v>
      </c>
      <c r="P10" s="66">
        <v>-713295</v>
      </c>
      <c r="Q10" s="48">
        <f t="shared" si="2"/>
        <v>-713295</v>
      </c>
      <c r="R10" s="66">
        <v>1940661</v>
      </c>
      <c r="S10" s="66">
        <v>3340055</v>
      </c>
      <c r="T10" s="66">
        <v>2961208</v>
      </c>
      <c r="U10" s="66">
        <v>2627429</v>
      </c>
      <c r="V10" s="48">
        <f t="shared" si="3"/>
        <v>2627429</v>
      </c>
      <c r="W10" s="66">
        <v>992899</v>
      </c>
      <c r="X10" s="66">
        <v>2104128</v>
      </c>
      <c r="Y10" s="66">
        <v>4039527</v>
      </c>
      <c r="Z10" s="66">
        <v>4009917</v>
      </c>
      <c r="AA10" s="48">
        <f t="shared" si="4"/>
        <v>4009917</v>
      </c>
      <c r="AB10" s="66">
        <v>1280916</v>
      </c>
      <c r="AC10" s="66">
        <v>823286</v>
      </c>
      <c r="AD10" s="66">
        <v>184543</v>
      </c>
      <c r="AE10" s="66">
        <v>-917103</v>
      </c>
      <c r="AF10" s="48">
        <f t="shared" si="5"/>
        <v>-917103</v>
      </c>
      <c r="AG10" s="35"/>
      <c r="AH10" s="35"/>
      <c r="AI10" s="35"/>
      <c r="AU10" s="35"/>
    </row>
    <row r="11" spans="1:48" x14ac:dyDescent="0.3">
      <c r="A11" t="s">
        <v>214</v>
      </c>
      <c r="B11" s="43" t="s">
        <v>215</v>
      </c>
      <c r="C11" s="49">
        <v>0</v>
      </c>
      <c r="D11" s="49">
        <v>0</v>
      </c>
      <c r="E11" s="49">
        <v>0</v>
      </c>
      <c r="F11" s="49">
        <v>0</v>
      </c>
      <c r="G11" s="48">
        <f t="shared" si="0"/>
        <v>0</v>
      </c>
      <c r="H11" s="49">
        <v>-52958</v>
      </c>
      <c r="I11" s="49">
        <v>-94952</v>
      </c>
      <c r="J11" s="49">
        <v>-123318</v>
      </c>
      <c r="K11" s="49">
        <v>-255208</v>
      </c>
      <c r="L11" s="48">
        <f t="shared" si="1"/>
        <v>-255208</v>
      </c>
      <c r="M11" s="49">
        <v>-67841</v>
      </c>
      <c r="N11" s="49">
        <v>-108905</v>
      </c>
      <c r="O11" s="49">
        <v>-168805</v>
      </c>
      <c r="P11" s="49">
        <v>-244174</v>
      </c>
      <c r="Q11" s="48">
        <f t="shared" si="2"/>
        <v>-244174</v>
      </c>
      <c r="R11" s="49">
        <v>-67841</v>
      </c>
      <c r="S11" s="49">
        <v>-137725</v>
      </c>
      <c r="T11" s="49">
        <v>-172939</v>
      </c>
      <c r="U11" s="49">
        <v>-183922</v>
      </c>
      <c r="V11" s="48">
        <f t="shared" si="3"/>
        <v>-183922</v>
      </c>
      <c r="W11" s="49">
        <v>-25609</v>
      </c>
      <c r="X11" s="49">
        <v>-59087</v>
      </c>
      <c r="Y11" s="49">
        <v>-103431</v>
      </c>
      <c r="Z11" s="49">
        <v>-352759</v>
      </c>
      <c r="AA11" s="48">
        <f t="shared" si="4"/>
        <v>-352759</v>
      </c>
      <c r="AB11" s="49">
        <v>-31283</v>
      </c>
      <c r="AC11" s="49">
        <v>-60835</v>
      </c>
      <c r="AD11" s="49">
        <f>-35964-101416</f>
        <v>-137380</v>
      </c>
      <c r="AE11" s="49">
        <v>-221404</v>
      </c>
      <c r="AF11" s="48">
        <f t="shared" si="5"/>
        <v>-221404</v>
      </c>
      <c r="AG11" s="35"/>
      <c r="AH11" s="35"/>
      <c r="AI11" s="35"/>
      <c r="AU11" s="35"/>
    </row>
    <row r="12" spans="1:48" x14ac:dyDescent="0.3">
      <c r="A12" t="s">
        <v>216</v>
      </c>
      <c r="B12" s="34" t="s">
        <v>217</v>
      </c>
      <c r="C12" s="66">
        <v>-1956</v>
      </c>
      <c r="D12" s="66">
        <v>7441</v>
      </c>
      <c r="E12" s="66">
        <v>11796</v>
      </c>
      <c r="F12" s="66">
        <v>8520</v>
      </c>
      <c r="G12" s="48">
        <f t="shared" si="0"/>
        <v>8520</v>
      </c>
      <c r="H12" s="66">
        <v>2628</v>
      </c>
      <c r="I12" s="66">
        <v>26315</v>
      </c>
      <c r="J12" s="66">
        <v>34937</v>
      </c>
      <c r="K12" s="66">
        <v>21285</v>
      </c>
      <c r="L12" s="48">
        <f t="shared" si="1"/>
        <v>21285</v>
      </c>
      <c r="M12" s="66">
        <v>49501</v>
      </c>
      <c r="N12" s="66">
        <v>66382</v>
      </c>
      <c r="O12" s="66">
        <v>60370</v>
      </c>
      <c r="P12" s="66">
        <v>30767</v>
      </c>
      <c r="Q12" s="48">
        <f t="shared" si="2"/>
        <v>30767</v>
      </c>
      <c r="R12" s="66">
        <v>88065</v>
      </c>
      <c r="S12" s="66">
        <v>-26856</v>
      </c>
      <c r="T12" s="66">
        <v>66822</v>
      </c>
      <c r="U12" s="66">
        <v>93563</v>
      </c>
      <c r="V12" s="48">
        <f t="shared" si="3"/>
        <v>93563</v>
      </c>
      <c r="W12" s="66">
        <v>-391204</v>
      </c>
      <c r="X12" s="66">
        <v>-619722</v>
      </c>
      <c r="Y12" s="66">
        <v>135221</v>
      </c>
      <c r="Z12" s="66">
        <v>-118833</v>
      </c>
      <c r="AA12" s="48">
        <f t="shared" si="4"/>
        <v>-118833</v>
      </c>
      <c r="AB12" s="66">
        <v>-257667</v>
      </c>
      <c r="AC12" s="66">
        <v>-207748</v>
      </c>
      <c r="AD12" s="66">
        <v>22248</v>
      </c>
      <c r="AE12" s="66">
        <v>-855986</v>
      </c>
      <c r="AF12" s="48">
        <f t="shared" si="5"/>
        <v>-855986</v>
      </c>
      <c r="AG12" s="35"/>
      <c r="AH12" s="35"/>
      <c r="AI12" s="35"/>
      <c r="AU12" s="35"/>
    </row>
    <row r="13" spans="1:48" x14ac:dyDescent="0.3">
      <c r="A13" t="s">
        <v>218</v>
      </c>
      <c r="B13" s="34" t="s">
        <v>219</v>
      </c>
      <c r="C13" s="66">
        <v>-5782</v>
      </c>
      <c r="D13" s="66">
        <v>-23114</v>
      </c>
      <c r="E13" s="66">
        <v>-64285</v>
      </c>
      <c r="F13" s="66">
        <v>94548</v>
      </c>
      <c r="G13" s="48">
        <f t="shared" si="0"/>
        <v>94548</v>
      </c>
      <c r="H13" s="66">
        <v>-46747</v>
      </c>
      <c r="I13" s="66">
        <v>205887</v>
      </c>
      <c r="J13" s="66">
        <v>171928</v>
      </c>
      <c r="K13" s="66">
        <v>272404</v>
      </c>
      <c r="L13" s="48">
        <f t="shared" si="1"/>
        <v>272404</v>
      </c>
      <c r="M13" s="66">
        <v>-144218</v>
      </c>
      <c r="N13" s="66">
        <v>-139709</v>
      </c>
      <c r="O13" s="66">
        <v>-36811</v>
      </c>
      <c r="P13" s="66">
        <v>349876</v>
      </c>
      <c r="Q13" s="48">
        <f t="shared" si="2"/>
        <v>349876</v>
      </c>
      <c r="R13" s="66">
        <v>2375758</v>
      </c>
      <c r="S13" s="66">
        <v>2572346</v>
      </c>
      <c r="T13" s="66">
        <v>1139706</v>
      </c>
      <c r="U13" s="66">
        <v>161408</v>
      </c>
      <c r="V13" s="48">
        <f t="shared" si="3"/>
        <v>161408</v>
      </c>
      <c r="W13" s="66">
        <v>2120933</v>
      </c>
      <c r="X13" s="66">
        <v>2222700</v>
      </c>
      <c r="Y13" s="66">
        <v>7392025</v>
      </c>
      <c r="Z13" s="66">
        <v>8642280</v>
      </c>
      <c r="AA13" s="48">
        <f t="shared" si="4"/>
        <v>8642280</v>
      </c>
      <c r="AB13" s="66">
        <v>-9085781</v>
      </c>
      <c r="AC13" s="66">
        <v>-8457708</v>
      </c>
      <c r="AD13" s="66">
        <v>-7387702</v>
      </c>
      <c r="AE13" s="66">
        <v>-7277558</v>
      </c>
      <c r="AF13" s="48">
        <f t="shared" si="5"/>
        <v>-7277558</v>
      </c>
      <c r="AG13" s="35"/>
      <c r="AH13" s="35"/>
      <c r="AI13" s="35"/>
      <c r="AU13" s="35"/>
    </row>
    <row r="14" spans="1:48" x14ac:dyDescent="0.3">
      <c r="A14" t="s">
        <v>220</v>
      </c>
      <c r="B14" s="67" t="s">
        <v>221</v>
      </c>
      <c r="C14" s="49">
        <v>92445</v>
      </c>
      <c r="D14" s="49">
        <v>92445</v>
      </c>
      <c r="E14" s="49">
        <v>92445</v>
      </c>
      <c r="F14" s="49">
        <v>92445</v>
      </c>
      <c r="G14" s="48">
        <f t="shared" si="0"/>
        <v>92445</v>
      </c>
      <c r="H14" s="49">
        <v>154109</v>
      </c>
      <c r="I14" s="49">
        <v>186993</v>
      </c>
      <c r="J14" s="49">
        <v>186993</v>
      </c>
      <c r="K14" s="49">
        <v>186993</v>
      </c>
      <c r="L14" s="48">
        <f t="shared" si="1"/>
        <v>186993</v>
      </c>
      <c r="M14" s="49">
        <v>459397</v>
      </c>
      <c r="N14" s="49">
        <v>459397</v>
      </c>
      <c r="O14" s="49">
        <v>459397</v>
      </c>
      <c r="P14" s="49">
        <v>459397</v>
      </c>
      <c r="Q14" s="48">
        <f t="shared" si="2"/>
        <v>459397</v>
      </c>
      <c r="R14" s="49">
        <v>809273</v>
      </c>
      <c r="S14" s="49">
        <v>809273</v>
      </c>
      <c r="T14" s="49">
        <v>809273</v>
      </c>
      <c r="U14" s="49">
        <v>809273</v>
      </c>
      <c r="V14" s="48">
        <f t="shared" si="3"/>
        <v>809273</v>
      </c>
      <c r="W14" s="49">
        <v>970681</v>
      </c>
      <c r="X14" s="49">
        <v>970681</v>
      </c>
      <c r="Y14" s="49">
        <v>970681</v>
      </c>
      <c r="Z14" s="49">
        <v>970681</v>
      </c>
      <c r="AA14" s="48">
        <f t="shared" si="4"/>
        <v>970681</v>
      </c>
      <c r="AB14" s="49">
        <v>9612961</v>
      </c>
      <c r="AC14" s="49">
        <v>9612961</v>
      </c>
      <c r="AD14" s="49">
        <v>9612961</v>
      </c>
      <c r="AE14" s="49">
        <v>9612961</v>
      </c>
      <c r="AF14" s="48">
        <f t="shared" si="5"/>
        <v>9612961</v>
      </c>
      <c r="AG14" s="35"/>
      <c r="AH14" s="35"/>
      <c r="AI14" s="35"/>
      <c r="AU14" s="35"/>
    </row>
    <row r="15" spans="1:48" x14ac:dyDescent="0.3">
      <c r="A15" t="s">
        <v>222</v>
      </c>
      <c r="B15" s="67" t="s">
        <v>223</v>
      </c>
      <c r="C15" s="49">
        <v>86663</v>
      </c>
      <c r="D15" s="49">
        <v>69331</v>
      </c>
      <c r="E15" s="49">
        <v>28160</v>
      </c>
      <c r="F15" s="49">
        <v>186993</v>
      </c>
      <c r="G15" s="48">
        <f t="shared" si="0"/>
        <v>186993</v>
      </c>
      <c r="H15" s="49">
        <v>107362</v>
      </c>
      <c r="I15" s="49">
        <v>392880</v>
      </c>
      <c r="J15" s="49">
        <v>358921</v>
      </c>
      <c r="K15" s="49">
        <v>459397</v>
      </c>
      <c r="L15" s="48">
        <f t="shared" si="1"/>
        <v>459397</v>
      </c>
      <c r="M15" s="49">
        <v>315179</v>
      </c>
      <c r="N15" s="49">
        <v>319688</v>
      </c>
      <c r="O15" s="49">
        <v>422586</v>
      </c>
      <c r="P15" s="49">
        <v>809273</v>
      </c>
      <c r="Q15" s="48">
        <f t="shared" si="2"/>
        <v>809273</v>
      </c>
      <c r="R15" s="49">
        <v>3185031</v>
      </c>
      <c r="S15" s="49">
        <v>3381619</v>
      </c>
      <c r="T15" s="49">
        <v>1948979</v>
      </c>
      <c r="U15" s="49">
        <v>970681</v>
      </c>
      <c r="V15" s="48">
        <f t="shared" si="3"/>
        <v>970681</v>
      </c>
      <c r="W15" s="49">
        <v>3091614</v>
      </c>
      <c r="X15" s="49">
        <v>3193381</v>
      </c>
      <c r="Y15" s="49">
        <v>8362706</v>
      </c>
      <c r="Z15" s="49">
        <v>9612961</v>
      </c>
      <c r="AA15" s="48">
        <f t="shared" si="4"/>
        <v>9612961</v>
      </c>
      <c r="AB15" s="49">
        <v>527180</v>
      </c>
      <c r="AC15" s="49">
        <v>1155253</v>
      </c>
      <c r="AD15" s="49">
        <v>2225259</v>
      </c>
      <c r="AE15" s="49">
        <v>2335403</v>
      </c>
      <c r="AF15" s="48">
        <f t="shared" si="5"/>
        <v>2335403</v>
      </c>
      <c r="AG15" s="35"/>
      <c r="AH15" s="35"/>
      <c r="AI15" s="35"/>
      <c r="AU15" s="35"/>
    </row>
    <row r="16" spans="1:48" x14ac:dyDescent="0.3">
      <c r="S16" s="1"/>
      <c r="AG16" s="35"/>
      <c r="AH16" s="35"/>
      <c r="AI16" s="35"/>
      <c r="AU16" s="35"/>
      <c r="AV16" s="35"/>
    </row>
    <row r="17" spans="2:48" x14ac:dyDescent="0.3">
      <c r="C17" s="1">
        <f>C6+C9+C10+C12-C13</f>
        <v>0</v>
      </c>
      <c r="D17" s="1">
        <f>D6+D9+D10+D12-D13</f>
        <v>0</v>
      </c>
      <c r="E17" s="1">
        <f>E6+E9+E10+E12-E13</f>
        <v>0</v>
      </c>
      <c r="F17" s="1">
        <f>F6+F9+F10+F12-F13</f>
        <v>0</v>
      </c>
      <c r="G17" s="1"/>
      <c r="H17" s="1">
        <f>H6+H9+H10+H12-H13</f>
        <v>0</v>
      </c>
      <c r="I17" s="1">
        <f>I6+I9+I10+I12-I13</f>
        <v>0</v>
      </c>
      <c r="J17" s="1">
        <f t="shared" ref="J17:R17" si="6">J6+J9+J10+J12-J13</f>
        <v>0</v>
      </c>
      <c r="K17" s="1">
        <f t="shared" si="6"/>
        <v>0</v>
      </c>
      <c r="L17" s="1"/>
      <c r="M17" s="1">
        <f t="shared" si="6"/>
        <v>0</v>
      </c>
      <c r="N17" s="1">
        <f t="shared" si="6"/>
        <v>0</v>
      </c>
      <c r="O17" s="1">
        <f t="shared" si="6"/>
        <v>0</v>
      </c>
      <c r="P17" s="1">
        <f t="shared" si="6"/>
        <v>0</v>
      </c>
      <c r="Q17" s="1"/>
      <c r="R17" s="1">
        <f t="shared" si="6"/>
        <v>0</v>
      </c>
      <c r="S17" s="1">
        <f>S6+S9+S10+S12-S13</f>
        <v>0</v>
      </c>
      <c r="T17" s="1">
        <f>T6+T9+T10+T12-T13</f>
        <v>0</v>
      </c>
      <c r="U17" s="1">
        <f>U6+U9+U10+U12-U13</f>
        <v>0</v>
      </c>
      <c r="V17" s="1"/>
      <c r="W17" s="1">
        <f>W6+W9+W10+W12-W13</f>
        <v>0</v>
      </c>
      <c r="X17" s="1">
        <f>X6+X9+X10+X12-X13</f>
        <v>0</v>
      </c>
      <c r="Y17" s="1">
        <f>Y6+Y9+Y10+Y12-Y13</f>
        <v>0</v>
      </c>
      <c r="Z17" s="1">
        <f>Z6+Z9+Z10+Z12-Z13</f>
        <v>-8.2300007343292236E-3</v>
      </c>
      <c r="AA17" s="1"/>
      <c r="AB17" s="1">
        <f>AB6+AB9+AB10+AB12-AB13</f>
        <v>0</v>
      </c>
      <c r="AC17" s="1">
        <f>AC6+AC9+AC10+AC12-AC13</f>
        <v>0</v>
      </c>
      <c r="AD17" s="1">
        <f>AD6+AD9+AD10+AD12-AD13</f>
        <v>0</v>
      </c>
      <c r="AE17" s="1">
        <f>AE6+AE9+AE10+AE12-AE13</f>
        <v>0</v>
      </c>
      <c r="AF17" s="1"/>
      <c r="AG17" s="35"/>
      <c r="AH17" s="35"/>
      <c r="AI17" s="35"/>
      <c r="AU17" s="35"/>
      <c r="AV17" s="35"/>
    </row>
    <row r="18" spans="2:48" x14ac:dyDescent="0.3">
      <c r="B18" s="67" t="s">
        <v>264</v>
      </c>
      <c r="C18" s="48">
        <f>SUMIFS('Balanço Planilhado'!$17:$17,'Balanço Planilhado'!$1:$1,'Fluxo de Caixa Planilhado'!C$1)</f>
        <v>86663</v>
      </c>
      <c r="D18" s="48">
        <f>SUMIFS('Balanço Planilhado'!$17:$17,'Balanço Planilhado'!$1:$1,'Fluxo de Caixa Planilhado'!D$1)</f>
        <v>69331</v>
      </c>
      <c r="E18" s="48">
        <f>SUMIFS('Balanço Planilhado'!$17:$17,'Balanço Planilhado'!$1:$1,'Fluxo de Caixa Planilhado'!E$1)</f>
        <v>28160</v>
      </c>
      <c r="F18" s="48">
        <f>SUMIFS('Balanço Planilhado'!$17:$17,'Balanço Planilhado'!$1:$1,'Fluxo de Caixa Planilhado'!F$1)</f>
        <v>186993</v>
      </c>
      <c r="G18" s="48">
        <f>SUMIFS('Balanço Planilhado'!$17:$17,'Balanço Planilhado'!$1:$1,'Fluxo de Caixa Planilhado'!G$1)</f>
        <v>186993</v>
      </c>
      <c r="H18" s="48">
        <f>SUMIFS('Balanço Planilhado'!$17:$17,'Balanço Planilhado'!$1:$1,'Fluxo de Caixa Planilhado'!H$1)</f>
        <v>107363</v>
      </c>
      <c r="I18" s="48">
        <f>SUMIFS('Balanço Planilhado'!$17:$17,'Balanço Planilhado'!$1:$1,'Fluxo de Caixa Planilhado'!I$1)</f>
        <v>392879</v>
      </c>
      <c r="J18" s="48">
        <f>SUMIFS('Balanço Planilhado'!$17:$17,'Balanço Planilhado'!$1:$1,'Fluxo de Caixa Planilhado'!J$1)</f>
        <v>358921</v>
      </c>
      <c r="K18" s="48">
        <f>SUMIFS('Balanço Planilhado'!$17:$17,'Balanço Planilhado'!$1:$1,'Fluxo de Caixa Planilhado'!K$1)</f>
        <v>459396</v>
      </c>
      <c r="L18" s="48">
        <f>SUMIFS('Balanço Planilhado'!$17:$17,'Balanço Planilhado'!$1:$1,'Fluxo de Caixa Planilhado'!L$1)</f>
        <v>459396</v>
      </c>
      <c r="M18" s="48">
        <f>SUMIFS('Balanço Planilhado'!$17:$17,'Balanço Planilhado'!$1:$1,'Fluxo de Caixa Planilhado'!M$1)</f>
        <v>315180</v>
      </c>
      <c r="N18" s="48">
        <f>SUMIFS('Balanço Planilhado'!$17:$17,'Balanço Planilhado'!$1:$1,'Fluxo de Caixa Planilhado'!N$1)</f>
        <v>319688</v>
      </c>
      <c r="O18" s="48">
        <f>SUMIFS('Balanço Planilhado'!$17:$17,'Balanço Planilhado'!$1:$1,'Fluxo de Caixa Planilhado'!O$1)</f>
        <v>422585</v>
      </c>
      <c r="P18" s="48">
        <f>SUMIFS('Balanço Planilhado'!$17:$17,'Balanço Planilhado'!$1:$1,'Fluxo de Caixa Planilhado'!P$1)</f>
        <v>809273</v>
      </c>
      <c r="Q18" s="48">
        <f>SUMIFS('Balanço Planilhado'!$17:$17,'Balanço Planilhado'!$1:$1,'Fluxo de Caixa Planilhado'!Q$1)</f>
        <v>809273</v>
      </c>
      <c r="R18" s="48">
        <f>SUMIFS('Balanço Planilhado'!$17:$17,'Balanço Planilhado'!$1:$1,'Fluxo de Caixa Planilhado'!R$1)</f>
        <v>3185031</v>
      </c>
      <c r="S18" s="48">
        <f>SUMIFS('Balanço Planilhado'!$17:$17,'Balanço Planilhado'!$1:$1,'Fluxo de Caixa Planilhado'!S$1)</f>
        <v>3381619</v>
      </c>
      <c r="T18" s="48">
        <f>SUMIFS('Balanço Planilhado'!$17:$17,'Balanço Planilhado'!$1:$1,'Fluxo de Caixa Planilhado'!T$1)</f>
        <v>1948979</v>
      </c>
      <c r="U18" s="48">
        <f>SUMIFS('Balanço Planilhado'!$17:$17,'Balanço Planilhado'!$1:$1,'Fluxo de Caixa Planilhado'!U$1)</f>
        <v>970681</v>
      </c>
      <c r="V18" s="48">
        <f>SUMIFS('Balanço Planilhado'!$17:$17,'Balanço Planilhado'!$1:$1,'Fluxo de Caixa Planilhado'!V$1)</f>
        <v>970681</v>
      </c>
      <c r="W18" s="48">
        <f>SUMIFS('Balanço Planilhado'!$17:$17,'Balanço Planilhado'!$1:$1,'Fluxo de Caixa Planilhado'!W$1)</f>
        <v>3091614</v>
      </c>
      <c r="X18" s="48">
        <f>SUMIFS('Balanço Planilhado'!$17:$17,'Balanço Planilhado'!$1:$1,'Fluxo de Caixa Planilhado'!X$1)</f>
        <v>3193381</v>
      </c>
      <c r="Y18" s="48">
        <f>SUMIFS('Balanço Planilhado'!$17:$17,'Balanço Planilhado'!$1:$1,'Fluxo de Caixa Planilhado'!Y$1)</f>
        <v>8362706</v>
      </c>
      <c r="Z18" s="48">
        <f>SUMIFS('Balanço Planilhado'!$17:$17,'Balanço Planilhado'!$1:$1,'Fluxo de Caixa Planilhado'!Z$1)</f>
        <v>9612961</v>
      </c>
      <c r="AA18" s="48">
        <f>SUMIFS('Balanço Planilhado'!$17:$17,'Balanço Planilhado'!$1:$1,'Fluxo de Caixa Planilhado'!AA$1)</f>
        <v>9612961</v>
      </c>
      <c r="AB18" s="48">
        <f>SUMIFS('Balanço Planilhado'!$17:$17,'Balanço Planilhado'!$1:$1,'Fluxo de Caixa Planilhado'!AB$1)</f>
        <v>527180</v>
      </c>
      <c r="AC18" s="48">
        <f>SUMIFS('Balanço Planilhado'!$17:$17,'Balanço Planilhado'!$1:$1,'Fluxo de Caixa Planilhado'!AC$1)</f>
        <v>1155253</v>
      </c>
      <c r="AD18" s="48">
        <f>SUMIFS('Balanço Planilhado'!$17:$17,'Balanço Planilhado'!$1:$1,'Fluxo de Caixa Planilhado'!AD$1)</f>
        <v>2225259</v>
      </c>
      <c r="AE18" s="48">
        <f>SUMIFS('Balanço Planilhado'!$17:$17,'Balanço Planilhado'!$1:$1,'Fluxo de Caixa Planilhado'!AE$1)</f>
        <v>2335403</v>
      </c>
      <c r="AF18" s="48">
        <f>SUMIFS('Balanço Planilhado'!$17:$17,'Balanço Planilhado'!$1:$1,'Fluxo de Caixa Planilhado'!AF$1)</f>
        <v>2335403</v>
      </c>
      <c r="AG18" s="35"/>
      <c r="AH18" s="35"/>
      <c r="AI18" s="35"/>
      <c r="AJ18" s="35"/>
      <c r="AM18" s="35"/>
      <c r="AN18" s="35"/>
      <c r="AO18" s="35"/>
      <c r="AP18" s="35"/>
      <c r="AQ18" s="35"/>
      <c r="AR18" s="35"/>
      <c r="AS18" s="35"/>
      <c r="AT18" s="35"/>
      <c r="AU18" s="35"/>
      <c r="AV18" s="35"/>
    </row>
    <row r="19" spans="2:48" x14ac:dyDescent="0.3">
      <c r="AG19" s="35"/>
      <c r="AH19" s="35"/>
      <c r="AI19" s="35"/>
      <c r="AJ19" s="35"/>
      <c r="AM19" s="35"/>
      <c r="AN19" s="35"/>
      <c r="AO19" s="35"/>
      <c r="AP19" s="35"/>
      <c r="AQ19" s="35"/>
    </row>
    <row r="20" spans="2:48" x14ac:dyDescent="0.3">
      <c r="AE20" s="1"/>
      <c r="AG20" s="35"/>
      <c r="AH20" s="35"/>
      <c r="AI20" s="35"/>
      <c r="AJ20" s="35"/>
    </row>
    <row r="21" spans="2:48" x14ac:dyDescent="0.3">
      <c r="W21" s="1"/>
      <c r="AE21" s="1"/>
      <c r="AG21" s="35"/>
      <c r="AH21" s="35"/>
      <c r="AI21" s="35"/>
      <c r="AJ21" s="35"/>
    </row>
    <row r="22" spans="2:48" x14ac:dyDescent="0.3">
      <c r="I22" s="1"/>
      <c r="J22" s="1"/>
      <c r="M22" s="1"/>
      <c r="U22" s="1"/>
      <c r="W22" s="1"/>
      <c r="AG22" s="35"/>
      <c r="AH22" s="35"/>
      <c r="AI22" s="35"/>
      <c r="AJ22" s="35"/>
    </row>
    <row r="23" spans="2:48" x14ac:dyDescent="0.3">
      <c r="I23" s="1"/>
      <c r="J23" s="1"/>
      <c r="M23" s="1"/>
      <c r="U23" s="1"/>
      <c r="AG23" s="35"/>
      <c r="AH23" s="35"/>
      <c r="AI23" s="35"/>
      <c r="AJ23" s="35"/>
    </row>
    <row r="24" spans="2:48" x14ac:dyDescent="0.3">
      <c r="AC24" s="1"/>
      <c r="AG24" s="35"/>
      <c r="AH24" s="35"/>
      <c r="AI24" s="35"/>
      <c r="AJ24" s="35"/>
    </row>
    <row r="25" spans="2:48" x14ac:dyDescent="0.3">
      <c r="W25" s="1"/>
      <c r="AC25" s="1"/>
      <c r="AG25" s="35"/>
      <c r="AH25" s="35"/>
      <c r="AI25" s="35"/>
    </row>
    <row r="26" spans="2:48" x14ac:dyDescent="0.3">
      <c r="W26" s="1"/>
      <c r="X26" s="1"/>
      <c r="AG26" s="35"/>
      <c r="AH26" s="35"/>
      <c r="AI26" s="35"/>
    </row>
    <row r="27" spans="2:48" x14ac:dyDescent="0.3">
      <c r="X27" s="1"/>
      <c r="AG27" s="35"/>
      <c r="AH27" s="35"/>
      <c r="AI27" s="35"/>
    </row>
    <row r="28" spans="2:48" x14ac:dyDescent="0.3">
      <c r="AG28" s="35"/>
      <c r="AH28" s="35"/>
      <c r="AI28" s="35"/>
    </row>
    <row r="29" spans="2:48" x14ac:dyDescent="0.3">
      <c r="AG29" s="35"/>
      <c r="AH29" s="35"/>
      <c r="AI29" s="35"/>
    </row>
    <row r="30" spans="2:48" x14ac:dyDescent="0.3">
      <c r="AG30" s="35"/>
      <c r="AH30" s="35"/>
      <c r="AI30" s="35"/>
    </row>
    <row r="31" spans="2:48" x14ac:dyDescent="0.3">
      <c r="AG31" s="35"/>
      <c r="AH31" s="35"/>
      <c r="AI31" s="35"/>
    </row>
    <row r="32" spans="2:48" x14ac:dyDescent="0.3">
      <c r="AG32" s="35"/>
      <c r="AH32" s="35"/>
      <c r="AI32" s="35"/>
    </row>
    <row r="33" spans="33:35" x14ac:dyDescent="0.3">
      <c r="AG33" s="35"/>
      <c r="AH33" s="35"/>
      <c r="AI33" s="35"/>
    </row>
    <row r="34" spans="33:35" x14ac:dyDescent="0.3">
      <c r="AG34" s="35"/>
      <c r="AH34" s="35"/>
      <c r="AI34" s="35"/>
    </row>
    <row r="35" spans="33:35" x14ac:dyDescent="0.3">
      <c r="AG35" s="35"/>
      <c r="AH35" s="35"/>
      <c r="AI35" s="35"/>
    </row>
    <row r="36" spans="33:35" x14ac:dyDescent="0.3">
      <c r="AG36" s="35"/>
      <c r="AH36" s="35"/>
      <c r="AI36" s="35"/>
    </row>
    <row r="37" spans="33:35" x14ac:dyDescent="0.3">
      <c r="AG37" s="35"/>
      <c r="AH37" s="35"/>
      <c r="AI37" s="35"/>
    </row>
    <row r="38" spans="33:35" x14ac:dyDescent="0.3">
      <c r="AG38" s="35"/>
      <c r="AH38" s="35"/>
      <c r="AI38" s="35"/>
    </row>
    <row r="39" spans="33:35" x14ac:dyDescent="0.3">
      <c r="AG39" s="35"/>
      <c r="AH39" s="35"/>
      <c r="AI39" s="35"/>
    </row>
    <row r="40" spans="33:35" x14ac:dyDescent="0.3">
      <c r="AG40" s="35"/>
      <c r="AH40" s="35"/>
      <c r="AI40" s="35"/>
    </row>
    <row r="41" spans="33:35" x14ac:dyDescent="0.3">
      <c r="AG41" s="35"/>
      <c r="AH41" s="35"/>
      <c r="AI41" s="35"/>
    </row>
    <row r="42" spans="33:35" x14ac:dyDescent="0.3">
      <c r="AG42" s="35"/>
      <c r="AH42" s="35"/>
      <c r="AI42" s="35"/>
    </row>
    <row r="43" spans="33:35" x14ac:dyDescent="0.3">
      <c r="AG43" s="35"/>
      <c r="AH43" s="35"/>
      <c r="AI43" s="35"/>
    </row>
    <row r="44" spans="33:35" x14ac:dyDescent="0.3">
      <c r="AG44" s="35"/>
      <c r="AH44" s="35"/>
      <c r="AI44" s="35"/>
    </row>
    <row r="45" spans="33:35" x14ac:dyDescent="0.3">
      <c r="AG45" s="35"/>
      <c r="AH45" s="35"/>
      <c r="AI45" s="35"/>
    </row>
    <row r="46" spans="33:35" x14ac:dyDescent="0.3">
      <c r="AG46" s="35"/>
      <c r="AH46" s="35"/>
      <c r="AI46" s="35"/>
    </row>
    <row r="47" spans="33:35" x14ac:dyDescent="0.3">
      <c r="AG47" s="35"/>
      <c r="AH47" s="35"/>
      <c r="AI47" s="35"/>
    </row>
    <row r="48" spans="33:35" x14ac:dyDescent="0.3">
      <c r="AG48" s="35"/>
      <c r="AH48" s="35"/>
      <c r="AI48" s="35"/>
    </row>
    <row r="49" spans="33:35" x14ac:dyDescent="0.3">
      <c r="AG49" s="35"/>
      <c r="AH49" s="35"/>
      <c r="AI49" s="35"/>
    </row>
    <row r="50" spans="33:35" x14ac:dyDescent="0.3">
      <c r="AG50" s="35"/>
      <c r="AH50" s="35"/>
      <c r="AI50" s="35"/>
    </row>
    <row r="51" spans="33:35" x14ac:dyDescent="0.3">
      <c r="AG51" s="35"/>
      <c r="AH51" s="35"/>
      <c r="AI51" s="35"/>
    </row>
    <row r="52" spans="33:35" x14ac:dyDescent="0.3">
      <c r="AG52" s="35"/>
      <c r="AH52" s="35"/>
      <c r="AI52" s="35"/>
    </row>
    <row r="53" spans="33:35" x14ac:dyDescent="0.3">
      <c r="AG53" s="35"/>
      <c r="AH53" s="35"/>
      <c r="AI53" s="35"/>
    </row>
    <row r="54" spans="33:35" x14ac:dyDescent="0.3">
      <c r="AG54" s="35"/>
      <c r="AH54" s="35"/>
      <c r="AI54" s="35"/>
    </row>
    <row r="55" spans="33:35" x14ac:dyDescent="0.3">
      <c r="AG55" s="35"/>
      <c r="AH55" s="35"/>
      <c r="AI55" s="35"/>
    </row>
    <row r="56" spans="33:35" x14ac:dyDescent="0.3">
      <c r="AG56" s="35"/>
      <c r="AH56" s="35"/>
      <c r="AI56" s="35"/>
    </row>
    <row r="57" spans="33:35" x14ac:dyDescent="0.3">
      <c r="AG57" s="35"/>
      <c r="AH57" s="35"/>
      <c r="AI57" s="35"/>
    </row>
    <row r="58" spans="33:35" x14ac:dyDescent="0.3">
      <c r="AG58" s="35"/>
      <c r="AH58" s="35"/>
      <c r="AI58" s="35"/>
    </row>
    <row r="59" spans="33:35" x14ac:dyDescent="0.3">
      <c r="AG59" s="35"/>
      <c r="AH59" s="35"/>
      <c r="AI59" s="35"/>
    </row>
    <row r="74" spans="23:32" x14ac:dyDescent="0.3">
      <c r="W74" s="35"/>
      <c r="X74" s="35"/>
      <c r="Y74" s="35"/>
      <c r="Z74" s="35"/>
      <c r="AA74" s="35"/>
      <c r="AF74" s="35"/>
    </row>
    <row r="75" spans="23:32" x14ac:dyDescent="0.3">
      <c r="W75" s="35"/>
      <c r="X75" s="35"/>
      <c r="Y75" s="35"/>
      <c r="Z75" s="35"/>
      <c r="AA75" s="35"/>
      <c r="AF75" s="35"/>
    </row>
  </sheetData>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84161-D55F-4F37-8F4D-D6A22489168C}">
  <sheetPr>
    <tabColor theme="9" tint="-0.499984740745262"/>
  </sheetPr>
  <dimension ref="A1:BL53"/>
  <sheetViews>
    <sheetView showGridLines="0" zoomScaleNormal="100" workbookViewId="0">
      <pane xSplit="2" ySplit="1" topLeftCell="J2" activePane="bottomRight" state="frozen"/>
      <selection pane="topRight" activeCell="C1" sqref="C1"/>
      <selection pane="bottomLeft" activeCell="A2" sqref="A2"/>
      <selection pane="bottomRight" activeCell="AB17" sqref="AB17:AE17"/>
    </sheetView>
  </sheetViews>
  <sheetFormatPr defaultRowHeight="14.4" x14ac:dyDescent="0.3"/>
  <cols>
    <col min="1" max="1" width="38.5546875" bestFit="1" customWidth="1"/>
    <col min="30" max="30" width="10.109375" bestFit="1" customWidth="1"/>
    <col min="32" max="32" width="9.109375" bestFit="1" customWidth="1"/>
  </cols>
  <sheetData>
    <row r="1" spans="1:64" s="1" customFormat="1" x14ac:dyDescent="0.3">
      <c r="C1" s="41" t="s">
        <v>244</v>
      </c>
      <c r="D1" s="41" t="s">
        <v>243</v>
      </c>
      <c r="E1" s="41" t="s">
        <v>242</v>
      </c>
      <c r="F1" s="41" t="s">
        <v>236</v>
      </c>
      <c r="G1" s="41">
        <v>2018</v>
      </c>
      <c r="H1" s="41" t="s">
        <v>241</v>
      </c>
      <c r="I1" s="41" t="s">
        <v>240</v>
      </c>
      <c r="J1" s="41" t="s">
        <v>239</v>
      </c>
      <c r="K1" s="41" t="s">
        <v>237</v>
      </c>
      <c r="L1" s="41">
        <v>2019</v>
      </c>
      <c r="M1" s="41" t="s">
        <v>235</v>
      </c>
      <c r="N1" s="41" t="s">
        <v>234</v>
      </c>
      <c r="O1" s="41" t="s">
        <v>238</v>
      </c>
      <c r="P1" s="41" t="s">
        <v>226</v>
      </c>
      <c r="Q1" s="41">
        <v>2020</v>
      </c>
      <c r="R1" s="41" t="s">
        <v>232</v>
      </c>
      <c r="S1" s="41" t="s">
        <v>231</v>
      </c>
      <c r="T1" s="41" t="s">
        <v>229</v>
      </c>
      <c r="U1" s="41" t="s">
        <v>225</v>
      </c>
      <c r="V1" s="41">
        <v>2021</v>
      </c>
      <c r="W1" s="41" t="s">
        <v>230</v>
      </c>
      <c r="X1" s="41" t="s">
        <v>228</v>
      </c>
      <c r="Y1" s="41" t="s">
        <v>227</v>
      </c>
      <c r="Z1" s="41" t="s">
        <v>224</v>
      </c>
      <c r="AA1" s="41">
        <v>2022</v>
      </c>
      <c r="AB1" s="41" t="s">
        <v>136</v>
      </c>
      <c r="AC1" s="41" t="s">
        <v>137</v>
      </c>
      <c r="AD1" s="41" t="s">
        <v>268</v>
      </c>
      <c r="AE1" s="41" t="s">
        <v>269</v>
      </c>
      <c r="AF1" s="41">
        <v>2023</v>
      </c>
      <c r="AG1" s="41">
        <f>'Receita Líquida - O&amp;G'!AG1</f>
        <v>2024</v>
      </c>
      <c r="AH1" s="41">
        <f>'Receita Líquida - O&amp;G'!AH1</f>
        <v>2025</v>
      </c>
      <c r="AI1" s="41">
        <f>'Receita Líquida - O&amp;G'!AI1</f>
        <v>2026</v>
      </c>
      <c r="AJ1" s="41">
        <f>'Receita Líquida - O&amp;G'!AJ1</f>
        <v>2027</v>
      </c>
      <c r="AK1" s="41">
        <f>'Receita Líquida - O&amp;G'!AK1</f>
        <v>2028</v>
      </c>
      <c r="AL1" s="41">
        <f>'Receita Líquida - O&amp;G'!AL1</f>
        <v>2029</v>
      </c>
      <c r="AM1" s="41">
        <f>'Receita Líquida - O&amp;G'!AM1</f>
        <v>2030</v>
      </c>
      <c r="AN1" s="41">
        <f>'Receita Líquida - O&amp;G'!AN1</f>
        <v>2031</v>
      </c>
      <c r="AO1" s="41">
        <f>'Receita Líquida - O&amp;G'!AO1</f>
        <v>2032</v>
      </c>
      <c r="AP1" s="41">
        <f>'Receita Líquida - O&amp;G'!AP1</f>
        <v>2033</v>
      </c>
      <c r="AQ1" s="41">
        <f>'Receita Líquida - O&amp;G'!AQ1</f>
        <v>2034</v>
      </c>
      <c r="AR1" s="41">
        <f>'Receita Líquida - O&amp;G'!AR1</f>
        <v>2035</v>
      </c>
      <c r="AS1" s="41">
        <f>'Receita Líquida - O&amp;G'!AS1</f>
        <v>2036</v>
      </c>
      <c r="AT1" s="41">
        <f>'Receita Líquida - O&amp;G'!AT1</f>
        <v>2037</v>
      </c>
      <c r="AU1" s="41">
        <f>'Receita Líquida - O&amp;G'!AU1</f>
        <v>2038</v>
      </c>
      <c r="AV1" s="41">
        <f>'Receita Líquida - O&amp;G'!AV1</f>
        <v>2039</v>
      </c>
      <c r="AW1" s="41">
        <f>'Receita Líquida - O&amp;G'!AW1</f>
        <v>2040</v>
      </c>
      <c r="AX1" s="41">
        <f>'Receita Líquida - O&amp;G'!AX1</f>
        <v>2041</v>
      </c>
      <c r="AY1" s="41">
        <f>'Receita Líquida - O&amp;G'!AY1</f>
        <v>2042</v>
      </c>
      <c r="AZ1" s="41">
        <f>'Receita Líquida - O&amp;G'!AZ1</f>
        <v>2043</v>
      </c>
      <c r="BA1" s="41">
        <f>'Receita Líquida - O&amp;G'!BA1</f>
        <v>2044</v>
      </c>
      <c r="BB1" s="41">
        <f>'Receita Líquida - O&amp;G'!BB1</f>
        <v>2045</v>
      </c>
      <c r="BC1" s="41">
        <f>'Receita Líquida - O&amp;G'!BC1</f>
        <v>2046</v>
      </c>
      <c r="BD1" s="41">
        <f>'Receita Líquida - O&amp;G'!BD1</f>
        <v>2047</v>
      </c>
      <c r="BE1" s="41">
        <f>'Receita Líquida - O&amp;G'!BE1</f>
        <v>2048</v>
      </c>
      <c r="BF1" s="41">
        <f>'Receita Líquida - O&amp;G'!BF1</f>
        <v>2049</v>
      </c>
      <c r="BG1" s="41">
        <f>'Receita Líquida - O&amp;G'!BG1</f>
        <v>2050</v>
      </c>
      <c r="BH1" s="41">
        <f>'Receita Líquida - O&amp;G'!BH1</f>
        <v>2051</v>
      </c>
      <c r="BI1" s="41">
        <f>'Receita Líquida - O&amp;G'!BI1</f>
        <v>2052</v>
      </c>
      <c r="BJ1" s="41">
        <f>'Receita Líquida - O&amp;G'!BJ1</f>
        <v>2053</v>
      </c>
      <c r="BK1" s="41">
        <f>'Receita Líquida - O&amp;G'!BK1</f>
        <v>2054</v>
      </c>
      <c r="BL1" s="41">
        <f>'Receita Líquida - O&amp;G'!BL1</f>
        <v>2055</v>
      </c>
    </row>
    <row r="2" spans="1:64" x14ac:dyDescent="0.3">
      <c r="B2" s="34" t="s">
        <v>381</v>
      </c>
      <c r="C2" s="51">
        <f>'Fluxo de Caixa dos Acionistas'!C5</f>
        <v>90</v>
      </c>
      <c r="D2" s="51">
        <f>'Fluxo de Caixa dos Acionistas'!D5</f>
        <v>91</v>
      </c>
      <c r="E2" s="51">
        <f>'Fluxo de Caixa dos Acionistas'!E5</f>
        <v>92</v>
      </c>
      <c r="F2" s="51">
        <f>'Fluxo de Caixa dos Acionistas'!F5</f>
        <v>92</v>
      </c>
      <c r="G2" s="51">
        <f>'Fluxo de Caixa dos Acionistas'!G5</f>
        <v>365</v>
      </c>
      <c r="H2" s="51">
        <f>'Fluxo de Caixa dos Acionistas'!H5</f>
        <v>90</v>
      </c>
      <c r="I2" s="51">
        <f>'Fluxo de Caixa dos Acionistas'!I5</f>
        <v>91</v>
      </c>
      <c r="J2" s="51">
        <f>'Fluxo de Caixa dos Acionistas'!J5</f>
        <v>92</v>
      </c>
      <c r="K2" s="51">
        <f>'Fluxo de Caixa dos Acionistas'!K5</f>
        <v>92</v>
      </c>
      <c r="L2" s="51">
        <f>'Fluxo de Caixa dos Acionistas'!L5</f>
        <v>365</v>
      </c>
      <c r="M2" s="51">
        <f>'Fluxo de Caixa dos Acionistas'!M5</f>
        <v>91</v>
      </c>
      <c r="N2" s="51">
        <f>'Fluxo de Caixa dos Acionistas'!N5</f>
        <v>91</v>
      </c>
      <c r="O2" s="51">
        <f>'Fluxo de Caixa dos Acionistas'!O5</f>
        <v>92</v>
      </c>
      <c r="P2" s="51">
        <f>'Fluxo de Caixa dos Acionistas'!P5</f>
        <v>92</v>
      </c>
      <c r="Q2" s="51">
        <f>'Fluxo de Caixa dos Acionistas'!Q5</f>
        <v>366</v>
      </c>
      <c r="R2" s="51">
        <f>'Fluxo de Caixa dos Acionistas'!R5</f>
        <v>90</v>
      </c>
      <c r="S2" s="51">
        <f>'Fluxo de Caixa dos Acionistas'!S5</f>
        <v>91</v>
      </c>
      <c r="T2" s="51">
        <f>'Fluxo de Caixa dos Acionistas'!T5</f>
        <v>92</v>
      </c>
      <c r="U2" s="51">
        <f>'Fluxo de Caixa dos Acionistas'!U5</f>
        <v>92</v>
      </c>
      <c r="V2" s="51">
        <f>'Fluxo de Caixa dos Acionistas'!V5</f>
        <v>365</v>
      </c>
      <c r="W2" s="51">
        <f>'Fluxo de Caixa dos Acionistas'!W5</f>
        <v>90</v>
      </c>
      <c r="X2" s="51">
        <f>'Fluxo de Caixa dos Acionistas'!X5</f>
        <v>91</v>
      </c>
      <c r="Y2" s="51">
        <f>'Fluxo de Caixa dos Acionistas'!Y5</f>
        <v>92</v>
      </c>
      <c r="Z2" s="51">
        <f>'Fluxo de Caixa dos Acionistas'!Z5</f>
        <v>92</v>
      </c>
      <c r="AA2" s="51">
        <f>'Fluxo de Caixa dos Acionistas'!AA5</f>
        <v>365</v>
      </c>
      <c r="AB2" s="51">
        <f>'Fluxo de Caixa dos Acionistas'!AB5</f>
        <v>90</v>
      </c>
      <c r="AC2" s="51">
        <f>'Fluxo de Caixa dos Acionistas'!AC5</f>
        <v>91</v>
      </c>
      <c r="AD2" s="51">
        <f>'Fluxo de Caixa dos Acionistas'!AD5</f>
        <v>92</v>
      </c>
      <c r="AE2" s="51">
        <f>'Fluxo de Caixa dos Acionistas'!AE5</f>
        <v>92</v>
      </c>
      <c r="AF2" s="51">
        <f>'Fluxo de Caixa dos Acionistas'!AF5</f>
        <v>365</v>
      </c>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row>
    <row r="4" spans="1:64" s="209" customFormat="1" x14ac:dyDescent="0.3">
      <c r="A4" s="209" t="s">
        <v>260</v>
      </c>
      <c r="C4" s="213"/>
      <c r="D4" s="213"/>
      <c r="E4" s="213"/>
      <c r="F4" s="213"/>
      <c r="G4" s="213"/>
      <c r="H4" s="213"/>
      <c r="I4" s="213"/>
      <c r="J4" s="213"/>
      <c r="K4" s="213"/>
      <c r="L4" s="213"/>
      <c r="M4" s="213"/>
      <c r="N4" s="213"/>
      <c r="O4" s="213"/>
      <c r="P4" s="213"/>
      <c r="Q4" s="213"/>
      <c r="R4" s="213"/>
      <c r="S4" s="213"/>
      <c r="T4" s="213"/>
      <c r="U4" s="213"/>
      <c r="V4" s="213"/>
      <c r="W4" s="213"/>
      <c r="X4" s="213"/>
      <c r="Y4" s="213"/>
      <c r="Z4" s="213"/>
      <c r="AA4" s="213"/>
      <c r="AB4" s="213"/>
      <c r="AC4" s="213"/>
      <c r="AD4" s="213"/>
    </row>
    <row r="5" spans="1:64" s="46" customFormat="1" x14ac:dyDescent="0.3">
      <c r="C5" s="57"/>
      <c r="D5" s="57"/>
      <c r="E5" s="57"/>
      <c r="F5" s="57"/>
      <c r="G5" s="57"/>
      <c r="H5" s="57"/>
      <c r="I5" s="57"/>
      <c r="J5" s="57"/>
      <c r="K5" s="57"/>
      <c r="L5" s="57"/>
      <c r="M5" s="57"/>
      <c r="N5" s="57"/>
      <c r="O5" s="57"/>
      <c r="P5" s="57"/>
      <c r="Q5" s="57"/>
      <c r="R5" s="57"/>
      <c r="S5" s="57"/>
      <c r="T5" s="57"/>
      <c r="U5" s="57"/>
      <c r="V5" s="99"/>
      <c r="W5" s="99"/>
      <c r="X5" s="99"/>
      <c r="Y5" s="99"/>
      <c r="Z5" s="99"/>
      <c r="AA5" s="99"/>
      <c r="AB5" s="99"/>
      <c r="AC5" s="99"/>
      <c r="AD5" s="99"/>
    </row>
    <row r="6" spans="1:64" s="46" customFormat="1" x14ac:dyDescent="0.3">
      <c r="A6" s="46" t="s">
        <v>248</v>
      </c>
      <c r="C6" s="58">
        <v>44.2</v>
      </c>
      <c r="D6" s="58">
        <v>34</v>
      </c>
      <c r="E6" s="58">
        <v>26.6</v>
      </c>
      <c r="F6" s="58">
        <v>30.6</v>
      </c>
      <c r="G6" s="59">
        <f>SUMPRODUCT(C12:F12,C6:F6)/SUM(C12:F12)</f>
        <v>33.313064732680765</v>
      </c>
      <c r="H6" s="58">
        <v>27.8</v>
      </c>
      <c r="I6" s="58">
        <v>23.9</v>
      </c>
      <c r="J6" s="58">
        <v>22.9</v>
      </c>
      <c r="K6" s="58">
        <v>19.7</v>
      </c>
      <c r="L6" s="59">
        <f>SUMPRODUCT(H12:K12,H6:K6)/SUM(H12:K12)</f>
        <v>23.466802344361628</v>
      </c>
      <c r="M6" s="58">
        <v>17.3</v>
      </c>
      <c r="N6" s="58">
        <v>13.7</v>
      </c>
      <c r="O6" s="58">
        <v>12.8</v>
      </c>
      <c r="P6" s="58">
        <v>14.7</v>
      </c>
      <c r="Q6" s="59">
        <f>SUMPRODUCT(M12:P12,M6:P6)/SUM(M12:P12)</f>
        <v>14.52760560730078</v>
      </c>
      <c r="R6" s="58">
        <v>14.3</v>
      </c>
      <c r="S6" s="58">
        <v>14.2</v>
      </c>
      <c r="T6" s="58">
        <v>12.3</v>
      </c>
      <c r="U6" s="58">
        <v>11.8</v>
      </c>
      <c r="V6" s="59">
        <f>SUMPRODUCT(R12:U12,R6:U6)/SUM(R12:U12)</f>
        <v>13.136769392580645</v>
      </c>
      <c r="W6" s="58">
        <v>11.2</v>
      </c>
      <c r="X6" s="58">
        <v>11.1</v>
      </c>
      <c r="Y6" s="58">
        <v>9.5</v>
      </c>
      <c r="Z6" s="58">
        <v>8.6</v>
      </c>
      <c r="AA6" s="59">
        <f>SUMPRODUCT(W12:Z12,W6:Z6)/SUM(W12:Z12)</f>
        <v>9.9339560168025685</v>
      </c>
      <c r="AB6" s="58">
        <v>9.5</v>
      </c>
      <c r="AC6" s="58">
        <v>7.4</v>
      </c>
      <c r="AD6" s="58">
        <v>7</v>
      </c>
      <c r="AE6" s="58">
        <v>6.8</v>
      </c>
      <c r="AF6" s="59">
        <f>SUMPRODUCT(AB12:AE12,AB6:AE6)/SUM(AB12:AE12)</f>
        <v>7.4795584516575815</v>
      </c>
    </row>
    <row r="7" spans="1:64" s="1" customFormat="1" x14ac:dyDescent="0.3">
      <c r="C7" s="56"/>
      <c r="D7" s="56"/>
      <c r="E7" s="56"/>
      <c r="F7" s="56"/>
      <c r="G7" s="56"/>
      <c r="H7" s="56"/>
      <c r="I7" s="56"/>
      <c r="J7" s="56"/>
      <c r="K7" s="56"/>
      <c r="L7" s="56"/>
      <c r="M7" s="56"/>
      <c r="N7" s="56"/>
      <c r="O7" s="56"/>
      <c r="P7" s="56"/>
      <c r="Q7" s="56"/>
      <c r="R7" s="56"/>
      <c r="S7" s="56"/>
      <c r="T7" s="56"/>
      <c r="U7" s="56"/>
      <c r="V7" s="56"/>
      <c r="W7" s="56"/>
      <c r="X7" s="56"/>
      <c r="Y7" s="56"/>
      <c r="Z7" s="56"/>
      <c r="AA7" s="56"/>
      <c r="AB7" s="56"/>
      <c r="AC7" s="56"/>
      <c r="AD7" s="56"/>
      <c r="AE7" s="56"/>
      <c r="AF7" s="56"/>
    </row>
    <row r="8" spans="1:64" s="1" customFormat="1" x14ac:dyDescent="0.3">
      <c r="A8" s="1" t="s">
        <v>249</v>
      </c>
      <c r="C8" s="55">
        <v>9067.76</v>
      </c>
      <c r="D8" s="55">
        <v>8806.2000000000007</v>
      </c>
      <c r="E8" s="55">
        <v>8587.8000000000011</v>
      </c>
      <c r="F8" s="55">
        <v>10452.52</v>
      </c>
      <c r="G8" s="51">
        <f>AVERAGE(C8:F8)</f>
        <v>9228.57</v>
      </c>
      <c r="H8" s="55">
        <v>9891.9600000000009</v>
      </c>
      <c r="I8" s="55">
        <v>9824</v>
      </c>
      <c r="J8" s="55">
        <v>9865</v>
      </c>
      <c r="K8" s="55">
        <v>13639</v>
      </c>
      <c r="L8" s="51">
        <f>AVERAGE(H8:K8)</f>
        <v>10804.99</v>
      </c>
      <c r="M8" s="55">
        <v>13563</v>
      </c>
      <c r="N8" s="55">
        <v>13380</v>
      </c>
      <c r="O8" s="55">
        <v>12838</v>
      </c>
      <c r="P8" s="55">
        <v>11928</v>
      </c>
      <c r="Q8" s="51">
        <f>AVERAGE(M8:P8)</f>
        <v>12927.25</v>
      </c>
      <c r="R8" s="55">
        <v>15086</v>
      </c>
      <c r="S8" s="55">
        <v>14941</v>
      </c>
      <c r="T8" s="55">
        <v>16398</v>
      </c>
      <c r="U8" s="55">
        <v>15028</v>
      </c>
      <c r="V8" s="51">
        <f>AVERAGE(R8:U8)</f>
        <v>15363.25</v>
      </c>
      <c r="W8" s="55">
        <v>15739</v>
      </c>
      <c r="X8" s="55">
        <v>14759</v>
      </c>
      <c r="Y8" s="55">
        <v>28006</v>
      </c>
      <c r="Z8" s="55">
        <v>32254</v>
      </c>
      <c r="AA8" s="51">
        <f>AVERAGE(W8:Z8)</f>
        <v>22689.5</v>
      </c>
      <c r="AB8" s="55">
        <v>33833</v>
      </c>
      <c r="AC8" s="55">
        <v>50825</v>
      </c>
      <c r="AD8" s="55">
        <v>56643</v>
      </c>
      <c r="AE8" s="55">
        <v>55345</v>
      </c>
      <c r="AF8" s="51">
        <f>AVERAGE(AB8:AE8)</f>
        <v>49161.5</v>
      </c>
    </row>
    <row r="9" spans="1:64" s="1" customFormat="1" x14ac:dyDescent="0.3">
      <c r="A9" s="1" t="s">
        <v>250</v>
      </c>
      <c r="C9" s="55">
        <v>0</v>
      </c>
      <c r="D9" s="55">
        <v>0</v>
      </c>
      <c r="E9" s="55">
        <v>0</v>
      </c>
      <c r="F9" s="55">
        <v>0</v>
      </c>
      <c r="G9" s="51">
        <f>AVERAGE(C9:F9)</f>
        <v>0</v>
      </c>
      <c r="H9" s="55">
        <v>0</v>
      </c>
      <c r="I9" s="55">
        <v>0</v>
      </c>
      <c r="J9" s="55">
        <v>0</v>
      </c>
      <c r="K9" s="55">
        <v>0</v>
      </c>
      <c r="L9" s="51">
        <f>AVERAGE(H9:K9)</f>
        <v>0</v>
      </c>
      <c r="M9" s="55">
        <v>0</v>
      </c>
      <c r="N9" s="55">
        <v>0</v>
      </c>
      <c r="O9" s="55">
        <v>0</v>
      </c>
      <c r="P9" s="55">
        <v>0</v>
      </c>
      <c r="Q9" s="51">
        <f>AVERAGE(M9:P9)</f>
        <v>0</v>
      </c>
      <c r="R9" s="55">
        <v>0</v>
      </c>
      <c r="S9" s="55">
        <v>0</v>
      </c>
      <c r="T9" s="55">
        <v>0</v>
      </c>
      <c r="U9" s="55">
        <v>0</v>
      </c>
      <c r="V9" s="51">
        <f>AVERAGE(R9:U9)</f>
        <v>0</v>
      </c>
      <c r="W9" s="55">
        <v>0</v>
      </c>
      <c r="X9" s="55">
        <v>0</v>
      </c>
      <c r="Y9" s="55">
        <v>0</v>
      </c>
      <c r="Z9" s="55">
        <v>0</v>
      </c>
      <c r="AA9" s="51">
        <f>AVERAGE(W9:Z9)</f>
        <v>0</v>
      </c>
      <c r="AB9" s="55">
        <v>14731</v>
      </c>
      <c r="AC9" s="55">
        <v>22651</v>
      </c>
      <c r="AD9" s="55">
        <v>27113</v>
      </c>
      <c r="AE9" s="55">
        <v>28412</v>
      </c>
      <c r="AF9" s="51">
        <f>AVERAGE(AB9:AE9)</f>
        <v>23226.75</v>
      </c>
    </row>
    <row r="10" spans="1:64" s="1" customFormat="1" x14ac:dyDescent="0.3">
      <c r="A10" s="1" t="s">
        <v>261</v>
      </c>
      <c r="C10" s="55">
        <v>6153</v>
      </c>
      <c r="D10" s="55">
        <v>8157</v>
      </c>
      <c r="E10" s="55">
        <v>10081</v>
      </c>
      <c r="F10" s="55">
        <v>10055</v>
      </c>
      <c r="G10" s="51">
        <f>AVERAGE(C10:F10)</f>
        <v>8611.5</v>
      </c>
      <c r="H10" s="55">
        <v>9567</v>
      </c>
      <c r="I10" s="55">
        <v>8523</v>
      </c>
      <c r="J10" s="55">
        <v>8070</v>
      </c>
      <c r="K10" s="55">
        <v>7478</v>
      </c>
      <c r="L10" s="51">
        <f>AVERAGE(H10:K10)</f>
        <v>8409.5</v>
      </c>
      <c r="M10" s="55">
        <v>8620</v>
      </c>
      <c r="N10" s="55">
        <v>9446</v>
      </c>
      <c r="O10" s="55">
        <v>14752</v>
      </c>
      <c r="P10" s="55">
        <v>15777</v>
      </c>
      <c r="Q10" s="51">
        <f>AVERAGE(M10:P10)</f>
        <v>12148.75</v>
      </c>
      <c r="R10" s="55">
        <v>14147</v>
      </c>
      <c r="S10" s="55">
        <v>14093</v>
      </c>
      <c r="T10" s="55">
        <v>13356</v>
      </c>
      <c r="U10" s="55">
        <v>15347</v>
      </c>
      <c r="V10" s="51">
        <f>AVERAGE(R10:U10)</f>
        <v>14235.75</v>
      </c>
      <c r="W10" s="55">
        <v>17537</v>
      </c>
      <c r="X10" s="55">
        <v>16762</v>
      </c>
      <c r="Y10" s="55">
        <v>16302</v>
      </c>
      <c r="Z10" s="55">
        <v>14634</v>
      </c>
      <c r="AA10" s="51">
        <f>AVERAGE(W10:Z10)</f>
        <v>16308.75</v>
      </c>
      <c r="AB10" s="55">
        <v>12475</v>
      </c>
      <c r="AC10" s="55">
        <v>17617</v>
      </c>
      <c r="AD10" s="55">
        <v>16154</v>
      </c>
      <c r="AE10" s="55">
        <v>16552</v>
      </c>
      <c r="AF10" s="51">
        <f>AVERAGE(AB10:AE10)</f>
        <v>15699.5</v>
      </c>
    </row>
    <row r="11" spans="1:64" s="1" customFormat="1" x14ac:dyDescent="0.3">
      <c r="A11" s="1" t="s">
        <v>262</v>
      </c>
      <c r="C11" s="55">
        <v>2921</v>
      </c>
      <c r="D11" s="55">
        <v>3060</v>
      </c>
      <c r="E11" s="55">
        <v>3291</v>
      </c>
      <c r="F11" s="55">
        <v>3025</v>
      </c>
      <c r="G11" s="51">
        <f>AVERAGE(C11:F11)</f>
        <v>3074.25</v>
      </c>
      <c r="H11" s="55">
        <v>2033</v>
      </c>
      <c r="I11" s="55">
        <v>1776</v>
      </c>
      <c r="J11" s="55">
        <v>2413</v>
      </c>
      <c r="K11" s="55">
        <v>2859</v>
      </c>
      <c r="L11" s="51">
        <f>AVERAGE(H11:K11)</f>
        <v>2270.25</v>
      </c>
      <c r="M11" s="55">
        <v>1254</v>
      </c>
      <c r="N11" s="55">
        <v>707</v>
      </c>
      <c r="O11" s="55">
        <v>1740</v>
      </c>
      <c r="P11" s="55">
        <v>2285</v>
      </c>
      <c r="Q11" s="51">
        <f>AVERAGE(M11:P11)</f>
        <v>1496.5</v>
      </c>
      <c r="R11" s="55">
        <v>2084</v>
      </c>
      <c r="S11" s="55">
        <v>2191</v>
      </c>
      <c r="T11" s="55">
        <v>1858</v>
      </c>
      <c r="U11" s="55">
        <v>1924</v>
      </c>
      <c r="V11" s="51">
        <f>AVERAGE(R11:U11)</f>
        <v>2014.25</v>
      </c>
      <c r="W11" s="55">
        <v>1913</v>
      </c>
      <c r="X11" s="55">
        <v>1783</v>
      </c>
      <c r="Y11" s="55">
        <v>1458</v>
      </c>
      <c r="Z11" s="55">
        <v>733</v>
      </c>
      <c r="AA11" s="51">
        <f>AVERAGE(W11:Z11)</f>
        <v>1471.75</v>
      </c>
      <c r="AB11" s="55">
        <v>0</v>
      </c>
      <c r="AC11" s="55">
        <v>0</v>
      </c>
      <c r="AD11" s="55">
        <v>0</v>
      </c>
      <c r="AE11" s="63"/>
      <c r="AF11" s="51">
        <f>AVERAGE(AB11:AE11)</f>
        <v>0</v>
      </c>
    </row>
    <row r="12" spans="1:64" s="1" customFormat="1" x14ac:dyDescent="0.3">
      <c r="A12" s="1" t="s">
        <v>263</v>
      </c>
      <c r="C12" s="48">
        <f>SUM(C$8:C$11)</f>
        <v>18141.760000000002</v>
      </c>
      <c r="D12" s="48">
        <f>SUM(D$8:D$11)</f>
        <v>20023.2</v>
      </c>
      <c r="E12" s="48">
        <f>SUM(E$8:E$11)</f>
        <v>21959.800000000003</v>
      </c>
      <c r="F12" s="48">
        <f>SUM(F$8:F$11)</f>
        <v>23532.52</v>
      </c>
      <c r="G12" s="48">
        <f>AVERAGE(C12:F12)</f>
        <v>20914.320000000003</v>
      </c>
      <c r="H12" s="48">
        <f>SUM(H$8:H$11)</f>
        <v>21491.96</v>
      </c>
      <c r="I12" s="48">
        <f>SUM(I$8:I$11)</f>
        <v>20123</v>
      </c>
      <c r="J12" s="48">
        <f>SUM(J$8:J$11)</f>
        <v>20348</v>
      </c>
      <c r="K12" s="48">
        <f>SUM(K$8:K$11)</f>
        <v>23976</v>
      </c>
      <c r="L12" s="48">
        <f>AVERAGE(H12:K12)</f>
        <v>21484.739999999998</v>
      </c>
      <c r="M12" s="48">
        <f>SUM(M$8:M$11)</f>
        <v>23437</v>
      </c>
      <c r="N12" s="48">
        <f>SUM(N$8:N$11)</f>
        <v>23533</v>
      </c>
      <c r="O12" s="48">
        <f>SUM(O$8:O$11)</f>
        <v>29330</v>
      </c>
      <c r="P12" s="48">
        <f>SUM(P$8:P$11)</f>
        <v>29990</v>
      </c>
      <c r="Q12" s="48">
        <f>AVERAGE(M12:P12)</f>
        <v>26572.5</v>
      </c>
      <c r="R12" s="48">
        <f>SUM(R$8:R$11)</f>
        <v>31317</v>
      </c>
      <c r="S12" s="48">
        <f>SUM(S$8:S$11)</f>
        <v>31225</v>
      </c>
      <c r="T12" s="48">
        <f>SUM(T$8:T$11)</f>
        <v>31612</v>
      </c>
      <c r="U12" s="48">
        <f>SUM(U$8:U$11)</f>
        <v>32299</v>
      </c>
      <c r="V12" s="48">
        <f>AVERAGE(R12:U12)</f>
        <v>31613.25</v>
      </c>
      <c r="W12" s="48">
        <f>SUM(W$8:W$11)</f>
        <v>35189</v>
      </c>
      <c r="X12" s="48">
        <f>SUM(X$8:X$11)</f>
        <v>33304</v>
      </c>
      <c r="Y12" s="48">
        <f>SUM(Y$8:Y$11)</f>
        <v>45766</v>
      </c>
      <c r="Z12" s="48">
        <f>SUM(Z$8:Z$11)</f>
        <v>47621</v>
      </c>
      <c r="AA12" s="48">
        <f>AVERAGE(W12:Z12)</f>
        <v>40470</v>
      </c>
      <c r="AB12" s="48">
        <f>SUM(AB$8:AB$11)</f>
        <v>61039</v>
      </c>
      <c r="AC12" s="48">
        <f>SUM(AC$8:AC$11)</f>
        <v>91093</v>
      </c>
      <c r="AD12" s="48">
        <f>SUM(AD$8:AD$11)</f>
        <v>99910</v>
      </c>
      <c r="AE12" s="48">
        <f>SUM(AE$8:AE$11)</f>
        <v>100309</v>
      </c>
      <c r="AF12" s="48">
        <f>AVERAGE(AB12:AE12)</f>
        <v>88087.75</v>
      </c>
    </row>
    <row r="13" spans="1:64" s="1" customFormat="1" x14ac:dyDescent="0.3">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row>
    <row r="14" spans="1:64" s="1" customFormat="1" x14ac:dyDescent="0.3">
      <c r="A14" s="1" t="s">
        <v>251</v>
      </c>
      <c r="C14" s="60">
        <v>63.83</v>
      </c>
      <c r="D14" s="60">
        <v>68.599999999999994</v>
      </c>
      <c r="E14" s="60">
        <v>75.84</v>
      </c>
      <c r="F14" s="60">
        <v>74.97</v>
      </c>
      <c r="G14" s="61">
        <f>AVERAGE(C14:F14)</f>
        <v>70.81</v>
      </c>
      <c r="H14" s="60">
        <v>63.83</v>
      </c>
      <c r="I14" s="60">
        <v>68.47</v>
      </c>
      <c r="J14" s="60">
        <v>62.03</v>
      </c>
      <c r="K14" s="60">
        <v>62.42</v>
      </c>
      <c r="L14" s="61">
        <f>AVERAGE(H14:K14)</f>
        <v>64.1875</v>
      </c>
      <c r="M14" s="60">
        <v>50.44</v>
      </c>
      <c r="N14" s="60">
        <v>33.39</v>
      </c>
      <c r="O14" s="60">
        <v>43.34</v>
      </c>
      <c r="P14" s="60">
        <v>45.26</v>
      </c>
      <c r="Q14" s="61">
        <f>AVERAGE(M14:P14)</f>
        <v>43.107500000000002</v>
      </c>
      <c r="R14" s="60">
        <v>61.32</v>
      </c>
      <c r="S14" s="60">
        <v>69.08</v>
      </c>
      <c r="T14" s="60">
        <v>73.23</v>
      </c>
      <c r="U14" s="60">
        <v>79.66</v>
      </c>
      <c r="V14" s="61">
        <f>AVERAGE(R14:U14)</f>
        <v>70.822499999999991</v>
      </c>
      <c r="W14" s="60">
        <v>97.9</v>
      </c>
      <c r="X14" s="60">
        <v>111.7</v>
      </c>
      <c r="Y14" s="60">
        <v>97.7</v>
      </c>
      <c r="Z14" s="60">
        <v>88.63</v>
      </c>
      <c r="AA14" s="61">
        <f>AVERAGE(W14:Z14)</f>
        <v>98.982500000000002</v>
      </c>
      <c r="AB14" s="60">
        <v>82.16</v>
      </c>
      <c r="AC14" s="60">
        <v>77.73</v>
      </c>
      <c r="AD14" s="60">
        <v>85.92</v>
      </c>
      <c r="AE14" s="60">
        <v>82.86</v>
      </c>
      <c r="AF14" s="61">
        <f>AVERAGE(AB14:AE14)</f>
        <v>82.167500000000004</v>
      </c>
    </row>
    <row r="15" spans="1:64" s="1" customFormat="1" x14ac:dyDescent="0.3">
      <c r="A15" s="1" t="s">
        <v>252</v>
      </c>
      <c r="C15" s="53"/>
      <c r="D15" s="53"/>
      <c r="E15" s="53"/>
      <c r="F15" s="53"/>
      <c r="G15" s="61">
        <f>SUMPRODUCT(C15:F15,C24:F24)/SUM(C24:F24)</f>
        <v>0</v>
      </c>
      <c r="H15" s="60">
        <v>64.400000000000006</v>
      </c>
      <c r="I15" s="60">
        <v>68.61</v>
      </c>
      <c r="J15" s="60">
        <v>62.31</v>
      </c>
      <c r="K15" s="60">
        <v>62.88</v>
      </c>
      <c r="L15" s="61">
        <f>SUMPRODUCT(H15:K15,H24:K24)/SUM(H24:K24)</f>
        <v>64.636710448833995</v>
      </c>
      <c r="M15" s="60">
        <v>31.79</v>
      </c>
      <c r="N15" s="60">
        <v>35.090000000000003</v>
      </c>
      <c r="O15" s="60">
        <v>42.71</v>
      </c>
      <c r="P15" s="60">
        <v>46.26</v>
      </c>
      <c r="Q15" s="61">
        <f>SUMPRODUCT(M15:P15,M24:P24)/SUM(M24:P24)</f>
        <v>41.230148238965675</v>
      </c>
      <c r="R15" s="60">
        <v>62.19</v>
      </c>
      <c r="S15" s="60">
        <v>66.849999999999994</v>
      </c>
      <c r="T15" s="60">
        <v>74.41</v>
      </c>
      <c r="U15" s="60">
        <v>83.19</v>
      </c>
      <c r="V15" s="61">
        <f>SUMPRODUCT(R15:U15,R24:U24)/SUM(R24:U24)</f>
        <v>73.380131816540271</v>
      </c>
      <c r="W15" s="60">
        <v>110.28</v>
      </c>
      <c r="X15" s="60">
        <v>108.37</v>
      </c>
      <c r="Y15" s="60">
        <v>94.36</v>
      </c>
      <c r="Z15" s="60">
        <v>85.32</v>
      </c>
      <c r="AA15" s="61">
        <f>SUMPRODUCT(W15:Z15,W24:Z24)/SUM(W24:Z24)</f>
        <v>100.11554822954822</v>
      </c>
      <c r="AB15" s="60">
        <v>82.93</v>
      </c>
      <c r="AC15" s="60">
        <v>77.67</v>
      </c>
      <c r="AD15" s="60">
        <v>86.48</v>
      </c>
      <c r="AE15" s="60">
        <v>77.39</v>
      </c>
      <c r="AF15" s="61">
        <f>SUMPRODUCT(AB15:AE15,AB24:AE24)/SUM(AB24:AE24)</f>
        <v>81.419905715426438</v>
      </c>
    </row>
    <row r="16" spans="1:64" s="1" customFormat="1" x14ac:dyDescent="0.3">
      <c r="A16" s="1" t="s">
        <v>275</v>
      </c>
      <c r="C16" s="60">
        <v>3.24</v>
      </c>
      <c r="D16" s="60">
        <v>3.61</v>
      </c>
      <c r="E16" s="60">
        <v>3.95</v>
      </c>
      <c r="F16" s="60">
        <v>3.81</v>
      </c>
      <c r="G16" s="61">
        <f>AVERAGE(C16:F16)</f>
        <v>3.6525000000000003</v>
      </c>
      <c r="H16" s="60">
        <v>3.77</v>
      </c>
      <c r="I16" s="60">
        <v>3.92</v>
      </c>
      <c r="J16" s="60">
        <v>3.97</v>
      </c>
      <c r="K16" s="60">
        <v>4.12</v>
      </c>
      <c r="L16" s="61">
        <f>AVERAGE(H16:K16)</f>
        <v>3.9450000000000003</v>
      </c>
      <c r="M16" s="60">
        <v>4.47</v>
      </c>
      <c r="N16" s="60">
        <v>5.39</v>
      </c>
      <c r="O16" s="60">
        <v>5.38</v>
      </c>
      <c r="P16" s="60">
        <v>5.4</v>
      </c>
      <c r="Q16" s="61">
        <f>AVERAGE(M16:P16)</f>
        <v>5.16</v>
      </c>
      <c r="R16" s="60">
        <v>5.48</v>
      </c>
      <c r="S16" s="60">
        <v>5.29</v>
      </c>
      <c r="T16" s="60">
        <v>5.23</v>
      </c>
      <c r="U16" s="60">
        <v>5.59</v>
      </c>
      <c r="V16" s="61">
        <f>AVERAGE(R16:U16)</f>
        <v>5.3975</v>
      </c>
      <c r="W16" s="60">
        <v>5</v>
      </c>
      <c r="X16" s="60">
        <v>5.1100000000000003</v>
      </c>
      <c r="Y16" s="60">
        <v>5.25</v>
      </c>
      <c r="Z16" s="60">
        <v>5.26</v>
      </c>
      <c r="AA16" s="61">
        <f>AVERAGE(W16:Z16)</f>
        <v>5.1549999999999994</v>
      </c>
      <c r="AB16" s="60">
        <v>5.19</v>
      </c>
      <c r="AC16" s="60">
        <v>4.9400000000000004</v>
      </c>
      <c r="AD16" s="60">
        <v>4.88</v>
      </c>
      <c r="AE16" s="60">
        <v>4.96</v>
      </c>
      <c r="AF16" s="61">
        <f>AVERAGE(AB16:AE16)</f>
        <v>4.9925000000000006</v>
      </c>
    </row>
    <row r="17" spans="1:32" s="1" customFormat="1" x14ac:dyDescent="0.3">
      <c r="A17" s="1" t="s">
        <v>253</v>
      </c>
      <c r="C17" s="60">
        <v>3.32</v>
      </c>
      <c r="D17" s="60">
        <v>3.86</v>
      </c>
      <c r="E17" s="60">
        <v>4</v>
      </c>
      <c r="F17" s="60">
        <v>3.87</v>
      </c>
      <c r="G17" s="61">
        <f>AVERAGE(C17:F17)</f>
        <v>3.7625000000000002</v>
      </c>
      <c r="H17" s="60">
        <v>3.9</v>
      </c>
      <c r="I17" s="60">
        <v>3.85</v>
      </c>
      <c r="J17" s="60">
        <v>4.16</v>
      </c>
      <c r="K17" s="60">
        <v>4.0199999999999996</v>
      </c>
      <c r="L17" s="61">
        <f>AVERAGE(H17:K17)</f>
        <v>3.9824999999999999</v>
      </c>
      <c r="M17" s="60">
        <v>5.2</v>
      </c>
      <c r="N17" s="60">
        <v>5.47</v>
      </c>
      <c r="O17" s="60">
        <v>5.61</v>
      </c>
      <c r="P17" s="60">
        <v>5.19</v>
      </c>
      <c r="Q17" s="61">
        <f>AVERAGE(M17:P17)</f>
        <v>5.3675000000000006</v>
      </c>
      <c r="R17" s="60">
        <v>5.7</v>
      </c>
      <c r="S17" s="60">
        <v>5</v>
      </c>
      <c r="T17" s="60">
        <v>5.44</v>
      </c>
      <c r="U17" s="60">
        <v>5.58</v>
      </c>
      <c r="V17" s="61">
        <f>AVERAGE(R17:U17)</f>
        <v>5.43</v>
      </c>
      <c r="W17" s="60">
        <v>4.74</v>
      </c>
      <c r="X17" s="60">
        <v>5.35</v>
      </c>
      <c r="Y17" s="60">
        <v>5.41</v>
      </c>
      <c r="Z17" s="60">
        <v>5.29</v>
      </c>
      <c r="AA17" s="61">
        <f>AVERAGE(W17:Z17)</f>
        <v>5.1974999999999998</v>
      </c>
      <c r="AB17" s="60">
        <v>5.0599999999999996</v>
      </c>
      <c r="AC17" s="60">
        <v>4.79</v>
      </c>
      <c r="AD17" s="60">
        <v>5.03</v>
      </c>
      <c r="AE17" s="60">
        <v>4.8499999999999996</v>
      </c>
      <c r="AF17" s="61">
        <f>AVERAGE(AB17:AE17)</f>
        <v>4.9324999999999992</v>
      </c>
    </row>
    <row r="18" spans="1:32" s="1" customFormat="1" x14ac:dyDescent="0.3">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row>
    <row r="19" spans="1:32" s="1" customFormat="1" x14ac:dyDescent="0.3">
      <c r="A19" s="1" t="s">
        <v>255</v>
      </c>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row>
    <row r="20" spans="1:32" s="1" customFormat="1" x14ac:dyDescent="0.3">
      <c r="A20" s="1" t="s">
        <v>254</v>
      </c>
      <c r="C20" s="55">
        <v>1989</v>
      </c>
      <c r="D20" s="55">
        <v>983</v>
      </c>
      <c r="E20" s="55">
        <v>1990</v>
      </c>
      <c r="F20" s="55">
        <v>1975</v>
      </c>
      <c r="G20" s="51">
        <f>SUM(C20:F20)</f>
        <v>6937</v>
      </c>
      <c r="H20" s="55">
        <v>975.471</v>
      </c>
      <c r="I20" s="55">
        <v>975</v>
      </c>
      <c r="J20" s="55">
        <v>995</v>
      </c>
      <c r="K20" s="55">
        <v>1398</v>
      </c>
      <c r="L20" s="51">
        <f>SUM(H20:K20)</f>
        <v>4343.4709999999995</v>
      </c>
      <c r="M20" s="55">
        <v>982</v>
      </c>
      <c r="N20" s="55">
        <v>950</v>
      </c>
      <c r="O20" s="55">
        <v>993</v>
      </c>
      <c r="P20" s="55">
        <v>1943</v>
      </c>
      <c r="Q20" s="51">
        <f>SUM(M20:P20)</f>
        <v>4868</v>
      </c>
      <c r="R20" s="55">
        <v>1021</v>
      </c>
      <c r="S20" s="55">
        <v>1530</v>
      </c>
      <c r="T20" s="55">
        <v>986</v>
      </c>
      <c r="U20" s="55">
        <v>2000</v>
      </c>
      <c r="V20" s="51">
        <f>SUM(R20:U20)</f>
        <v>5537</v>
      </c>
      <c r="W20" s="55">
        <v>1649</v>
      </c>
      <c r="X20" s="55">
        <v>1503</v>
      </c>
      <c r="Y20" s="55">
        <v>2252</v>
      </c>
      <c r="Z20" s="55">
        <v>1495</v>
      </c>
      <c r="AA20" s="51">
        <f>SUM(W20:Z20)</f>
        <v>6899</v>
      </c>
      <c r="AB20" s="55">
        <v>4334</v>
      </c>
      <c r="AC20" s="55">
        <v>4126</v>
      </c>
      <c r="AD20" s="55">
        <v>5278</v>
      </c>
      <c r="AE20" s="55">
        <v>4672</v>
      </c>
      <c r="AF20" s="51">
        <f>SUM(AB20:AE20)</f>
        <v>18410</v>
      </c>
    </row>
    <row r="21" spans="1:32" s="1" customFormat="1" x14ac:dyDescent="0.3">
      <c r="A21" s="1" t="s">
        <v>257</v>
      </c>
      <c r="C21" s="55">
        <v>0</v>
      </c>
      <c r="D21" s="55">
        <v>0</v>
      </c>
      <c r="E21" s="55">
        <v>0</v>
      </c>
      <c r="F21" s="55">
        <v>0</v>
      </c>
      <c r="G21" s="51">
        <f>SUM(C21:F21)</f>
        <v>0</v>
      </c>
      <c r="H21" s="55">
        <v>0</v>
      </c>
      <c r="I21" s="55">
        <v>0</v>
      </c>
      <c r="J21" s="55">
        <v>0</v>
      </c>
      <c r="K21" s="55">
        <v>0</v>
      </c>
      <c r="L21" s="51">
        <f>SUM(H21:K21)</f>
        <v>0</v>
      </c>
      <c r="M21" s="55">
        <v>0</v>
      </c>
      <c r="N21" s="55">
        <v>0</v>
      </c>
      <c r="O21" s="55">
        <v>0</v>
      </c>
      <c r="P21" s="55">
        <v>0</v>
      </c>
      <c r="Q21" s="51">
        <f>SUM(M21:P21)</f>
        <v>0</v>
      </c>
      <c r="R21" s="55">
        <v>0</v>
      </c>
      <c r="S21" s="55">
        <v>0</v>
      </c>
      <c r="T21" s="55">
        <v>0</v>
      </c>
      <c r="U21" s="55">
        <v>0</v>
      </c>
      <c r="V21" s="51">
        <f>SUM(R21:U21)</f>
        <v>0</v>
      </c>
      <c r="W21" s="55">
        <v>0</v>
      </c>
      <c r="X21" s="55">
        <v>0</v>
      </c>
      <c r="Y21" s="55">
        <v>0</v>
      </c>
      <c r="Z21" s="55">
        <v>0</v>
      </c>
      <c r="AA21" s="51">
        <f>SUM(W21:Z21)</f>
        <v>0</v>
      </c>
      <c r="AB21" s="55">
        <v>1409</v>
      </c>
      <c r="AC21" s="55">
        <v>1428</v>
      </c>
      <c r="AD21" s="55">
        <v>3028</v>
      </c>
      <c r="AE21" s="55">
        <v>1828</v>
      </c>
      <c r="AF21" s="51">
        <f>SUM(AB21:AE21)</f>
        <v>7693</v>
      </c>
    </row>
    <row r="22" spans="1:32" s="1" customFormat="1" x14ac:dyDescent="0.3">
      <c r="A22" s="1" t="s">
        <v>258</v>
      </c>
      <c r="C22" s="55">
        <v>463</v>
      </c>
      <c r="D22" s="55">
        <v>791</v>
      </c>
      <c r="E22" s="55">
        <v>693</v>
      </c>
      <c r="F22" s="55">
        <v>1107</v>
      </c>
      <c r="G22" s="51">
        <f>SUM(C22:F22)</f>
        <v>3054</v>
      </c>
      <c r="H22" s="55">
        <v>545</v>
      </c>
      <c r="I22" s="55">
        <v>1025</v>
      </c>
      <c r="J22" s="55">
        <v>508</v>
      </c>
      <c r="K22" s="55">
        <v>930</v>
      </c>
      <c r="L22" s="51">
        <f>SUM(H22:K22)</f>
        <v>3008</v>
      </c>
      <c r="M22" s="55">
        <v>470</v>
      </c>
      <c r="N22" s="55">
        <v>447</v>
      </c>
      <c r="O22" s="55">
        <v>1405</v>
      </c>
      <c r="P22" s="55">
        <v>1782</v>
      </c>
      <c r="Q22" s="51">
        <f>SUM(M22:P22)</f>
        <v>4104</v>
      </c>
      <c r="R22" s="55">
        <v>907</v>
      </c>
      <c r="S22" s="55">
        <v>1307</v>
      </c>
      <c r="T22" s="55">
        <v>1498</v>
      </c>
      <c r="U22" s="55">
        <v>1827</v>
      </c>
      <c r="V22" s="51">
        <f>SUM(R22:U22)</f>
        <v>5539</v>
      </c>
      <c r="W22" s="55">
        <v>1149</v>
      </c>
      <c r="X22" s="55">
        <v>1844</v>
      </c>
      <c r="Y22" s="55">
        <v>1595</v>
      </c>
      <c r="Z22" s="55">
        <v>798</v>
      </c>
      <c r="AA22" s="51">
        <f>SUM(W22:Z22)</f>
        <v>5386</v>
      </c>
      <c r="AB22" s="55">
        <v>1547</v>
      </c>
      <c r="AC22" s="55">
        <v>1602</v>
      </c>
      <c r="AD22" s="55">
        <v>1466</v>
      </c>
      <c r="AE22" s="55">
        <v>1843</v>
      </c>
      <c r="AF22" s="51">
        <f>SUM(AB22:AE22)</f>
        <v>6458</v>
      </c>
    </row>
    <row r="23" spans="1:32" s="1" customFormat="1" x14ac:dyDescent="0.3">
      <c r="A23" s="1" t="s">
        <v>256</v>
      </c>
      <c r="C23" s="55">
        <v>0</v>
      </c>
      <c r="D23" s="55">
        <v>0</v>
      </c>
      <c r="E23" s="55">
        <v>0</v>
      </c>
      <c r="F23" s="55">
        <v>0</v>
      </c>
      <c r="G23" s="51">
        <f>SUM(C23:F23)</f>
        <v>0</v>
      </c>
      <c r="H23" s="55">
        <v>0</v>
      </c>
      <c r="I23" s="55">
        <v>0</v>
      </c>
      <c r="J23" s="55">
        <v>0</v>
      </c>
      <c r="K23" s="55">
        <v>0</v>
      </c>
      <c r="L23" s="51">
        <f>SUM(H23:K23)</f>
        <v>0</v>
      </c>
      <c r="M23" s="55">
        <v>0</v>
      </c>
      <c r="N23" s="55">
        <v>0</v>
      </c>
      <c r="O23" s="55">
        <v>0</v>
      </c>
      <c r="P23" s="55">
        <v>0</v>
      </c>
      <c r="Q23" s="51">
        <f>SUM(M23:P23)</f>
        <v>0</v>
      </c>
      <c r="R23" s="55">
        <v>0</v>
      </c>
      <c r="S23" s="55">
        <v>0</v>
      </c>
      <c r="T23" s="55">
        <v>0</v>
      </c>
      <c r="U23" s="55">
        <v>0</v>
      </c>
      <c r="V23" s="51">
        <f>SUM(R23:U23)</f>
        <v>0</v>
      </c>
      <c r="W23" s="55">
        <v>0</v>
      </c>
      <c r="X23" s="55">
        <v>0</v>
      </c>
      <c r="Y23" s="55">
        <v>0</v>
      </c>
      <c r="Z23" s="55">
        <v>0</v>
      </c>
      <c r="AA23" s="51">
        <f>SUM(W23:Z23)</f>
        <v>0</v>
      </c>
      <c r="AB23" s="55">
        <v>0</v>
      </c>
      <c r="AC23" s="55">
        <v>0</v>
      </c>
      <c r="AD23" s="55">
        <v>0</v>
      </c>
      <c r="AE23" s="63"/>
      <c r="AF23" s="51">
        <f>SUM(AB23:AE23)</f>
        <v>0</v>
      </c>
    </row>
    <row r="24" spans="1:32" s="1" customFormat="1" x14ac:dyDescent="0.3">
      <c r="A24" s="38" t="s">
        <v>259</v>
      </c>
      <c r="C24" s="48">
        <f>C23+C22+C21+C20</f>
        <v>2452</v>
      </c>
      <c r="D24" s="48">
        <f>D23+D22+D21+D20</f>
        <v>1774</v>
      </c>
      <c r="E24" s="48">
        <f>E23+E22+E21+E20</f>
        <v>2683</v>
      </c>
      <c r="F24" s="48">
        <f>F23+F22+F21+F20</f>
        <v>3082</v>
      </c>
      <c r="G24" s="48">
        <f>SUM(C24:F24)</f>
        <v>9991</v>
      </c>
      <c r="H24" s="48">
        <f>H23+H22+H21+H20</f>
        <v>1520.471</v>
      </c>
      <c r="I24" s="48">
        <f>I23+I22+I21+I20</f>
        <v>2000</v>
      </c>
      <c r="J24" s="48">
        <f>J23+J22+J21+J20</f>
        <v>1503</v>
      </c>
      <c r="K24" s="48">
        <f>K23+K22+K21+K20</f>
        <v>2328</v>
      </c>
      <c r="L24" s="48">
        <f>SUM(H24:K24)</f>
        <v>7351.4709999999995</v>
      </c>
      <c r="M24" s="48">
        <f>M23+M22+M21+M20</f>
        <v>1452</v>
      </c>
      <c r="N24" s="48">
        <f>N23+N22+N21+N20</f>
        <v>1397</v>
      </c>
      <c r="O24" s="48">
        <f>O23+O22+O21+O20</f>
        <v>2398</v>
      </c>
      <c r="P24" s="48">
        <f>P23+P22+P21+P20</f>
        <v>3725</v>
      </c>
      <c r="Q24" s="48">
        <f>SUM(M24:P24)</f>
        <v>8972</v>
      </c>
      <c r="R24" s="48">
        <f>R23+R22+R21+R20</f>
        <v>1928</v>
      </c>
      <c r="S24" s="48">
        <f>S23+S22+S21+S20</f>
        <v>2837</v>
      </c>
      <c r="T24" s="48">
        <f>T23+T22+T21+T20</f>
        <v>2484</v>
      </c>
      <c r="U24" s="48">
        <f>U23+U22+U21+U20</f>
        <v>3827</v>
      </c>
      <c r="V24" s="48">
        <f>SUM(R24:U24)</f>
        <v>11076</v>
      </c>
      <c r="W24" s="48">
        <f>W23+W22+W21+W20</f>
        <v>2798</v>
      </c>
      <c r="X24" s="48">
        <f>X23+X22+X21+X20</f>
        <v>3347</v>
      </c>
      <c r="Y24" s="48">
        <f>Y23+Y22+Y21+Y20</f>
        <v>3847</v>
      </c>
      <c r="Z24" s="48">
        <f>Z23+Z22+Z21+Z20</f>
        <v>2293</v>
      </c>
      <c r="AA24" s="48">
        <f>SUM(W24:Z24)</f>
        <v>12285</v>
      </c>
      <c r="AB24" s="48">
        <f>AB23+AB22+AB21+AB20</f>
        <v>7290</v>
      </c>
      <c r="AC24" s="48">
        <f>AC23+AC22+AC21+AC20</f>
        <v>7156</v>
      </c>
      <c r="AD24" s="48">
        <f>AD23+AD22+AD21+AD20</f>
        <v>9772</v>
      </c>
      <c r="AE24" s="48">
        <f>AE23+AE22+AE21+AE20</f>
        <v>8343</v>
      </c>
      <c r="AF24" s="48">
        <f>SUM(AB24:AE24)</f>
        <v>32561</v>
      </c>
    </row>
    <row r="25" spans="1:32" s="1" customFormat="1" x14ac:dyDescent="0.3">
      <c r="A25" s="42" t="s">
        <v>265</v>
      </c>
      <c r="C25" s="69">
        <f>C24/(C12*'Fluxo de Caixa dos Acionistas'!C5/1000)</f>
        <v>1.5017531068895433</v>
      </c>
      <c r="D25" s="69">
        <f>D24/(D12*'Fluxo de Caixa dos Acionistas'!D5/1000)</f>
        <v>0.97359590347724112</v>
      </c>
      <c r="E25" s="69">
        <f>E24/(E12*'Fluxo de Caixa dos Acionistas'!E5/1000)</f>
        <v>1.3280195392608707</v>
      </c>
      <c r="F25" s="69">
        <f>F24/(F12*'Fluxo de Caixa dos Acionistas'!F5/1000)</f>
        <v>1.4235619474667398</v>
      </c>
      <c r="G25" s="69">
        <f>G24/(G12*'Fluxo de Caixa dos Acionistas'!G5/1000)</f>
        <v>1.3087971657565736</v>
      </c>
      <c r="H25" s="69">
        <f>H24/(H12*'Fluxo de Caixa dos Acionistas'!H5/1000)</f>
        <v>0.78606707914132645</v>
      </c>
      <c r="I25" s="69">
        <f>I24/(I12*'Fluxo de Caixa dos Acionistas'!I5/1000)</f>
        <v>1.0921841662784861</v>
      </c>
      <c r="J25" s="69">
        <f>J24/(J12*'Fluxo de Caixa dos Acionistas'!J5/1000)</f>
        <v>0.80287775318159671</v>
      </c>
      <c r="K25" s="69">
        <f>K24/(K12*'Fluxo de Caixa dos Acionistas'!K5/1000)</f>
        <v>1.0554032293162727</v>
      </c>
      <c r="L25" s="69">
        <f>L24/(L12*'Fluxo de Caixa dos Acionistas'!L5/1000)</f>
        <v>0.93745683859130546</v>
      </c>
      <c r="M25" s="69">
        <f>M24/(M12*'Fluxo de Caixa dos Acionistas'!M5/1000)</f>
        <v>0.68080573264683863</v>
      </c>
      <c r="N25" s="69">
        <f>N24/(N12*'Fluxo de Caixa dos Acionistas'!N5/1000)</f>
        <v>0.65234557224528744</v>
      </c>
      <c r="O25" s="69">
        <f>O24/(O12*'Fluxo de Caixa dos Acionistas'!O5/1000)</f>
        <v>0.88868794378807869</v>
      </c>
      <c r="P25" s="69">
        <f>P24/(P12*'Fluxo de Caixa dos Acionistas'!P5/1000)</f>
        <v>1.350087710396219</v>
      </c>
      <c r="Q25" s="69">
        <f>Q24/(Q12*'Fluxo de Caixa dos Acionistas'!Q5/1000)</f>
        <v>0.922519943632921</v>
      </c>
      <c r="R25" s="69">
        <f>R24/(R12*'Fluxo de Caixa dos Acionistas'!R5/1000)</f>
        <v>0.68404451966095792</v>
      </c>
      <c r="S25" s="69">
        <f>S24/(S12*'Fluxo de Caixa dos Acionistas'!S5/1000)</f>
        <v>0.99842511371734755</v>
      </c>
      <c r="T25" s="69">
        <f>T24/(T12*'Fluxo de Caixa dos Acionistas'!T5/1000)</f>
        <v>0.85410603568265209</v>
      </c>
      <c r="U25" s="69">
        <f>U24/(U12*'Fluxo de Caixa dos Acionistas'!U5/1000)</f>
        <v>1.2878982657963567</v>
      </c>
      <c r="V25" s="69">
        <f>V24/(V12*'Fluxo de Caixa dos Acionistas'!V5/1000)</f>
        <v>0.95988882761032335</v>
      </c>
      <c r="W25" s="69">
        <f>W24/(W12*'Fluxo de Caixa dos Acionistas'!W5/1000)</f>
        <v>0.88348315919431886</v>
      </c>
      <c r="X25" s="69">
        <f>X24/(X12*'Fluxo de Caixa dos Acionistas'!X5/1000)</f>
        <v>1.1043784464394601</v>
      </c>
      <c r="Y25" s="69">
        <f>Y24/(Y12*'Fluxo de Caixa dos Acionistas'!Y5/1000)</f>
        <v>0.91367428639829462</v>
      </c>
      <c r="Z25" s="69">
        <f>Z24/(Z12*'Fluxo de Caixa dos Acionistas'!Z5/1000)</f>
        <v>0.5233807153037161</v>
      </c>
      <c r="AA25" s="69">
        <f>AA24/(AA12*'Fluxo de Caixa dos Acionistas'!AA5/1000)</f>
        <v>0.83166627740487631</v>
      </c>
      <c r="AB25" s="69">
        <f>AB24/(AB12*'Fluxo de Caixa dos Acionistas'!AB5/1000)</f>
        <v>1.3270204295614279</v>
      </c>
      <c r="AC25" s="69">
        <f>AC24/(AC12*'Fluxo de Caixa dos Acionistas'!AC5/1000)</f>
        <v>0.86326460471564925</v>
      </c>
      <c r="AD25" s="69">
        <f>AD24/(AD12*'Fluxo de Caixa dos Acionistas'!AD5/1000)</f>
        <v>1.0631307307011093</v>
      </c>
      <c r="AE25" s="69">
        <f>AE24/(AE12*'Fluxo de Caixa dos Acionistas'!AE5/1000)</f>
        <v>0.90405429830519346</v>
      </c>
      <c r="AF25" s="69">
        <f>AF24/(AF12*'Fluxo de Caixa dos Acionistas'!AF5/1000)</f>
        <v>1.0127199205120143</v>
      </c>
    </row>
    <row r="26" spans="1:32" s="1" customFormat="1" x14ac:dyDescent="0.3">
      <c r="C26" s="56"/>
      <c r="D26" s="56"/>
      <c r="E26" s="56"/>
      <c r="F26" s="56"/>
      <c r="G26" s="56"/>
      <c r="H26" s="56"/>
      <c r="I26" s="56"/>
      <c r="J26" s="56"/>
      <c r="K26" s="62"/>
      <c r="L26" s="56"/>
      <c r="M26" s="56"/>
      <c r="N26" s="56"/>
      <c r="O26" s="56"/>
      <c r="P26" s="56"/>
      <c r="Q26" s="56"/>
      <c r="R26" s="56"/>
      <c r="S26" s="56"/>
      <c r="T26" s="56"/>
      <c r="U26" s="56"/>
      <c r="V26" s="56"/>
      <c r="W26" s="56"/>
      <c r="X26" s="56"/>
      <c r="Y26" s="56"/>
      <c r="Z26" s="56"/>
      <c r="AA26" s="56"/>
      <c r="AB26" s="56"/>
      <c r="AC26" s="56"/>
      <c r="AD26" s="56"/>
      <c r="AE26" s="56"/>
      <c r="AF26" s="56"/>
    </row>
    <row r="27" spans="1:32" s="1" customFormat="1" x14ac:dyDescent="0.3">
      <c r="AB27" s="95"/>
      <c r="AC27" s="95"/>
      <c r="AD27" s="95"/>
    </row>
    <row r="28" spans="1:32" s="209" customFormat="1" x14ac:dyDescent="0.3">
      <c r="A28" s="209" t="s">
        <v>260</v>
      </c>
      <c r="C28" s="213"/>
      <c r="D28" s="213"/>
      <c r="E28" s="213"/>
      <c r="F28" s="213"/>
      <c r="G28" s="213"/>
      <c r="H28" s="213"/>
      <c r="I28" s="213"/>
      <c r="J28" s="213"/>
      <c r="K28" s="213"/>
      <c r="L28" s="213"/>
      <c r="M28" s="213"/>
      <c r="N28" s="213"/>
      <c r="O28" s="213"/>
      <c r="P28" s="213"/>
      <c r="Q28" s="213"/>
      <c r="R28" s="213"/>
      <c r="S28" s="213"/>
      <c r="T28" s="213"/>
      <c r="U28" s="213"/>
      <c r="V28" s="213"/>
      <c r="W28" s="213"/>
      <c r="X28" s="213"/>
      <c r="Y28" s="213"/>
      <c r="Z28" s="213"/>
      <c r="AA28" s="213"/>
      <c r="AB28" s="213"/>
      <c r="AC28" s="213"/>
      <c r="AD28" s="213"/>
    </row>
    <row r="29" spans="1:32" s="1" customFormat="1" x14ac:dyDescent="0.3"/>
    <row r="30" spans="1:32" s="1" customFormat="1" x14ac:dyDescent="0.3">
      <c r="A30" s="1" t="s">
        <v>270</v>
      </c>
      <c r="C30" s="51">
        <f t="shared" ref="C30:AB30" si="0">C32*C31</f>
        <v>156511.16</v>
      </c>
      <c r="D30" s="51">
        <f t="shared" si="0"/>
        <v>121696.4</v>
      </c>
      <c r="E30" s="51">
        <f t="shared" si="0"/>
        <v>203478.72</v>
      </c>
      <c r="F30" s="51">
        <f t="shared" si="0"/>
        <v>231057.54</v>
      </c>
      <c r="G30" s="48">
        <f t="shared" si="0"/>
        <v>707462.71000000008</v>
      </c>
      <c r="H30" s="51">
        <f t="shared" si="0"/>
        <v>97918.332400000014</v>
      </c>
      <c r="I30" s="51">
        <f t="shared" si="0"/>
        <v>137220</v>
      </c>
      <c r="J30" s="51">
        <f t="shared" si="0"/>
        <v>93651.930000000008</v>
      </c>
      <c r="K30" s="51">
        <f t="shared" si="0"/>
        <v>146384.64000000001</v>
      </c>
      <c r="L30" s="48">
        <f t="shared" si="0"/>
        <v>475174.90240000008</v>
      </c>
      <c r="M30" s="51">
        <f t="shared" si="0"/>
        <v>46159.08</v>
      </c>
      <c r="N30" s="51">
        <f t="shared" si="0"/>
        <v>49020.73</v>
      </c>
      <c r="O30" s="51">
        <f t="shared" si="0"/>
        <v>102418.58</v>
      </c>
      <c r="P30" s="51">
        <f t="shared" si="0"/>
        <v>172318.5</v>
      </c>
      <c r="Q30" s="48">
        <f t="shared" si="0"/>
        <v>369916.89</v>
      </c>
      <c r="R30" s="51">
        <f t="shared" si="0"/>
        <v>119902.31999999999</v>
      </c>
      <c r="S30" s="51">
        <f t="shared" si="0"/>
        <v>189653.44999999998</v>
      </c>
      <c r="T30" s="51">
        <f t="shared" si="0"/>
        <v>184834.44</v>
      </c>
      <c r="U30" s="51">
        <f t="shared" si="0"/>
        <v>318368.13</v>
      </c>
      <c r="V30" s="48">
        <f t="shared" si="0"/>
        <v>812758.34000000008</v>
      </c>
      <c r="W30" s="51">
        <f t="shared" si="0"/>
        <v>308563.44</v>
      </c>
      <c r="X30" s="51">
        <f t="shared" si="0"/>
        <v>362714.39</v>
      </c>
      <c r="Y30" s="51">
        <f t="shared" si="0"/>
        <v>363002.92</v>
      </c>
      <c r="Z30" s="51">
        <f t="shared" si="0"/>
        <v>195638.75999999998</v>
      </c>
      <c r="AA30" s="48">
        <f t="shared" si="0"/>
        <v>1229919.51</v>
      </c>
      <c r="AB30" s="51">
        <f t="shared" si="0"/>
        <v>604559.70000000007</v>
      </c>
      <c r="AC30" s="51">
        <f>AC32*AC31</f>
        <v>555806.52</v>
      </c>
      <c r="AD30" s="51">
        <f>AD32*AD31</f>
        <v>845082.56</v>
      </c>
      <c r="AE30" s="51">
        <f>AE32*AE31</f>
        <v>645664.77</v>
      </c>
      <c r="AF30" s="48">
        <f>AF32*AF31</f>
        <v>2651113.5500000003</v>
      </c>
    </row>
    <row r="31" spans="1:32" s="1" customFormat="1" x14ac:dyDescent="0.3">
      <c r="A31" s="42" t="s">
        <v>271</v>
      </c>
      <c r="C31" s="51">
        <f t="shared" ref="C31:AF31" si="1">C24</f>
        <v>2452</v>
      </c>
      <c r="D31" s="51">
        <f t="shared" si="1"/>
        <v>1774</v>
      </c>
      <c r="E31" s="51">
        <f t="shared" si="1"/>
        <v>2683</v>
      </c>
      <c r="F31" s="51">
        <f t="shared" si="1"/>
        <v>3082</v>
      </c>
      <c r="G31" s="48">
        <f t="shared" si="1"/>
        <v>9991</v>
      </c>
      <c r="H31" s="51">
        <f t="shared" si="1"/>
        <v>1520.471</v>
      </c>
      <c r="I31" s="51">
        <f t="shared" si="1"/>
        <v>2000</v>
      </c>
      <c r="J31" s="51">
        <f t="shared" si="1"/>
        <v>1503</v>
      </c>
      <c r="K31" s="51">
        <f t="shared" si="1"/>
        <v>2328</v>
      </c>
      <c r="L31" s="48">
        <f t="shared" si="1"/>
        <v>7351.4709999999995</v>
      </c>
      <c r="M31" s="51">
        <f t="shared" si="1"/>
        <v>1452</v>
      </c>
      <c r="N31" s="51">
        <f t="shared" si="1"/>
        <v>1397</v>
      </c>
      <c r="O31" s="51">
        <f t="shared" si="1"/>
        <v>2398</v>
      </c>
      <c r="P31" s="51">
        <f t="shared" si="1"/>
        <v>3725</v>
      </c>
      <c r="Q31" s="48">
        <f t="shared" si="1"/>
        <v>8972</v>
      </c>
      <c r="R31" s="51">
        <f t="shared" si="1"/>
        <v>1928</v>
      </c>
      <c r="S31" s="51">
        <f t="shared" si="1"/>
        <v>2837</v>
      </c>
      <c r="T31" s="51">
        <f t="shared" si="1"/>
        <v>2484</v>
      </c>
      <c r="U31" s="51">
        <f t="shared" si="1"/>
        <v>3827</v>
      </c>
      <c r="V31" s="48">
        <f t="shared" si="1"/>
        <v>11076</v>
      </c>
      <c r="W31" s="51">
        <f t="shared" si="1"/>
        <v>2798</v>
      </c>
      <c r="X31" s="51">
        <f t="shared" si="1"/>
        <v>3347</v>
      </c>
      <c r="Y31" s="51">
        <f t="shared" si="1"/>
        <v>3847</v>
      </c>
      <c r="Z31" s="51">
        <f t="shared" si="1"/>
        <v>2293</v>
      </c>
      <c r="AA31" s="48">
        <f t="shared" si="1"/>
        <v>12285</v>
      </c>
      <c r="AB31" s="51">
        <f t="shared" si="1"/>
        <v>7290</v>
      </c>
      <c r="AC31" s="51">
        <f t="shared" si="1"/>
        <v>7156</v>
      </c>
      <c r="AD31" s="51">
        <f t="shared" si="1"/>
        <v>9772</v>
      </c>
      <c r="AE31" s="51">
        <f t="shared" si="1"/>
        <v>8343</v>
      </c>
      <c r="AF31" s="48">
        <f t="shared" si="1"/>
        <v>32561</v>
      </c>
    </row>
    <row r="32" spans="1:32" s="1" customFormat="1" x14ac:dyDescent="0.3">
      <c r="A32" s="42" t="s">
        <v>272</v>
      </c>
      <c r="C32" s="70">
        <f>C14</f>
        <v>63.83</v>
      </c>
      <c r="D32" s="70">
        <f>D14</f>
        <v>68.599999999999994</v>
      </c>
      <c r="E32" s="70">
        <f>E14</f>
        <v>75.84</v>
      </c>
      <c r="F32" s="70">
        <f>F14</f>
        <v>74.97</v>
      </c>
      <c r="G32" s="61">
        <f>G14</f>
        <v>70.81</v>
      </c>
      <c r="H32" s="70">
        <f t="shared" ref="H32:AF32" si="2">H15</f>
        <v>64.400000000000006</v>
      </c>
      <c r="I32" s="70">
        <f t="shared" si="2"/>
        <v>68.61</v>
      </c>
      <c r="J32" s="70">
        <f t="shared" si="2"/>
        <v>62.31</v>
      </c>
      <c r="K32" s="70">
        <f t="shared" si="2"/>
        <v>62.88</v>
      </c>
      <c r="L32" s="61">
        <f t="shared" si="2"/>
        <v>64.636710448833995</v>
      </c>
      <c r="M32" s="70">
        <f t="shared" si="2"/>
        <v>31.79</v>
      </c>
      <c r="N32" s="70">
        <f t="shared" si="2"/>
        <v>35.090000000000003</v>
      </c>
      <c r="O32" s="70">
        <f t="shared" si="2"/>
        <v>42.71</v>
      </c>
      <c r="P32" s="70">
        <f t="shared" si="2"/>
        <v>46.26</v>
      </c>
      <c r="Q32" s="61">
        <f t="shared" si="2"/>
        <v>41.230148238965675</v>
      </c>
      <c r="R32" s="70">
        <f t="shared" si="2"/>
        <v>62.19</v>
      </c>
      <c r="S32" s="70">
        <f t="shared" si="2"/>
        <v>66.849999999999994</v>
      </c>
      <c r="T32" s="70">
        <f t="shared" si="2"/>
        <v>74.41</v>
      </c>
      <c r="U32" s="70">
        <f t="shared" si="2"/>
        <v>83.19</v>
      </c>
      <c r="V32" s="61">
        <f t="shared" si="2"/>
        <v>73.380131816540271</v>
      </c>
      <c r="W32" s="70">
        <f t="shared" si="2"/>
        <v>110.28</v>
      </c>
      <c r="X32" s="70">
        <f t="shared" si="2"/>
        <v>108.37</v>
      </c>
      <c r="Y32" s="70">
        <f t="shared" si="2"/>
        <v>94.36</v>
      </c>
      <c r="Z32" s="70">
        <f t="shared" si="2"/>
        <v>85.32</v>
      </c>
      <c r="AA32" s="61">
        <f t="shared" si="2"/>
        <v>100.11554822954822</v>
      </c>
      <c r="AB32" s="70">
        <f t="shared" si="2"/>
        <v>82.93</v>
      </c>
      <c r="AC32" s="70">
        <f t="shared" si="2"/>
        <v>77.67</v>
      </c>
      <c r="AD32" s="70">
        <f t="shared" si="2"/>
        <v>86.48</v>
      </c>
      <c r="AE32" s="70">
        <f t="shared" si="2"/>
        <v>77.39</v>
      </c>
      <c r="AF32" s="61">
        <f t="shared" si="2"/>
        <v>81.419905715426438</v>
      </c>
    </row>
    <row r="33" spans="1:32" s="1" customFormat="1" x14ac:dyDescent="0.3"/>
    <row r="34" spans="1:32" s="1" customFormat="1" x14ac:dyDescent="0.3">
      <c r="A34" s="1" t="s">
        <v>273</v>
      </c>
      <c r="C34" s="51">
        <f t="shared" ref="C34:AC34" si="3">C35*C30</f>
        <v>507096.15840000007</v>
      </c>
      <c r="D34" s="51">
        <f t="shared" si="3"/>
        <v>439324.00399999996</v>
      </c>
      <c r="E34" s="51">
        <f t="shared" si="3"/>
        <v>803740.94400000002</v>
      </c>
      <c r="F34" s="51">
        <f t="shared" si="3"/>
        <v>880329.22740000009</v>
      </c>
      <c r="G34" s="48">
        <f t="shared" si="3"/>
        <v>2584007.5482750004</v>
      </c>
      <c r="H34" s="51">
        <f t="shared" si="3"/>
        <v>369152.11314800003</v>
      </c>
      <c r="I34" s="51">
        <f t="shared" si="3"/>
        <v>537902.4</v>
      </c>
      <c r="J34" s="51">
        <f t="shared" si="3"/>
        <v>371798.16210000007</v>
      </c>
      <c r="K34" s="51">
        <f t="shared" si="3"/>
        <v>603104.71680000005</v>
      </c>
      <c r="L34" s="48">
        <f t="shared" si="3"/>
        <v>1874564.9899680004</v>
      </c>
      <c r="M34" s="51">
        <f t="shared" si="3"/>
        <v>206331.0876</v>
      </c>
      <c r="N34" s="51">
        <f t="shared" si="3"/>
        <v>264221.73470000003</v>
      </c>
      <c r="O34" s="51">
        <f t="shared" si="3"/>
        <v>551011.96039999998</v>
      </c>
      <c r="P34" s="51">
        <f t="shared" si="3"/>
        <v>930519.9</v>
      </c>
      <c r="Q34" s="48">
        <f t="shared" si="3"/>
        <v>1908771.1524</v>
      </c>
      <c r="R34" s="51">
        <f t="shared" si="3"/>
        <v>657064.71360000002</v>
      </c>
      <c r="S34" s="51">
        <f t="shared" si="3"/>
        <v>1003266.7505</v>
      </c>
      <c r="T34" s="51">
        <f t="shared" si="3"/>
        <v>966684.12120000005</v>
      </c>
      <c r="U34" s="51">
        <f t="shared" si="3"/>
        <v>1779677.8466999999</v>
      </c>
      <c r="V34" s="48">
        <f t="shared" si="3"/>
        <v>4386863.1401500003</v>
      </c>
      <c r="W34" s="51">
        <f t="shared" si="3"/>
        <v>1542817.2</v>
      </c>
      <c r="X34" s="51">
        <f t="shared" si="3"/>
        <v>1853470.5329000002</v>
      </c>
      <c r="Y34" s="51">
        <f t="shared" si="3"/>
        <v>1905765.3299999998</v>
      </c>
      <c r="Z34" s="51">
        <f t="shared" si="3"/>
        <v>1029059.8775999999</v>
      </c>
      <c r="AA34" s="48">
        <f t="shared" si="3"/>
        <v>6340235.074049999</v>
      </c>
      <c r="AB34" s="51">
        <f t="shared" si="3"/>
        <v>3059072.0819999999</v>
      </c>
      <c r="AC34" s="51">
        <f t="shared" si="3"/>
        <v>2662313.2308</v>
      </c>
      <c r="AD34" s="51">
        <f>AD35*AD30</f>
        <v>4250765.2768000001</v>
      </c>
      <c r="AE34" s="51">
        <f>AE35*AE30</f>
        <v>3131474.1344999997</v>
      </c>
      <c r="AF34" s="48">
        <f>AF35*AF30</f>
        <v>13235684.398375003</v>
      </c>
    </row>
    <row r="35" spans="1:32" s="1" customFormat="1" x14ac:dyDescent="0.3">
      <c r="A35" s="42" t="s">
        <v>274</v>
      </c>
      <c r="C35" s="70">
        <f t="shared" ref="C35:AA35" si="4">C16</f>
        <v>3.24</v>
      </c>
      <c r="D35" s="70">
        <f t="shared" si="4"/>
        <v>3.61</v>
      </c>
      <c r="E35" s="70">
        <f t="shared" si="4"/>
        <v>3.95</v>
      </c>
      <c r="F35" s="70">
        <f t="shared" si="4"/>
        <v>3.81</v>
      </c>
      <c r="G35" s="61">
        <f t="shared" si="4"/>
        <v>3.6525000000000003</v>
      </c>
      <c r="H35" s="70">
        <f t="shared" si="4"/>
        <v>3.77</v>
      </c>
      <c r="I35" s="70">
        <f t="shared" si="4"/>
        <v>3.92</v>
      </c>
      <c r="J35" s="70">
        <f t="shared" si="4"/>
        <v>3.97</v>
      </c>
      <c r="K35" s="70">
        <f t="shared" si="4"/>
        <v>4.12</v>
      </c>
      <c r="L35" s="61">
        <f t="shared" si="4"/>
        <v>3.9450000000000003</v>
      </c>
      <c r="M35" s="70">
        <f t="shared" si="4"/>
        <v>4.47</v>
      </c>
      <c r="N35" s="70">
        <f t="shared" si="4"/>
        <v>5.39</v>
      </c>
      <c r="O35" s="70">
        <f t="shared" si="4"/>
        <v>5.38</v>
      </c>
      <c r="P35" s="70">
        <f t="shared" si="4"/>
        <v>5.4</v>
      </c>
      <c r="Q35" s="61">
        <f t="shared" si="4"/>
        <v>5.16</v>
      </c>
      <c r="R35" s="70">
        <f t="shared" si="4"/>
        <v>5.48</v>
      </c>
      <c r="S35" s="70">
        <f t="shared" si="4"/>
        <v>5.29</v>
      </c>
      <c r="T35" s="70">
        <f t="shared" si="4"/>
        <v>5.23</v>
      </c>
      <c r="U35" s="70">
        <f t="shared" si="4"/>
        <v>5.59</v>
      </c>
      <c r="V35" s="61">
        <f t="shared" si="4"/>
        <v>5.3975</v>
      </c>
      <c r="W35" s="70">
        <f t="shared" si="4"/>
        <v>5</v>
      </c>
      <c r="X35" s="70">
        <f t="shared" si="4"/>
        <v>5.1100000000000003</v>
      </c>
      <c r="Y35" s="70">
        <f t="shared" si="4"/>
        <v>5.25</v>
      </c>
      <c r="Z35" s="70">
        <f t="shared" si="4"/>
        <v>5.26</v>
      </c>
      <c r="AA35" s="61">
        <f t="shared" si="4"/>
        <v>5.1549999999999994</v>
      </c>
      <c r="AB35" s="70">
        <f>AB17</f>
        <v>5.0599999999999996</v>
      </c>
      <c r="AC35" s="70">
        <f>AC17</f>
        <v>4.79</v>
      </c>
      <c r="AD35" s="70">
        <f>AD17</f>
        <v>5.03</v>
      </c>
      <c r="AE35" s="70">
        <f>AE17</f>
        <v>4.8499999999999996</v>
      </c>
      <c r="AF35" s="61">
        <f>AF16</f>
        <v>4.9925000000000006</v>
      </c>
    </row>
    <row r="36" spans="1:32" s="1" customFormat="1" x14ac:dyDescent="0.3"/>
    <row r="37" spans="1:32" s="1" customFormat="1" x14ac:dyDescent="0.3">
      <c r="A37" s="1" t="s">
        <v>276</v>
      </c>
      <c r="C37" s="51">
        <f>'Fluxo de Caixa dos Acionistas'!C16</f>
        <v>117155</v>
      </c>
      <c r="D37" s="51">
        <f>'Fluxo de Caixa dos Acionistas'!D16</f>
        <v>239405</v>
      </c>
      <c r="E37" s="51">
        <f>'Fluxo de Caixa dos Acionistas'!E16</f>
        <v>224627</v>
      </c>
      <c r="F37" s="51">
        <f>'Fluxo de Caixa dos Acionistas'!F16</f>
        <v>267733</v>
      </c>
      <c r="G37" s="48">
        <f>'Fluxo de Caixa dos Acionistas'!G16</f>
        <v>848920</v>
      </c>
      <c r="H37" s="51">
        <f>'Fluxo de Caixa dos Acionistas'!H16</f>
        <v>139431</v>
      </c>
      <c r="I37" s="51">
        <f>'Fluxo de Caixa dos Acionistas'!I16</f>
        <v>547875</v>
      </c>
      <c r="J37" s="51">
        <f>'Fluxo de Caixa dos Acionistas'!J16</f>
        <v>399045</v>
      </c>
      <c r="K37" s="51">
        <f>'Fluxo de Caixa dos Acionistas'!K16</f>
        <v>557995</v>
      </c>
      <c r="L37" s="48">
        <f>'Fluxo de Caixa dos Acionistas'!L16</f>
        <v>1644346</v>
      </c>
      <c r="M37" s="51">
        <f>'Fluxo de Caixa dos Acionistas'!M16</f>
        <v>223162</v>
      </c>
      <c r="N37" s="51">
        <f>'Fluxo de Caixa dos Acionistas'!N16</f>
        <v>312293</v>
      </c>
      <c r="O37" s="51">
        <f>'Fluxo de Caixa dos Acionistas'!O16</f>
        <v>488695</v>
      </c>
      <c r="P37" s="51">
        <f>'Fluxo de Caixa dos Acionistas'!P16</f>
        <v>880035</v>
      </c>
      <c r="Q37" s="48">
        <f>'Fluxo de Caixa dos Acionistas'!Q16</f>
        <v>1904185</v>
      </c>
      <c r="R37" s="51">
        <f>'Fluxo de Caixa dos Acionistas'!R16</f>
        <v>655334</v>
      </c>
      <c r="S37" s="51">
        <f>'Fluxo de Caixa dos Acionistas'!S16</f>
        <v>1022837</v>
      </c>
      <c r="T37" s="51">
        <f>'Fluxo de Caixa dos Acionistas'!T16</f>
        <v>939517</v>
      </c>
      <c r="U37" s="51">
        <f>'Fluxo de Caixa dos Acionistas'!U16</f>
        <v>1778315</v>
      </c>
      <c r="V37" s="48">
        <f>'Fluxo de Caixa dos Acionistas'!V16</f>
        <v>4396003</v>
      </c>
      <c r="W37" s="51">
        <f>'Fluxo de Caixa dos Acionistas'!W16</f>
        <v>1529995</v>
      </c>
      <c r="X37" s="51">
        <f>'Fluxo de Caixa dos Acionistas'!X16</f>
        <v>1873985</v>
      </c>
      <c r="Y37" s="51">
        <f>'Fluxo de Caixa dos Acionistas'!Y16</f>
        <v>1985786</v>
      </c>
      <c r="Z37" s="51">
        <f>'Fluxo de Caixa dos Acionistas'!Z16</f>
        <v>973709</v>
      </c>
      <c r="AA37" s="48">
        <f>'Fluxo de Caixa dos Acionistas'!AA16</f>
        <v>6363475</v>
      </c>
      <c r="AB37" s="51">
        <f>'Fluxo de Caixa dos Acionistas'!AB16</f>
        <v>2814955</v>
      </c>
      <c r="AC37" s="51">
        <f>'Fluxo de Caixa dos Acionistas'!AC16</f>
        <v>2311206</v>
      </c>
      <c r="AD37" s="51">
        <f>'Fluxo de Caixa dos Acionistas'!AD16</f>
        <v>3783682</v>
      </c>
      <c r="AE37" s="51">
        <f>'Fluxo de Caixa dos Acionistas'!AE16</f>
        <v>2995198</v>
      </c>
      <c r="AF37" s="48">
        <f>'Fluxo de Caixa dos Acionistas'!AF16</f>
        <v>11905041</v>
      </c>
    </row>
    <row r="38" spans="1:32" s="1" customFormat="1" x14ac:dyDescent="0.3"/>
    <row r="39" spans="1:32" s="1" customFormat="1" x14ac:dyDescent="0.3"/>
    <row r="40" spans="1:32" s="209" customFormat="1" x14ac:dyDescent="0.3">
      <c r="A40" s="209" t="s">
        <v>278</v>
      </c>
      <c r="C40" s="213"/>
      <c r="D40" s="213"/>
      <c r="E40" s="213"/>
      <c r="F40" s="213"/>
      <c r="G40" s="213"/>
      <c r="H40" s="213"/>
      <c r="I40" s="213"/>
      <c r="J40" s="213"/>
      <c r="K40" s="213"/>
      <c r="L40" s="213"/>
      <c r="M40" s="213"/>
      <c r="N40" s="213"/>
      <c r="O40" s="213"/>
      <c r="P40" s="213"/>
      <c r="Q40" s="213"/>
      <c r="R40" s="213"/>
      <c r="S40" s="213"/>
      <c r="T40" s="213"/>
      <c r="U40" s="213"/>
      <c r="V40" s="213"/>
      <c r="W40" s="213"/>
      <c r="X40" s="213"/>
      <c r="Y40" s="213"/>
      <c r="Z40" s="213"/>
      <c r="AA40" s="213"/>
      <c r="AB40" s="213"/>
      <c r="AC40" s="213"/>
      <c r="AD40" s="213"/>
    </row>
    <row r="41" spans="1:32" s="1" customFormat="1" x14ac:dyDescent="0.3"/>
    <row r="42" spans="1:32" s="38" customFormat="1" x14ac:dyDescent="0.3">
      <c r="A42" s="38" t="s">
        <v>279</v>
      </c>
      <c r="C42" s="1"/>
      <c r="D42" s="1"/>
      <c r="E42" s="1"/>
      <c r="F42" s="1"/>
      <c r="G42" s="1"/>
      <c r="H42" s="1"/>
      <c r="I42" s="1"/>
      <c r="J42" s="1"/>
      <c r="K42" s="1"/>
      <c r="L42" s="1"/>
      <c r="M42" s="1"/>
      <c r="N42" s="1"/>
      <c r="O42" s="1"/>
      <c r="P42" s="1"/>
      <c r="Q42" s="1"/>
      <c r="R42" s="1"/>
      <c r="S42" s="1"/>
      <c r="T42" s="1"/>
      <c r="U42" s="1"/>
      <c r="V42" s="73">
        <v>810882</v>
      </c>
      <c r="W42" s="73">
        <v>309676</v>
      </c>
      <c r="X42" s="73">
        <v>377337</v>
      </c>
      <c r="Y42" s="73">
        <v>378155</v>
      </c>
      <c r="Z42" s="48">
        <f>AA42-Y42-X42-W42</f>
        <v>184491</v>
      </c>
      <c r="AA42" s="73">
        <v>1249659</v>
      </c>
      <c r="AB42" s="73">
        <v>564716</v>
      </c>
      <c r="AC42" s="73">
        <v>532490</v>
      </c>
      <c r="AD42" s="73">
        <v>835253</v>
      </c>
      <c r="AE42" s="48">
        <f>AF42-AD42-AC42-AB42</f>
        <v>690652</v>
      </c>
      <c r="AF42" s="73">
        <v>2623111</v>
      </c>
    </row>
    <row r="43" spans="1:32" s="1" customFormat="1" x14ac:dyDescent="0.3">
      <c r="A43" s="42" t="s">
        <v>280</v>
      </c>
      <c r="V43" s="55">
        <v>0</v>
      </c>
      <c r="W43" s="55">
        <v>0</v>
      </c>
      <c r="X43" s="55">
        <v>0</v>
      </c>
      <c r="Y43" s="55">
        <v>0</v>
      </c>
      <c r="Z43" s="51">
        <f>AA43-Y43-X43-W43</f>
        <v>-9795</v>
      </c>
      <c r="AA43" s="55">
        <v>-9795</v>
      </c>
      <c r="AB43" s="55">
        <v>-21550</v>
      </c>
      <c r="AC43" s="55">
        <v>-47635</v>
      </c>
      <c r="AD43" s="55">
        <v>-11161</v>
      </c>
      <c r="AE43" s="51">
        <f>AF43-AD43-AC43-AB43</f>
        <v>-4522</v>
      </c>
      <c r="AF43" s="55">
        <v>-84868</v>
      </c>
    </row>
    <row r="44" spans="1:32" s="1" customFormat="1" x14ac:dyDescent="0.3">
      <c r="A44" s="38" t="s">
        <v>282</v>
      </c>
      <c r="V44" s="48">
        <f t="shared" ref="V44:AD44" si="5">V43+V42</f>
        <v>810882</v>
      </c>
      <c r="W44" s="48">
        <f t="shared" si="5"/>
        <v>309676</v>
      </c>
      <c r="X44" s="48">
        <f t="shared" si="5"/>
        <v>377337</v>
      </c>
      <c r="Y44" s="48">
        <f t="shared" si="5"/>
        <v>378155</v>
      </c>
      <c r="Z44" s="48">
        <f t="shared" si="5"/>
        <v>174696</v>
      </c>
      <c r="AA44" s="48">
        <f t="shared" si="5"/>
        <v>1239864</v>
      </c>
      <c r="AB44" s="48">
        <f t="shared" si="5"/>
        <v>543166</v>
      </c>
      <c r="AC44" s="48">
        <f t="shared" si="5"/>
        <v>484855</v>
      </c>
      <c r="AD44" s="48">
        <f t="shared" si="5"/>
        <v>824092</v>
      </c>
      <c r="AE44" s="48">
        <f>AE43+AE42</f>
        <v>686130</v>
      </c>
      <c r="AF44" s="48">
        <f>AF43+AF42</f>
        <v>2538243</v>
      </c>
    </row>
    <row r="45" spans="1:32" s="1" customFormat="1" x14ac:dyDescent="0.3">
      <c r="A45" s="42" t="s">
        <v>283</v>
      </c>
      <c r="V45" s="55">
        <v>-148217</v>
      </c>
      <c r="W45" s="55">
        <v>-42365</v>
      </c>
      <c r="X45" s="55">
        <v>-55444</v>
      </c>
      <c r="Y45" s="55">
        <v>-44736</v>
      </c>
      <c r="Z45" s="51">
        <f>AA45-Y45-X45-W45</f>
        <v>-26357</v>
      </c>
      <c r="AA45" s="55">
        <v>-168902</v>
      </c>
      <c r="AB45" s="55">
        <v>-79358</v>
      </c>
      <c r="AC45" s="55">
        <v>-45156</v>
      </c>
      <c r="AD45" s="55">
        <v>-62922</v>
      </c>
      <c r="AE45" s="51">
        <f>AF45-AD45-AC45-AB45</f>
        <v>-43489</v>
      </c>
      <c r="AF45" s="55">
        <v>-230925</v>
      </c>
    </row>
    <row r="46" spans="1:32" s="1" customFormat="1" x14ac:dyDescent="0.3">
      <c r="A46" s="42" t="s">
        <v>288</v>
      </c>
      <c r="V46" s="55">
        <v>-114453</v>
      </c>
      <c r="W46" s="55">
        <f>-31733-W51</f>
        <v>-27525</v>
      </c>
      <c r="X46" s="55">
        <f>-37350-X51</f>
        <v>-32986</v>
      </c>
      <c r="Y46" s="55">
        <f>-27018-Y51</f>
        <v>-19661</v>
      </c>
      <c r="Z46" s="51">
        <f>AA46-Y46-X46-W46</f>
        <v>-51406</v>
      </c>
      <c r="AA46" s="55">
        <f>-397668-AA47-AA45</f>
        <v>-131578</v>
      </c>
      <c r="AB46" s="55">
        <f>-69086-AB51</f>
        <v>-64944</v>
      </c>
      <c r="AC46" s="55">
        <f>-95526-AC51</f>
        <v>-91389</v>
      </c>
      <c r="AD46" s="55">
        <f>-162724-AD51</f>
        <v>-159476</v>
      </c>
      <c r="AE46" s="51">
        <f>AF46-AD46-AC46-AB46</f>
        <v>-78918</v>
      </c>
      <c r="AF46" s="55">
        <v>-394727</v>
      </c>
    </row>
    <row r="47" spans="1:32" s="1" customFormat="1" x14ac:dyDescent="0.3">
      <c r="A47" s="42" t="s">
        <v>14</v>
      </c>
      <c r="V47" s="55">
        <v>-59376</v>
      </c>
      <c r="W47" s="55">
        <v>-23474</v>
      </c>
      <c r="X47" s="55">
        <v>-31598</v>
      </c>
      <c r="Y47" s="55">
        <v>-47974</v>
      </c>
      <c r="Z47" s="51">
        <f>AA47-Y47-X47-W47</f>
        <v>5858</v>
      </c>
      <c r="AA47" s="55">
        <v>-97188</v>
      </c>
      <c r="AB47" s="55">
        <v>-43960</v>
      </c>
      <c r="AC47" s="55">
        <v>-46643</v>
      </c>
      <c r="AD47" s="55">
        <v>-63993</v>
      </c>
      <c r="AE47" s="51">
        <f>AF47-AD47-AC47-AB47</f>
        <v>-75955</v>
      </c>
      <c r="AF47" s="55">
        <v>-230551</v>
      </c>
    </row>
    <row r="48" spans="1:32" s="1" customFormat="1" x14ac:dyDescent="0.3">
      <c r="A48" s="38" t="s">
        <v>284</v>
      </c>
      <c r="V48" s="48">
        <f t="shared" ref="V48:AD48" si="6">V47+V45+V44+V46</f>
        <v>488836</v>
      </c>
      <c r="W48" s="48">
        <f t="shared" si="6"/>
        <v>216312</v>
      </c>
      <c r="X48" s="48">
        <f t="shared" si="6"/>
        <v>257309</v>
      </c>
      <c r="Y48" s="48">
        <f t="shared" si="6"/>
        <v>265784</v>
      </c>
      <c r="Z48" s="48">
        <f t="shared" si="6"/>
        <v>102791</v>
      </c>
      <c r="AA48" s="48">
        <f t="shared" si="6"/>
        <v>842196</v>
      </c>
      <c r="AB48" s="48">
        <f t="shared" si="6"/>
        <v>354904</v>
      </c>
      <c r="AC48" s="48">
        <f t="shared" si="6"/>
        <v>301667</v>
      </c>
      <c r="AD48" s="48">
        <f t="shared" si="6"/>
        <v>537701</v>
      </c>
      <c r="AE48" s="48">
        <f>AE47+AE45+AE44+AE46</f>
        <v>487768</v>
      </c>
      <c r="AF48" s="48">
        <f>AF47+AF45+AF44+AF46</f>
        <v>1682040</v>
      </c>
    </row>
    <row r="49" spans="1:32" s="1" customFormat="1" x14ac:dyDescent="0.3">
      <c r="A49" s="42" t="s">
        <v>281</v>
      </c>
      <c r="V49" s="55"/>
      <c r="W49" s="55">
        <v>0</v>
      </c>
      <c r="X49" s="55">
        <v>0</v>
      </c>
      <c r="Y49" s="55">
        <v>0</v>
      </c>
      <c r="Z49" s="51">
        <f>AA49-Y49-X49-W49</f>
        <v>0</v>
      </c>
      <c r="AA49" s="55">
        <v>0</v>
      </c>
      <c r="AB49" s="55">
        <v>-18567</v>
      </c>
      <c r="AC49" s="55">
        <v>-34042</v>
      </c>
      <c r="AD49" s="55">
        <v>-32303</v>
      </c>
      <c r="AE49" s="51">
        <f>AF49-AD49-AC49-AB49</f>
        <v>-52366</v>
      </c>
      <c r="AF49" s="55">
        <v>-137278</v>
      </c>
    </row>
    <row r="50" spans="1:32" s="1" customFormat="1" x14ac:dyDescent="0.3">
      <c r="A50" s="42" t="s">
        <v>285</v>
      </c>
      <c r="V50" s="55">
        <v>-37780</v>
      </c>
      <c r="W50" s="55">
        <v>-12576</v>
      </c>
      <c r="X50" s="55">
        <v>-13231</v>
      </c>
      <c r="Y50" s="55">
        <v>-11713</v>
      </c>
      <c r="Z50" s="51">
        <f>AA50-Y50-X50-W50</f>
        <v>-11865</v>
      </c>
      <c r="AA50" s="55">
        <v>-49385</v>
      </c>
      <c r="AB50" s="55">
        <v>-12033</v>
      </c>
      <c r="AC50" s="55">
        <v>-16610</v>
      </c>
      <c r="AD50" s="55">
        <v>-21949</v>
      </c>
      <c r="AE50" s="51">
        <f>AF50-AD50-AC50-AB50</f>
        <v>-38504</v>
      </c>
      <c r="AF50" s="55">
        <v>-89096</v>
      </c>
    </row>
    <row r="51" spans="1:32" s="1" customFormat="1" x14ac:dyDescent="0.3">
      <c r="A51" s="42" t="s">
        <v>289</v>
      </c>
      <c r="V51" s="55"/>
      <c r="W51" s="55">
        <v>-4208</v>
      </c>
      <c r="X51" s="55">
        <f>-8572-W51</f>
        <v>-4364</v>
      </c>
      <c r="Y51" s="55">
        <f>-15929-X51-W51</f>
        <v>-7357</v>
      </c>
      <c r="Z51" s="51">
        <f>AA51-Y51-X51-W51</f>
        <v>2153</v>
      </c>
      <c r="AA51" s="55">
        <v>-13776</v>
      </c>
      <c r="AB51" s="55">
        <v>-4142</v>
      </c>
      <c r="AC51" s="55">
        <f>-8279-AB51</f>
        <v>-4137</v>
      </c>
      <c r="AD51" s="55">
        <v>-3248</v>
      </c>
      <c r="AE51" s="51">
        <f>AF51-AD51-AC51-AB51</f>
        <v>11527</v>
      </c>
      <c r="AF51" s="55">
        <v>0</v>
      </c>
    </row>
    <row r="52" spans="1:32" s="1" customFormat="1" x14ac:dyDescent="0.3">
      <c r="A52" s="42" t="s">
        <v>287</v>
      </c>
      <c r="V52" s="55">
        <v>-12075</v>
      </c>
      <c r="W52" s="55">
        <v>-3972</v>
      </c>
      <c r="X52" s="55">
        <v>-20039</v>
      </c>
      <c r="Y52" s="55">
        <v>-988</v>
      </c>
      <c r="Z52" s="51">
        <f>AA52-Y52-X52-W52</f>
        <v>51884</v>
      </c>
      <c r="AA52" s="55">
        <v>26885</v>
      </c>
      <c r="AB52" s="55">
        <v>-27246</v>
      </c>
      <c r="AC52" s="55">
        <v>-1483</v>
      </c>
      <c r="AD52" s="55">
        <v>-13243</v>
      </c>
      <c r="AE52" s="51">
        <f>AF52-AD52-AC52-AB52</f>
        <v>47269</v>
      </c>
      <c r="AF52" s="55">
        <v>5297</v>
      </c>
    </row>
    <row r="53" spans="1:32" s="1" customFormat="1" x14ac:dyDescent="0.3">
      <c r="A53" s="38" t="s">
        <v>97</v>
      </c>
      <c r="V53" s="48">
        <f t="shared" ref="V53:AD53" si="7">V52+V50+V48+V51+V49</f>
        <v>438981</v>
      </c>
      <c r="W53" s="48">
        <f t="shared" si="7"/>
        <v>195556</v>
      </c>
      <c r="X53" s="48">
        <f t="shared" si="7"/>
        <v>219675</v>
      </c>
      <c r="Y53" s="48">
        <f t="shared" si="7"/>
        <v>245726</v>
      </c>
      <c r="Z53" s="48">
        <f t="shared" si="7"/>
        <v>144963</v>
      </c>
      <c r="AA53" s="48">
        <f t="shared" si="7"/>
        <v>805920</v>
      </c>
      <c r="AB53" s="48">
        <f t="shared" si="7"/>
        <v>292916</v>
      </c>
      <c r="AC53" s="48">
        <f t="shared" si="7"/>
        <v>245395</v>
      </c>
      <c r="AD53" s="48">
        <f t="shared" si="7"/>
        <v>466958</v>
      </c>
      <c r="AE53" s="48">
        <f>AE52+AE50+AE48+AE51+AE49</f>
        <v>455694</v>
      </c>
      <c r="AF53" s="48">
        <f>AF52+AF50+AF48+AF51+AF49</f>
        <v>1460963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23</vt:i4>
      </vt:variant>
      <vt:variant>
        <vt:lpstr>Intervalos Nomeados</vt:lpstr>
      </vt:variant>
      <vt:variant>
        <vt:i4>9</vt:i4>
      </vt:variant>
    </vt:vector>
  </HeadingPairs>
  <TitlesOfParts>
    <vt:vector size="32" baseType="lpstr">
      <vt:lpstr>FRADE &amp; WAHOO TP</vt:lpstr>
      <vt:lpstr>FRADE &amp; WAHOO 2P</vt:lpstr>
      <vt:lpstr>FRADE &amp; WAHOO 3P</vt:lpstr>
      <vt:lpstr>Polvo &amp; TBMT TP</vt:lpstr>
      <vt:lpstr>Polvo &amp; TBMT 2P</vt:lpstr>
      <vt:lpstr>Polvo &amp; TBMT 3P</vt:lpstr>
      <vt:lpstr>Albacora Leste TP</vt:lpstr>
      <vt:lpstr>Albacora Leste 2P</vt:lpstr>
      <vt:lpstr>Albacora Leste 3P</vt:lpstr>
      <vt:lpstr>Receita Líquida - O&amp;G</vt:lpstr>
      <vt:lpstr>CAPEX, Impostos e Abandono ($)</vt:lpstr>
      <vt:lpstr>CAPEX, D&amp;A, Imob&amp;Intang</vt:lpstr>
      <vt:lpstr>Resultado Financeiro e Dívida</vt:lpstr>
      <vt:lpstr>Balanço Planilhado</vt:lpstr>
      <vt:lpstr>Fluxo de Caixa dos Acionistas</vt:lpstr>
      <vt:lpstr>Avaliação e Simulações</vt:lpstr>
      <vt:lpstr>Drivers Macroeconômico</vt:lpstr>
      <vt:lpstr>Dados para Ke Alternativo</vt:lpstr>
      <vt:lpstr>Ke Alternativo</vt:lpstr>
      <vt:lpstr>Gráficos - Monografia</vt:lpstr>
      <vt:lpstr>DRE - Economática</vt:lpstr>
      <vt:lpstr>Fluxo de Caixa Planilhado</vt:lpstr>
      <vt:lpstr>Infos - Release Operacional</vt:lpstr>
      <vt:lpstr>'Albacora Leste 2P'!Area_de_impressao</vt:lpstr>
      <vt:lpstr>'Albacora Leste 3P'!Area_de_impressao</vt:lpstr>
      <vt:lpstr>'Albacora Leste TP'!Area_de_impressao</vt:lpstr>
      <vt:lpstr>'FRADE &amp; WAHOO 2P'!Area_de_impressao</vt:lpstr>
      <vt:lpstr>'FRADE &amp; WAHOO 3P'!Area_de_impressao</vt:lpstr>
      <vt:lpstr>'FRADE &amp; WAHOO TP'!Area_de_impressao</vt:lpstr>
      <vt:lpstr>'Polvo &amp; TBMT 2P'!Area_de_impressao</vt:lpstr>
      <vt:lpstr>'Polvo &amp; TBMT 3P'!Area_de_impressao</vt:lpstr>
      <vt:lpstr>'Polvo &amp; TBMT TP'!Area_de_impressao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Correa</dc:creator>
  <cp:lastModifiedBy>Gabriel Correa</cp:lastModifiedBy>
  <cp:lastPrinted>2023-11-17T00:44:06Z</cp:lastPrinted>
  <dcterms:created xsi:type="dcterms:W3CDTF">2022-10-19T16:46:10Z</dcterms:created>
  <dcterms:modified xsi:type="dcterms:W3CDTF">2024-06-16T23:14:22Z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{F211736B-9767-4FDF-8A09-514E69B2FC88}</vt:lpwstr>
  </property>
</Properties>
</file>